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0" yWindow="0" windowWidth="28800" windowHeight="12435" tabRatio="816" activeTab="1"/>
  </bookViews>
  <sheets>
    <sheet name="ALAPADATOK" sheetId="1411" r:id="rId1"/>
    <sheet name="1.1.sz.mell. " sheetId="1357" r:id="rId2"/>
    <sheet name="1.2.sz.mell. " sheetId="1358" r:id="rId3"/>
    <sheet name="1.3.sz.mell." sheetId="1359" r:id="rId4"/>
    <sheet name="1.4.sz.mell. " sheetId="1360" state="hidden" r:id="rId5"/>
    <sheet name="1.5.sz.mell." sheetId="1399" state="hidden" r:id="rId6"/>
    <sheet name="2.1.sz.mell " sheetId="1361" r:id="rId7"/>
    <sheet name="2.2.sz.mell ." sheetId="1362" r:id="rId8"/>
    <sheet name="KV_ELLENŐRZÉS" sheetId="1413" state="hidden" r:id="rId9"/>
    <sheet name="3. sz mell." sheetId="1416" state="hidden" r:id="rId10"/>
    <sheet name="4.sz.mell." sheetId="1417" state="hidden" r:id="rId11"/>
    <sheet name="5.sz.mell." sheetId="1418" state="hidden" r:id="rId12"/>
    <sheet name="6.sz.mell." sheetId="1419" r:id="rId13"/>
    <sheet name="7.sz.mell." sheetId="1420" r:id="rId14"/>
    <sheet name="8. sz. mell." sheetId="1421" state="hidden" r:id="rId15"/>
    <sheet name="8.1. sz. mell." sheetId="1422" state="hidden" r:id="rId16"/>
    <sheet name="8.2. sz. mell." sheetId="1423" state="hidden" r:id="rId17"/>
    <sheet name="8.3. sz. mell." sheetId="1424" r:id="rId18"/>
    <sheet name="8.4. sz. mell." sheetId="1425" r:id="rId19"/>
    <sheet name="8.5. sz. mell." sheetId="1426" state="hidden" r:id="rId20"/>
    <sheet name="8.6. sz. mell." sheetId="1461" state="hidden" r:id="rId21"/>
    <sheet name="9.1. sz. mell." sheetId="1427" r:id="rId22"/>
    <sheet name="9.1.1. sz. mell. " sheetId="1428" r:id="rId23"/>
    <sheet name="9.1.2. sz. mell." sheetId="1429" state="hidden" r:id="rId24"/>
    <sheet name="9.2. sz. mell. " sheetId="1430" state="hidden" r:id="rId25"/>
    <sheet name="9.2.1. sz. mell" sheetId="1431" state="hidden" r:id="rId26"/>
    <sheet name="9.2.2. sz.  mell" sheetId="1432" state="hidden" r:id="rId27"/>
    <sheet name="9.2.3. sz. mell." sheetId="1433" state="hidden" r:id="rId28"/>
    <sheet name="9.3. sz. mell" sheetId="1462" r:id="rId29"/>
    <sheet name="9.3.1. sz. mell EOI" sheetId="1463" r:id="rId30"/>
    <sheet name="9.3.2.sz.mell EOI" sheetId="1464" state="hidden" r:id="rId31"/>
    <sheet name="9.4. sz. mell EKIK" sheetId="1465" r:id="rId32"/>
    <sheet name="9.4.1. sz. mell EKIK" sheetId="1466" r:id="rId33"/>
    <sheet name="9.4.2. sz. mell EKIK" sheetId="1467" r:id="rId34"/>
    <sheet name="9.5. sz. mell VK" sheetId="1468" state="hidden" r:id="rId35"/>
    <sheet name="9.5.1. sz. mell VK " sheetId="1469" state="hidden" r:id="rId36"/>
    <sheet name="9.5.2. sz. mell VK" sheetId="1470" state="hidden" r:id="rId37"/>
    <sheet name="9.6. sz. mell Kornisné Kp." sheetId="1471" r:id="rId38"/>
    <sheet name="9.6.1. sz. mell Kornisné Kp. " sheetId="1472" state="hidden" r:id="rId39"/>
    <sheet name="9.6.2. sz. mell Kornisné Kp." sheetId="1473" r:id="rId40"/>
    <sheet name="9.6.3. sz. mell Kornisné Kp " sheetId="1474" state="hidden" r:id="rId41"/>
    <sheet name="9.7. sz. mell TIB  " sheetId="1475" r:id="rId42"/>
    <sheet name="9.7.1. sz. mell TIB  " sheetId="1476" r:id="rId43"/>
    <sheet name="9.7.2. sz. mell TIB" sheetId="1477" state="hidden" r:id="rId44"/>
    <sheet name="10.sz.m. int.összesítő" sheetId="1450" r:id="rId45"/>
    <sheet name="11.sz.m. tartalék" sheetId="1451" r:id="rId46"/>
    <sheet name="1.sz tájékoztató t " sheetId="1452" r:id="rId47"/>
    <sheet name="2. sz tájékoztató t" sheetId="1453" state="hidden" r:id="rId48"/>
    <sheet name="3. sz tájékoztató t." sheetId="1454" state="hidden" r:id="rId49"/>
    <sheet name="4.sz tájékoztató t " sheetId="1455" r:id="rId50"/>
    <sheet name="5.sz. tájékoztató" sheetId="1456" state="hidden" r:id="rId51"/>
    <sheet name="6.sz tájékoztató t " sheetId="1457" state="hidden" r:id="rId52"/>
    <sheet name="7.sz táj. feladatos Önk. " sheetId="1458" r:id="rId53"/>
    <sheet name="8.sz tájéloztató" sheetId="1459" state="hidden" r:id="rId54"/>
    <sheet name="9.sz tájékoztató" sheetId="1478" state="hidden" r:id="rId55"/>
  </sheets>
  <definedNames>
    <definedName name="Print_Area" localSheetId="1">'1.1.sz.mell. '!$A$1:$C$164</definedName>
    <definedName name="Print_Area" localSheetId="2">'1.2.sz.mell. '!$A$1:$F$164</definedName>
    <definedName name="Print_Area" localSheetId="3">'1.3.sz.mell.'!$A$1:$C$164</definedName>
    <definedName name="Print_Area" localSheetId="4">'1.4.sz.mell. '!$A$1:$C$166</definedName>
    <definedName name="Print_Area" localSheetId="5">'1.5.sz.mell.'!$A$1:$C$166</definedName>
    <definedName name="Print_Area" localSheetId="46">'1.sz tájékoztató t '!$A$1:$H$157</definedName>
    <definedName name="Print_Area" localSheetId="6">'2.1.sz.mell '!$A$1:$F$33</definedName>
    <definedName name="Print_Area" localSheetId="50">'5.sz. tájékoztató'!$A$1:$D$51</definedName>
    <definedName name="Print_Area" localSheetId="12">'6.sz.mell.'!$A$1:$G$64</definedName>
    <definedName name="Print_Area" localSheetId="52">'7.sz táj. feladatos Önk. '!$A$1:$N$68</definedName>
    <definedName name="Print_Area" localSheetId="13">'7.sz.mell.'!$A$1:$G$30</definedName>
    <definedName name="Print_Area" localSheetId="16">'8.2. sz. mell.'!$A$1:$E$39</definedName>
    <definedName name="Print_Area" localSheetId="21">'9.1. sz. mell.'!$A$1:$C$157</definedName>
    <definedName name="Print_Area" localSheetId="22">'9.1.1. sz. mell. '!$A$1:$C$154</definedName>
    <definedName name="Print_Area" localSheetId="24">'9.2. sz. mell. '!$A:$C</definedName>
    <definedName name="Print_Area" localSheetId="43">'9.7.2. sz. mell TIB'!$A:$C</definedName>
    <definedName name="Print_Area" localSheetId="54">'9.sz tájékoztató'!$A$1:$E$31</definedName>
    <definedName name="Print_Titles" localSheetId="21">'9.1. sz. mell.'!$3:$5</definedName>
    <definedName name="Print_Titles" localSheetId="22">'9.1.1. sz. mell. '!$2:$5</definedName>
    <definedName name="Print_Titles" localSheetId="23">'9.1.2. sz. mell.'!$2:$5</definedName>
    <definedName name="Print_Titles" localSheetId="24">'9.2. sz. mell. '!$2:$5</definedName>
    <definedName name="Print_Titles" localSheetId="25">'9.2.1. sz. mell'!$2:$5</definedName>
    <definedName name="Print_Titles" localSheetId="26">'9.2.2. sz.  mell'!$2:$7</definedName>
    <definedName name="Print_Titles" localSheetId="27">'9.2.3. sz. mell.'!$2:$5</definedName>
    <definedName name="Print_Titles" localSheetId="28">'9.3. sz. mell'!$2:$5</definedName>
    <definedName name="Print_Titles" localSheetId="29">'9.3.1. sz. mell EOI'!$2:$5</definedName>
    <definedName name="Print_Titles" localSheetId="31">'9.4. sz. mell EKIK'!$2:$5</definedName>
    <definedName name="Print_Titles" localSheetId="32">'9.4.1. sz. mell EKIK'!$2:$5</definedName>
    <definedName name="Print_Titles" localSheetId="33">'9.4.2. sz. mell EKIK'!$2:$5</definedName>
    <definedName name="Print_Titles" localSheetId="34">'9.5. sz. mell VK'!$2:$5</definedName>
    <definedName name="Print_Titles" localSheetId="35">'9.5.1. sz. mell VK '!$2:$5</definedName>
    <definedName name="Print_Titles" localSheetId="36">'9.5.2. sz. mell VK'!$2:$7</definedName>
    <definedName name="Print_Titles" localSheetId="37">'9.6. sz. mell Kornisné Kp.'!$2:$5</definedName>
    <definedName name="Print_Titles" localSheetId="38">'9.6.1. sz. mell Kornisné Kp. '!$2:$5</definedName>
    <definedName name="Print_Titles" localSheetId="39">'9.6.2. sz. mell Kornisné Kp.'!$2:$5</definedName>
    <definedName name="Print_Titles" localSheetId="40">'9.6.3. sz. mell Kornisné Kp '!$2:$7</definedName>
    <definedName name="Print_Titles" localSheetId="41">'9.7. sz. mell TIB  '!$2:$5</definedName>
    <definedName name="Print_Titles" localSheetId="42">'9.7.1. sz. mell TIB  '!$2:$5</definedName>
  </definedNames>
  <calcPr calcId="145621"/>
</workbook>
</file>

<file path=xl/calcChain.xml><?xml version="1.0" encoding="utf-8"?>
<calcChain xmlns="http://schemas.openxmlformats.org/spreadsheetml/2006/main">
  <c r="A1" i="1458" l="1"/>
  <c r="A1" i="1455"/>
  <c r="A1" i="1452"/>
  <c r="A1" i="1451"/>
  <c r="A1" i="1450"/>
  <c r="A1" i="1476"/>
  <c r="A1" i="1475"/>
  <c r="A1" i="1473"/>
  <c r="A1" i="1471"/>
  <c r="A1" i="1467"/>
  <c r="A1" i="1466"/>
  <c r="A1" i="1465"/>
  <c r="A1" i="1463"/>
  <c r="A1" i="1462"/>
  <c r="A1" i="1425"/>
  <c r="A1" i="1424"/>
  <c r="A1" i="1420"/>
  <c r="A1" i="1419"/>
  <c r="I62" i="1458" l="1"/>
  <c r="I35" i="1458"/>
  <c r="M65" i="1458"/>
  <c r="N24" i="1458"/>
  <c r="H24" i="1458"/>
  <c r="J32" i="1458"/>
  <c r="I33" i="1458"/>
  <c r="N26" i="1455"/>
  <c r="N24" i="1455"/>
  <c r="N23" i="1455"/>
  <c r="M23" i="1455"/>
  <c r="N21" i="1455"/>
  <c r="N20" i="1455"/>
  <c r="N19" i="1455"/>
  <c r="N18" i="1455"/>
  <c r="M13" i="1455"/>
  <c r="M9" i="1455"/>
  <c r="B11" i="1451"/>
  <c r="J14" i="1450"/>
  <c r="J12" i="1450"/>
  <c r="C50" i="1476"/>
  <c r="C46" i="1476"/>
  <c r="C45" i="1476"/>
  <c r="C44" i="1476"/>
  <c r="C40" i="1476"/>
  <c r="C40" i="1475"/>
  <c r="C50" i="1475"/>
  <c r="C46" i="1475"/>
  <c r="C45" i="1475"/>
  <c r="C44" i="1475"/>
  <c r="C52" i="1467"/>
  <c r="C40" i="1467"/>
  <c r="C40" i="1466"/>
  <c r="C47" i="1466"/>
  <c r="C46" i="1466"/>
  <c r="C40" i="1465"/>
  <c r="C47" i="1465"/>
  <c r="C46" i="1465"/>
  <c r="C52" i="1465"/>
  <c r="C40" i="1463"/>
  <c r="C45" i="1463"/>
  <c r="C44" i="1463"/>
  <c r="C39" i="1462"/>
  <c r="C44" i="1462"/>
  <c r="C43" i="1462"/>
  <c r="C114" i="1428"/>
  <c r="C115" i="1427"/>
  <c r="C116" i="1428"/>
  <c r="C111" i="1428"/>
  <c r="C96" i="1428"/>
  <c r="C95" i="1428"/>
  <c r="C94" i="1428"/>
  <c r="C93" i="1428"/>
  <c r="C24" i="1428"/>
  <c r="C117" i="1427"/>
  <c r="C112" i="1427"/>
  <c r="C97" i="1427"/>
  <c r="C96" i="1427"/>
  <c r="C95" i="1427"/>
  <c r="C94" i="1427"/>
  <c r="C24" i="1427"/>
  <c r="C19" i="1425"/>
  <c r="C8" i="1425"/>
  <c r="C36" i="1424"/>
  <c r="B59" i="1419"/>
  <c r="F59" i="1419"/>
  <c r="F23" i="1419"/>
  <c r="B23" i="1419"/>
  <c r="F48" i="1419"/>
  <c r="B48" i="1419"/>
  <c r="D121" i="1359"/>
  <c r="D102" i="1359"/>
  <c r="D123" i="1358"/>
  <c r="D121" i="1358"/>
  <c r="D118" i="1358"/>
  <c r="D103" i="1358"/>
  <c r="D102" i="1358"/>
  <c r="D101" i="1358"/>
  <c r="D100" i="1358"/>
  <c r="D28" i="1358"/>
  <c r="D123" i="1357"/>
  <c r="D121" i="1357"/>
  <c r="D118" i="1357"/>
  <c r="D103" i="1357"/>
  <c r="D102" i="1357"/>
  <c r="D101" i="1357"/>
  <c r="D100" i="1357"/>
  <c r="D62" i="1357"/>
  <c r="D28" i="1357"/>
  <c r="F54" i="1419" l="1"/>
  <c r="B54" i="1419"/>
  <c r="C40" i="1473" l="1"/>
  <c r="C46" i="1473"/>
  <c r="C46" i="1471"/>
  <c r="C40" i="1471"/>
  <c r="B13" i="1450"/>
  <c r="G13" i="1450"/>
  <c r="A1" i="1453" l="1"/>
  <c r="A1" i="1429"/>
  <c r="A1" i="1428"/>
  <c r="A1" i="1427"/>
  <c r="A1" i="1418"/>
  <c r="A1" i="1416"/>
  <c r="I32" i="1458"/>
  <c r="I45" i="1458"/>
  <c r="D13" i="1458"/>
  <c r="I40" i="1458"/>
  <c r="J33" i="1458"/>
  <c r="F65" i="1458"/>
  <c r="I65" i="1458"/>
  <c r="J21" i="1458"/>
  <c r="I21" i="1458"/>
  <c r="J35" i="1458"/>
  <c r="M20" i="1455"/>
  <c r="L20" i="1455"/>
  <c r="N15" i="1455"/>
  <c r="N9" i="1455"/>
  <c r="L9" i="1455"/>
  <c r="G29" i="1453"/>
  <c r="F29" i="1453"/>
  <c r="E29" i="1453"/>
  <c r="D29" i="1453"/>
  <c r="H29" i="1453"/>
  <c r="I28" i="1453"/>
  <c r="B28" i="1451"/>
  <c r="C112" i="1428"/>
  <c r="C96" i="1429"/>
  <c r="C115" i="1428"/>
  <c r="C67" i="1428"/>
  <c r="C116" i="1427"/>
  <c r="C113" i="1427"/>
  <c r="C67" i="1427"/>
  <c r="C37" i="1424"/>
  <c r="C39" i="1424"/>
  <c r="D119" i="1358"/>
  <c r="D119" i="1357"/>
  <c r="C27" i="1416"/>
  <c r="D27" i="1416"/>
  <c r="E27" i="1416"/>
  <c r="F27" i="1416"/>
  <c r="G27" i="1416"/>
  <c r="D122" i="1358"/>
  <c r="D71" i="1358"/>
  <c r="D122" i="1357"/>
  <c r="D71" i="1357"/>
  <c r="A1" i="1457" l="1"/>
  <c r="A1" i="1472"/>
  <c r="A1" i="1469"/>
  <c r="A1" i="1468"/>
  <c r="A1" i="1431"/>
  <c r="A1" i="1430"/>
  <c r="A1" i="1426"/>
  <c r="A1" i="1423"/>
  <c r="A1" i="1422"/>
  <c r="A1" i="1417"/>
  <c r="F2" i="1362"/>
  <c r="F1" i="1361"/>
  <c r="J52" i="1458" l="1"/>
  <c r="J17" i="1458"/>
  <c r="J45" i="1458"/>
  <c r="J11" i="1458"/>
  <c r="I11" i="1458"/>
  <c r="I37" i="1458"/>
  <c r="J37" i="1458" l="1"/>
  <c r="I34" i="1458"/>
  <c r="C13" i="1458"/>
  <c r="C64" i="1458"/>
  <c r="J25" i="1458"/>
  <c r="I25" i="1458"/>
  <c r="J19" i="1458"/>
  <c r="I19" i="1458"/>
  <c r="C11" i="1458"/>
  <c r="E22" i="1455"/>
  <c r="E20" i="1455"/>
  <c r="F102" i="1358"/>
  <c r="F102" i="1357"/>
  <c r="L23" i="1455" l="1"/>
  <c r="N22" i="1455"/>
  <c r="M22" i="1455"/>
  <c r="L22" i="1455"/>
  <c r="K20" i="1455"/>
  <c r="M19" i="1455"/>
  <c r="L19" i="1455"/>
  <c r="K19" i="1455"/>
  <c r="M18" i="1455"/>
  <c r="L18" i="1455"/>
  <c r="K18" i="1455"/>
  <c r="K13" i="1455"/>
  <c r="N11" i="1455"/>
  <c r="M11" i="1455"/>
  <c r="L11" i="1455"/>
  <c r="K11" i="1455"/>
  <c r="K9" i="1455"/>
  <c r="I8" i="1455"/>
  <c r="H8" i="1455"/>
  <c r="F8" i="1455"/>
  <c r="L7" i="1455"/>
  <c r="F7" i="1455"/>
  <c r="B12" i="1450"/>
  <c r="B10" i="1450"/>
  <c r="C40" i="1469"/>
  <c r="C46" i="1469"/>
  <c r="C46" i="1468"/>
  <c r="C40" i="1468"/>
  <c r="C48" i="1466"/>
  <c r="C52" i="1466"/>
  <c r="C48" i="1465"/>
  <c r="C28" i="1465"/>
  <c r="C46" i="1463"/>
  <c r="C45" i="1462"/>
  <c r="C48" i="1431"/>
  <c r="C40" i="1431"/>
  <c r="C40" i="1430"/>
  <c r="C48" i="1430"/>
  <c r="C115" i="1429"/>
  <c r="C117" i="1428"/>
  <c r="C109" i="1428"/>
  <c r="C58" i="1428"/>
  <c r="C41" i="1428"/>
  <c r="C21" i="1428"/>
  <c r="C14" i="1428"/>
  <c r="C118" i="1427"/>
  <c r="C110" i="1427"/>
  <c r="C58" i="1427"/>
  <c r="C41" i="1427"/>
  <c r="C21" i="1427"/>
  <c r="C14" i="1427"/>
  <c r="C19" i="1426"/>
  <c r="C41" i="1425"/>
  <c r="C30" i="1425"/>
  <c r="C35" i="1423"/>
  <c r="C34" i="1423"/>
  <c r="C24" i="1423"/>
  <c r="F17" i="1420"/>
  <c r="B17" i="1420"/>
  <c r="F14" i="1420"/>
  <c r="B14" i="1420"/>
  <c r="F20" i="1420"/>
  <c r="B20" i="1420"/>
  <c r="F24" i="1420"/>
  <c r="B24" i="1420"/>
  <c r="E22" i="1420"/>
  <c r="F22" i="1420"/>
  <c r="B22" i="1420"/>
  <c r="F21" i="1420"/>
  <c r="B21" i="1420"/>
  <c r="F8" i="1420"/>
  <c r="B8" i="1420"/>
  <c r="F27" i="1419"/>
  <c r="B27" i="1419"/>
  <c r="G29" i="1419"/>
  <c r="F49" i="1419"/>
  <c r="B49" i="1419"/>
  <c r="F20" i="1419"/>
  <c r="B20" i="1419"/>
  <c r="F33" i="1419"/>
  <c r="B33" i="1419"/>
  <c r="B32" i="1419"/>
  <c r="B31" i="1419"/>
  <c r="F30" i="1419"/>
  <c r="E30" i="1419"/>
  <c r="F9" i="1419"/>
  <c r="B9" i="1419"/>
  <c r="C8" i="1417"/>
  <c r="D101" i="1359"/>
  <c r="D100" i="1359"/>
  <c r="D124" i="1358"/>
  <c r="D116" i="1358"/>
  <c r="D62" i="1358"/>
  <c r="D45" i="1358"/>
  <c r="D32" i="1358"/>
  <c r="D25" i="1358"/>
  <c r="D18" i="1358"/>
  <c r="D124" i="1357"/>
  <c r="D116" i="1357"/>
  <c r="D45" i="1357"/>
  <c r="D32" i="1357"/>
  <c r="D25" i="1357"/>
  <c r="D18" i="1357"/>
  <c r="C42" i="1422" l="1"/>
  <c r="C40" i="1422"/>
  <c r="F13" i="1450" l="1"/>
  <c r="E13" i="1450"/>
  <c r="C45" i="1473"/>
  <c r="C44" i="1473"/>
  <c r="C45" i="1471"/>
  <c r="C44" i="1471"/>
  <c r="D1" i="1478" l="1"/>
  <c r="A1" i="1456"/>
  <c r="A1" i="1433"/>
  <c r="C154" i="1428"/>
  <c r="C156" i="1427"/>
  <c r="C37" i="1458" l="1"/>
  <c r="I49" i="1458"/>
  <c r="I9" i="1458"/>
  <c r="I52" i="1458"/>
  <c r="J39" i="1458"/>
  <c r="N19" i="1458"/>
  <c r="H19" i="1458"/>
  <c r="N46" i="1458"/>
  <c r="H46" i="1458"/>
  <c r="D44" i="1456"/>
  <c r="D43" i="1456"/>
  <c r="D39" i="1456"/>
  <c r="D38" i="1456"/>
  <c r="D36" i="1456"/>
  <c r="D28" i="1456"/>
  <c r="D26" i="1456"/>
  <c r="D24" i="1456"/>
  <c r="D18" i="1456"/>
  <c r="D17" i="1456"/>
  <c r="D15" i="1456"/>
  <c r="J22" i="1455"/>
  <c r="J20" i="1455"/>
  <c r="J19" i="1455"/>
  <c r="J18" i="1455"/>
  <c r="J11" i="1455"/>
  <c r="I9" i="1455"/>
  <c r="N8" i="1455"/>
  <c r="M8" i="1455"/>
  <c r="L8" i="1455"/>
  <c r="K8" i="1455"/>
  <c r="J8" i="1455"/>
  <c r="N7" i="1455"/>
  <c r="M7" i="1455"/>
  <c r="K7" i="1455"/>
  <c r="J7" i="1455"/>
  <c r="F10" i="1450"/>
  <c r="E10" i="1450"/>
  <c r="K10" i="1450" s="1"/>
  <c r="C10" i="1450" s="1"/>
  <c r="D10" i="1450" s="1"/>
  <c r="C45" i="1469"/>
  <c r="C44" i="1469"/>
  <c r="C18" i="1469"/>
  <c r="C14" i="1469"/>
  <c r="C13" i="1469"/>
  <c r="C12" i="1469"/>
  <c r="C10" i="1469"/>
  <c r="C9" i="1469"/>
  <c r="C45" i="1468"/>
  <c r="C44" i="1468"/>
  <c r="C18" i="1468"/>
  <c r="C14" i="1468"/>
  <c r="C13" i="1468"/>
  <c r="C12" i="1468"/>
  <c r="C10" i="1468"/>
  <c r="C9" i="1468"/>
  <c r="C48" i="1433"/>
  <c r="C10" i="1433"/>
  <c r="C14" i="1431"/>
  <c r="C13" i="1431"/>
  <c r="C12" i="1431"/>
  <c r="C10" i="1431"/>
  <c r="C9" i="1431"/>
  <c r="C14" i="1430"/>
  <c r="C13" i="1430"/>
  <c r="C12" i="1430"/>
  <c r="C10" i="1430"/>
  <c r="C9" i="1430"/>
  <c r="C95" i="1429"/>
  <c r="C94" i="1429"/>
  <c r="C21" i="1429"/>
  <c r="C11" i="1429"/>
  <c r="C40" i="1428"/>
  <c r="C43" i="1428"/>
  <c r="C12" i="1428"/>
  <c r="C11" i="1428"/>
  <c r="C9" i="1428"/>
  <c r="C40" i="1427"/>
  <c r="C43" i="1427"/>
  <c r="C12" i="1427"/>
  <c r="C11" i="1427"/>
  <c r="C9" i="1427"/>
  <c r="F16" i="1420" l="1"/>
  <c r="B16" i="1420"/>
  <c r="F23" i="1420"/>
  <c r="E30" i="1420"/>
  <c r="B57" i="1419" l="1"/>
  <c r="F57" i="1419"/>
  <c r="B30" i="1419"/>
  <c r="G27" i="1419"/>
  <c r="C19" i="1362"/>
  <c r="D43" i="1358"/>
  <c r="D107" i="1358"/>
  <c r="D105" i="1358"/>
  <c r="C103" i="1360"/>
  <c r="D25" i="1359"/>
  <c r="D15" i="1359"/>
  <c r="D52" i="1358"/>
  <c r="D47" i="1358"/>
  <c r="D44" i="1358"/>
  <c r="D16" i="1358"/>
  <c r="D15" i="1358"/>
  <c r="D13" i="1358"/>
  <c r="D47" i="1357"/>
  <c r="D52" i="1357"/>
  <c r="D44" i="1357"/>
  <c r="D43" i="1357"/>
  <c r="D16" i="1357"/>
  <c r="D15" i="1357"/>
  <c r="D13" i="1357"/>
  <c r="D105" i="1357"/>
  <c r="D107" i="1357"/>
  <c r="C98" i="1428"/>
  <c r="C100" i="1428"/>
  <c r="C99" i="1427"/>
  <c r="C101" i="1427"/>
  <c r="C50" i="1473" l="1"/>
  <c r="C40" i="1472"/>
  <c r="C13" i="1472"/>
  <c r="C9" i="1472"/>
  <c r="C38" i="1472"/>
  <c r="C46" i="1472"/>
  <c r="C9" i="1471"/>
  <c r="C10" i="1471"/>
  <c r="C13" i="1471"/>
  <c r="C50" i="1471"/>
  <c r="J13" i="1450"/>
  <c r="C56" i="1468" l="1"/>
  <c r="C56" i="1469"/>
  <c r="A1" i="1470"/>
  <c r="E27" i="1478" l="1"/>
  <c r="E29" i="1478" s="1"/>
  <c r="E26" i="1478"/>
  <c r="E28" i="1478" s="1"/>
  <c r="E31" i="1478" s="1"/>
  <c r="J50" i="1458"/>
  <c r="J61" i="1458"/>
  <c r="I61" i="1458"/>
  <c r="I12" i="1458"/>
  <c r="C35" i="1458"/>
  <c r="D24" i="1457"/>
  <c r="D31" i="1456"/>
  <c r="I24" i="1455"/>
  <c r="J24" i="1455"/>
  <c r="J23" i="1455"/>
  <c r="K22" i="1455"/>
  <c r="I22" i="1455"/>
  <c r="I18" i="1455"/>
  <c r="B18" i="1451"/>
  <c r="C56" i="1473"/>
  <c r="C56" i="1471"/>
  <c r="C59" i="1430"/>
  <c r="C59" i="1433"/>
  <c r="C40" i="1433"/>
  <c r="C47" i="1433"/>
  <c r="C46" i="1433"/>
  <c r="C47" i="1430"/>
  <c r="C46" i="1430"/>
  <c r="C39" i="1421"/>
  <c r="C28" i="1421"/>
  <c r="F18" i="1419"/>
  <c r="B18" i="1419"/>
  <c r="B10" i="1420"/>
  <c r="C102" i="1360"/>
  <c r="C101" i="1360"/>
  <c r="G28" i="1419" l="1"/>
  <c r="C110" i="1429" l="1"/>
  <c r="I13" i="1458" l="1"/>
  <c r="I59" i="1458"/>
  <c r="I57" i="1458"/>
  <c r="I56" i="1458"/>
  <c r="I54" i="1458"/>
  <c r="I47" i="1458"/>
  <c r="C23" i="1458"/>
  <c r="J23" i="1458"/>
  <c r="D46" i="1456"/>
  <c r="D49" i="1456" s="1"/>
  <c r="D42" i="1456"/>
  <c r="D45" i="1456" s="1"/>
  <c r="D30" i="1456"/>
  <c r="D23" i="1456"/>
  <c r="D22" i="1456"/>
  <c r="D19" i="1456"/>
  <c r="D6" i="1456"/>
  <c r="D33" i="1456" l="1"/>
  <c r="H23" i="1455"/>
  <c r="H22" i="1455"/>
  <c r="G22" i="1455"/>
  <c r="G20" i="1455"/>
  <c r="I19" i="1455"/>
  <c r="H11" i="1455"/>
  <c r="I7" i="1455" l="1"/>
  <c r="H7" i="1455"/>
  <c r="G26" i="1419"/>
  <c r="C59" i="1466" l="1"/>
  <c r="C59" i="1465"/>
  <c r="F24" i="1419" l="1"/>
  <c r="F7" i="1419" s="1"/>
  <c r="B24" i="1419"/>
  <c r="C44" i="1429"/>
  <c r="C13" i="1428"/>
  <c r="C8" i="1428"/>
  <c r="C44" i="1427"/>
  <c r="C13" i="1427"/>
  <c r="C8" i="1427"/>
  <c r="B21" i="1451"/>
  <c r="B19" i="1451"/>
  <c r="D116" i="1359"/>
  <c r="D48" i="1359"/>
  <c r="D17" i="1358"/>
  <c r="D12" i="1358"/>
  <c r="D48" i="1357" l="1"/>
  <c r="D17" i="1357"/>
  <c r="D12" i="1357"/>
  <c r="H55" i="1458" l="1"/>
  <c r="H56" i="1458"/>
  <c r="H57" i="1458"/>
  <c r="H58" i="1458"/>
  <c r="H59" i="1458"/>
  <c r="H60" i="1458"/>
  <c r="N55" i="1458"/>
  <c r="K23" i="1455"/>
  <c r="I20" i="1455"/>
  <c r="H20" i="1455"/>
  <c r="H19" i="1455"/>
  <c r="H18" i="1455"/>
  <c r="G18" i="1455"/>
  <c r="F18" i="1455"/>
  <c r="E18" i="1455"/>
  <c r="D18" i="1455"/>
  <c r="C18" i="1455"/>
  <c r="G9" i="1455"/>
  <c r="F9" i="1455"/>
  <c r="E9" i="1455"/>
  <c r="D9" i="1455"/>
  <c r="C9" i="1455"/>
  <c r="G8" i="1455"/>
  <c r="E8" i="1455"/>
  <c r="D8" i="1455"/>
  <c r="C8" i="1455"/>
  <c r="B13" i="1451"/>
  <c r="C28" i="1429"/>
  <c r="C28" i="1427"/>
  <c r="D32" i="1359"/>
  <c r="D67" i="1358"/>
  <c r="D67" i="1357"/>
  <c r="F61" i="1419" l="1"/>
  <c r="B61" i="1419"/>
  <c r="B14" i="1450" l="1"/>
  <c r="C35" i="1476" l="1"/>
  <c r="C35" i="1475"/>
  <c r="C28" i="1471"/>
  <c r="C22" i="1471"/>
  <c r="C28" i="1473"/>
  <c r="C22" i="1473"/>
  <c r="C10" i="1466"/>
  <c r="C10" i="1465"/>
  <c r="A1" i="1421" l="1"/>
  <c r="A1" i="1360"/>
  <c r="A1" i="1359"/>
  <c r="A1" i="1358"/>
  <c r="A1" i="1357"/>
  <c r="N62" i="1458"/>
  <c r="N61" i="1458"/>
  <c r="N60" i="1458"/>
  <c r="N59" i="1458"/>
  <c r="N58" i="1458"/>
  <c r="N57" i="1458"/>
  <c r="N56" i="1458"/>
  <c r="N54" i="1458" l="1"/>
  <c r="H54" i="1458"/>
  <c r="N47" i="1458"/>
  <c r="H47" i="1458"/>
  <c r="C56" i="1463" l="1"/>
  <c r="C55" i="1462"/>
  <c r="F24" i="1455" l="1"/>
  <c r="G19" i="1455"/>
  <c r="G13" i="1455"/>
  <c r="G7" i="1455"/>
  <c r="F29" i="1420" l="1"/>
  <c r="B11" i="1450"/>
  <c r="J11" i="1450"/>
  <c r="C51" i="1463"/>
  <c r="C50" i="1462"/>
  <c r="L15" i="1455" l="1"/>
  <c r="I27" i="1453"/>
  <c r="C14" i="1424" l="1"/>
  <c r="D14" i="1424"/>
  <c r="B14" i="1424"/>
  <c r="C17" i="1422"/>
  <c r="D17" i="1422"/>
  <c r="E17" i="1422"/>
  <c r="B17" i="1422"/>
  <c r="A1" i="1464" l="1"/>
  <c r="A1" i="1474"/>
  <c r="A1" i="1477"/>
  <c r="H27" i="1455" l="1"/>
  <c r="K27" i="1455"/>
  <c r="N27" i="1455"/>
  <c r="M27" i="1455"/>
  <c r="L27" i="1455"/>
  <c r="E27" i="1455"/>
  <c r="D27" i="1455"/>
  <c r="C27" i="1455"/>
  <c r="H24" i="1455"/>
  <c r="G24" i="1455"/>
  <c r="D24" i="1455"/>
  <c r="C15" i="1455" l="1"/>
  <c r="I11" i="1455"/>
  <c r="G11" i="1455"/>
  <c r="F11" i="1455"/>
  <c r="E11" i="1455"/>
  <c r="D11" i="1455"/>
  <c r="C11" i="1455"/>
  <c r="F35" i="1459"/>
  <c r="F34" i="1459"/>
  <c r="E35" i="1459"/>
  <c r="D35" i="1459"/>
  <c r="D23" i="1461"/>
  <c r="C23" i="1461"/>
  <c r="B23" i="1461"/>
  <c r="E20" i="1461"/>
  <c r="E19" i="1461"/>
  <c r="E18" i="1461"/>
  <c r="E17" i="1461"/>
  <c r="E16" i="1461"/>
  <c r="D13" i="1461"/>
  <c r="C13" i="1461"/>
  <c r="B13" i="1461"/>
  <c r="E12" i="1461"/>
  <c r="E11" i="1461"/>
  <c r="E10" i="1461"/>
  <c r="E9" i="1461"/>
  <c r="E8" i="1461"/>
  <c r="E7" i="1461"/>
  <c r="E6" i="1461"/>
  <c r="D47" i="1426"/>
  <c r="C47" i="1426"/>
  <c r="B47" i="1426"/>
  <c r="E44" i="1426"/>
  <c r="E43" i="1426"/>
  <c r="E42" i="1426"/>
  <c r="E41" i="1426"/>
  <c r="E40" i="1426"/>
  <c r="D37" i="1426"/>
  <c r="C37" i="1426"/>
  <c r="B37" i="1426"/>
  <c r="E36" i="1426"/>
  <c r="E35" i="1426"/>
  <c r="E34" i="1426"/>
  <c r="E33" i="1426"/>
  <c r="E32" i="1426"/>
  <c r="E31" i="1426"/>
  <c r="E30" i="1426"/>
  <c r="D25" i="1426"/>
  <c r="E24" i="1426"/>
  <c r="E23" i="1426"/>
  <c r="E22" i="1426"/>
  <c r="E21" i="1426"/>
  <c r="C20" i="1426"/>
  <c r="E20" i="1426" s="1"/>
  <c r="B19" i="1426"/>
  <c r="E18" i="1426"/>
  <c r="E17" i="1426"/>
  <c r="D17" i="1426"/>
  <c r="C17" i="1426"/>
  <c r="B17" i="1426"/>
  <c r="D15" i="1426"/>
  <c r="C15" i="1426"/>
  <c r="E14" i="1426"/>
  <c r="E13" i="1426"/>
  <c r="E12" i="1426"/>
  <c r="B11" i="1426"/>
  <c r="E11" i="1426" s="1"/>
  <c r="B10" i="1426"/>
  <c r="E9" i="1426"/>
  <c r="E8" i="1426"/>
  <c r="D47" i="1425"/>
  <c r="C47" i="1425"/>
  <c r="B47" i="1425"/>
  <c r="E44" i="1425"/>
  <c r="E43" i="1425"/>
  <c r="E42" i="1425"/>
  <c r="E41" i="1425"/>
  <c r="E40" i="1425"/>
  <c r="D37" i="1425"/>
  <c r="C37" i="1425"/>
  <c r="B37" i="1425"/>
  <c r="E36" i="1425"/>
  <c r="E35" i="1425"/>
  <c r="E34" i="1425"/>
  <c r="E33" i="1425"/>
  <c r="E32" i="1425"/>
  <c r="E31" i="1425"/>
  <c r="E30" i="1425"/>
  <c r="D25" i="1425"/>
  <c r="C25" i="1425"/>
  <c r="B25" i="1425"/>
  <c r="E24" i="1425"/>
  <c r="E23" i="1425"/>
  <c r="E22" i="1425"/>
  <c r="E21" i="1425"/>
  <c r="E20" i="1425"/>
  <c r="E19" i="1425"/>
  <c r="E18" i="1425"/>
  <c r="D15" i="1425"/>
  <c r="C15" i="1425"/>
  <c r="B15" i="1425"/>
  <c r="E10" i="1425"/>
  <c r="E9" i="1425"/>
  <c r="E8" i="1425"/>
  <c r="D41" i="1424"/>
  <c r="B41" i="1424"/>
  <c r="C40" i="1424"/>
  <c r="E40" i="1424" s="1"/>
  <c r="E38" i="1424"/>
  <c r="E37" i="1424"/>
  <c r="E36" i="1424"/>
  <c r="E35" i="1424"/>
  <c r="D34" i="1424"/>
  <c r="C34" i="1424"/>
  <c r="B34" i="1424"/>
  <c r="D32" i="1424"/>
  <c r="C32" i="1424"/>
  <c r="B32" i="1424"/>
  <c r="E31" i="1424"/>
  <c r="E30" i="1424"/>
  <c r="E29" i="1424"/>
  <c r="E28" i="1424"/>
  <c r="E27" i="1424"/>
  <c r="E26" i="1424"/>
  <c r="D21" i="1424"/>
  <c r="E20" i="1424"/>
  <c r="E19" i="1424"/>
  <c r="E18" i="1424"/>
  <c r="B17" i="1424"/>
  <c r="C17" i="1424" s="1"/>
  <c r="E16" i="1424"/>
  <c r="C15" i="1424"/>
  <c r="D12" i="1424"/>
  <c r="C12" i="1424"/>
  <c r="E11" i="1424"/>
  <c r="E10" i="1424"/>
  <c r="E9" i="1424"/>
  <c r="B8" i="1424"/>
  <c r="E8" i="1424" s="1"/>
  <c r="E7" i="1424"/>
  <c r="E6" i="1424"/>
  <c r="D39" i="1423"/>
  <c r="C39" i="1423"/>
  <c r="B39" i="1423"/>
  <c r="E38" i="1423"/>
  <c r="E37" i="1423"/>
  <c r="E36" i="1423"/>
  <c r="E35" i="1423"/>
  <c r="E34" i="1423"/>
  <c r="E33" i="1423"/>
  <c r="D32" i="1423"/>
  <c r="C32" i="1423"/>
  <c r="B32" i="1423"/>
  <c r="D31" i="1423"/>
  <c r="C31" i="1423"/>
  <c r="B31" i="1423"/>
  <c r="E30" i="1423"/>
  <c r="E29" i="1423"/>
  <c r="E28" i="1423"/>
  <c r="E27" i="1423"/>
  <c r="E26" i="1423"/>
  <c r="E25" i="1423"/>
  <c r="E24" i="1423"/>
  <c r="D21" i="1423"/>
  <c r="C21" i="1423"/>
  <c r="E20" i="1423"/>
  <c r="E19" i="1423"/>
  <c r="E18" i="1423"/>
  <c r="B17" i="1423"/>
  <c r="B21" i="1423" s="1"/>
  <c r="E16" i="1423"/>
  <c r="E15" i="1423"/>
  <c r="D14" i="1423"/>
  <c r="C14" i="1423"/>
  <c r="B14" i="1423"/>
  <c r="D13" i="1423"/>
  <c r="C13" i="1423"/>
  <c r="B13" i="1423"/>
  <c r="E12" i="1423"/>
  <c r="E11" i="1423"/>
  <c r="E10" i="1423"/>
  <c r="E9" i="1423"/>
  <c r="E8" i="1423"/>
  <c r="E7" i="1423"/>
  <c r="D47" i="1422"/>
  <c r="B47" i="1422"/>
  <c r="E46" i="1422"/>
  <c r="E45" i="1422"/>
  <c r="E44" i="1422"/>
  <c r="E43" i="1422"/>
  <c r="E42" i="1422"/>
  <c r="C41" i="1422"/>
  <c r="E41" i="1422" s="1"/>
  <c r="D37" i="1422"/>
  <c r="B37" i="1422"/>
  <c r="E36" i="1422"/>
  <c r="E35" i="1422"/>
  <c r="E34" i="1422"/>
  <c r="E33" i="1422"/>
  <c r="C32" i="1422"/>
  <c r="C37" i="1422" s="1"/>
  <c r="E31" i="1422"/>
  <c r="E30" i="1422"/>
  <c r="E24" i="1422"/>
  <c r="E23" i="1422"/>
  <c r="E22" i="1422"/>
  <c r="E21" i="1422"/>
  <c r="D20" i="1422"/>
  <c r="D25" i="1422" s="1"/>
  <c r="C20" i="1422"/>
  <c r="B20" i="1422"/>
  <c r="C19" i="1422"/>
  <c r="B19" i="1422"/>
  <c r="E18" i="1422"/>
  <c r="D15" i="1422"/>
  <c r="C15" i="1422"/>
  <c r="B15" i="1422"/>
  <c r="E14" i="1422"/>
  <c r="E13" i="1422"/>
  <c r="E12" i="1422"/>
  <c r="E11" i="1422"/>
  <c r="E10" i="1422"/>
  <c r="E9" i="1422"/>
  <c r="E8" i="1422"/>
  <c r="D45" i="1421"/>
  <c r="C44" i="1421"/>
  <c r="B44" i="1421"/>
  <c r="E43" i="1421"/>
  <c r="E42" i="1421"/>
  <c r="E41" i="1421"/>
  <c r="C40" i="1421"/>
  <c r="B40" i="1421"/>
  <c r="B39" i="1421"/>
  <c r="C38" i="1421"/>
  <c r="B38" i="1421"/>
  <c r="D37" i="1421"/>
  <c r="C37" i="1421"/>
  <c r="B37" i="1421"/>
  <c r="D35" i="1421"/>
  <c r="E34" i="1421"/>
  <c r="E33" i="1421"/>
  <c r="E32" i="1421"/>
  <c r="E31" i="1421"/>
  <c r="C30" i="1421"/>
  <c r="B30" i="1421"/>
  <c r="E29" i="1421"/>
  <c r="B28" i="1421"/>
  <c r="K14" i="1450"/>
  <c r="C14" i="1450" s="1"/>
  <c r="D14" i="1450" s="1"/>
  <c r="K13" i="1450"/>
  <c r="C13" i="1450" s="1"/>
  <c r="D13" i="1450" s="1"/>
  <c r="K12" i="1450"/>
  <c r="C12" i="1450" s="1"/>
  <c r="D12" i="1450" s="1"/>
  <c r="K11" i="1450"/>
  <c r="C11" i="1450" s="1"/>
  <c r="D11" i="1450" s="1"/>
  <c r="C53" i="1477"/>
  <c r="E48" i="1475" s="1"/>
  <c r="F48" i="1475" s="1"/>
  <c r="C47" i="1477"/>
  <c r="C39" i="1477"/>
  <c r="C32" i="1477"/>
  <c r="E29" i="1475" s="1"/>
  <c r="F29" i="1475" s="1"/>
  <c r="C27" i="1477"/>
  <c r="C21" i="1477"/>
  <c r="C9" i="1477"/>
  <c r="C49" i="1476"/>
  <c r="E49" i="1475" s="1"/>
  <c r="E45" i="1475"/>
  <c r="C37" i="1476"/>
  <c r="E37" i="1475" s="1"/>
  <c r="C30" i="1476"/>
  <c r="E30" i="1475" s="1"/>
  <c r="C25" i="1476"/>
  <c r="E25" i="1475" s="1"/>
  <c r="C19" i="1476"/>
  <c r="E19" i="1475" s="1"/>
  <c r="C7" i="1476"/>
  <c r="E56" i="1475"/>
  <c r="F56" i="1475" s="1"/>
  <c r="E53" i="1475"/>
  <c r="F53" i="1475" s="1"/>
  <c r="E52" i="1475"/>
  <c r="F52" i="1475" s="1"/>
  <c r="E51" i="1475"/>
  <c r="F51" i="1475" s="1"/>
  <c r="E50" i="1475"/>
  <c r="F50" i="1475" s="1"/>
  <c r="C49" i="1475"/>
  <c r="E47" i="1475"/>
  <c r="F47" i="1475" s="1"/>
  <c r="E46" i="1475"/>
  <c r="F46" i="1475" s="1"/>
  <c r="E39" i="1475"/>
  <c r="F39" i="1475" s="1"/>
  <c r="E38" i="1475"/>
  <c r="F38" i="1475" s="1"/>
  <c r="C37" i="1475"/>
  <c r="E34" i="1475"/>
  <c r="F34" i="1475" s="1"/>
  <c r="E33" i="1475"/>
  <c r="F33" i="1475" s="1"/>
  <c r="E32" i="1475"/>
  <c r="F32" i="1475" s="1"/>
  <c r="E31" i="1475"/>
  <c r="F31" i="1475" s="1"/>
  <c r="C30" i="1475"/>
  <c r="E28" i="1475"/>
  <c r="F28" i="1475" s="1"/>
  <c r="E27" i="1475"/>
  <c r="F27" i="1475" s="1"/>
  <c r="E26" i="1475"/>
  <c r="F26" i="1475" s="1"/>
  <c r="C25" i="1475"/>
  <c r="E24" i="1475"/>
  <c r="F24" i="1475" s="1"/>
  <c r="E23" i="1475"/>
  <c r="F23" i="1475" s="1"/>
  <c r="E22" i="1475"/>
  <c r="F22" i="1475" s="1"/>
  <c r="E21" i="1475"/>
  <c r="F21" i="1475" s="1"/>
  <c r="E20" i="1475"/>
  <c r="F20" i="1475" s="1"/>
  <c r="C19" i="1475"/>
  <c r="E18" i="1475"/>
  <c r="F18" i="1475" s="1"/>
  <c r="E17" i="1475"/>
  <c r="F17" i="1475" s="1"/>
  <c r="E16" i="1475"/>
  <c r="F16" i="1475" s="1"/>
  <c r="E15" i="1475"/>
  <c r="F15" i="1475" s="1"/>
  <c r="E14" i="1475"/>
  <c r="F14" i="1475" s="1"/>
  <c r="E13" i="1475"/>
  <c r="F13" i="1475" s="1"/>
  <c r="E12" i="1475"/>
  <c r="F12" i="1475" s="1"/>
  <c r="E11" i="1475"/>
  <c r="F11" i="1475" s="1"/>
  <c r="E10" i="1475"/>
  <c r="F10" i="1475" s="1"/>
  <c r="E9" i="1475"/>
  <c r="F9" i="1475" s="1"/>
  <c r="E8" i="1475"/>
  <c r="F8" i="1475" s="1"/>
  <c r="E7" i="1475"/>
  <c r="C7" i="1475"/>
  <c r="C53" i="1474"/>
  <c r="C47" i="1474"/>
  <c r="C39" i="1474"/>
  <c r="C32" i="1474"/>
  <c r="C27" i="1474"/>
  <c r="C21" i="1474"/>
  <c r="C9" i="1474"/>
  <c r="C49" i="1473"/>
  <c r="C43" i="1473"/>
  <c r="C37" i="1473"/>
  <c r="C30" i="1473"/>
  <c r="C25" i="1473"/>
  <c r="C19" i="1473"/>
  <c r="C7" i="1473"/>
  <c r="C49" i="1472"/>
  <c r="C43" i="1472"/>
  <c r="C37" i="1472"/>
  <c r="C30" i="1472"/>
  <c r="C25" i="1472"/>
  <c r="C19" i="1472"/>
  <c r="C7" i="1472"/>
  <c r="E58" i="1471"/>
  <c r="F58" i="1471" s="1"/>
  <c r="E56" i="1471"/>
  <c r="F56" i="1471" s="1"/>
  <c r="E54" i="1471"/>
  <c r="F54" i="1471" s="1"/>
  <c r="E53" i="1471"/>
  <c r="F53" i="1471" s="1"/>
  <c r="E52" i="1471"/>
  <c r="F52" i="1471" s="1"/>
  <c r="E51" i="1471"/>
  <c r="F51" i="1471" s="1"/>
  <c r="E50" i="1471"/>
  <c r="F50" i="1471" s="1"/>
  <c r="C49" i="1471"/>
  <c r="E48" i="1471"/>
  <c r="F48" i="1471" s="1"/>
  <c r="E47" i="1471"/>
  <c r="F47" i="1471" s="1"/>
  <c r="E46" i="1471"/>
  <c r="F46" i="1471" s="1"/>
  <c r="E45" i="1471"/>
  <c r="F45" i="1471" s="1"/>
  <c r="E44" i="1471"/>
  <c r="F44" i="1471" s="1"/>
  <c r="C43" i="1471"/>
  <c r="E42" i="1471"/>
  <c r="F42" i="1471" s="1"/>
  <c r="E40" i="1471"/>
  <c r="F40" i="1471" s="1"/>
  <c r="E39" i="1471"/>
  <c r="F39" i="1471" s="1"/>
  <c r="E38" i="1471"/>
  <c r="F38" i="1471" s="1"/>
  <c r="C37" i="1471"/>
  <c r="E35" i="1471"/>
  <c r="F35" i="1471" s="1"/>
  <c r="E34" i="1471"/>
  <c r="F34" i="1471" s="1"/>
  <c r="E33" i="1471"/>
  <c r="F33" i="1471" s="1"/>
  <c r="E32" i="1471"/>
  <c r="F32" i="1471" s="1"/>
  <c r="E31" i="1471"/>
  <c r="F31" i="1471" s="1"/>
  <c r="C30" i="1471"/>
  <c r="E29" i="1471"/>
  <c r="F29" i="1471" s="1"/>
  <c r="E28" i="1471"/>
  <c r="F28" i="1471" s="1"/>
  <c r="E27" i="1471"/>
  <c r="F27" i="1471" s="1"/>
  <c r="E26" i="1471"/>
  <c r="F26" i="1471" s="1"/>
  <c r="C25" i="1471"/>
  <c r="E24" i="1471"/>
  <c r="F24" i="1471" s="1"/>
  <c r="E23" i="1471"/>
  <c r="F23" i="1471" s="1"/>
  <c r="E22" i="1471"/>
  <c r="F22" i="1471" s="1"/>
  <c r="E21" i="1471"/>
  <c r="F21" i="1471" s="1"/>
  <c r="E20" i="1471"/>
  <c r="F20" i="1471" s="1"/>
  <c r="C19" i="1471"/>
  <c r="E18" i="1471"/>
  <c r="F18" i="1471" s="1"/>
  <c r="E17" i="1471"/>
  <c r="F17" i="1471" s="1"/>
  <c r="E16" i="1471"/>
  <c r="F16" i="1471" s="1"/>
  <c r="E15" i="1471"/>
  <c r="F15" i="1471" s="1"/>
  <c r="E14" i="1471"/>
  <c r="F14" i="1471" s="1"/>
  <c r="E13" i="1471"/>
  <c r="F13" i="1471" s="1"/>
  <c r="E12" i="1471"/>
  <c r="F12" i="1471" s="1"/>
  <c r="E11" i="1471"/>
  <c r="F11" i="1471" s="1"/>
  <c r="E10" i="1471"/>
  <c r="F10" i="1471" s="1"/>
  <c r="E9" i="1471"/>
  <c r="F9" i="1471" s="1"/>
  <c r="E8" i="1471"/>
  <c r="F8" i="1471" s="1"/>
  <c r="C7" i="1471"/>
  <c r="C36" i="1471" s="1"/>
  <c r="C53" i="1470"/>
  <c r="C47" i="1470"/>
  <c r="C59" i="1470" s="1"/>
  <c r="C39" i="1470"/>
  <c r="C32" i="1470"/>
  <c r="C27" i="1470"/>
  <c r="C21" i="1470"/>
  <c r="C9" i="1470"/>
  <c r="C51" i="1469"/>
  <c r="C43" i="1469"/>
  <c r="C37" i="1469"/>
  <c r="C30" i="1469"/>
  <c r="C25" i="1469"/>
  <c r="E25" i="1468" s="1"/>
  <c r="C19" i="1469"/>
  <c r="C7" i="1469"/>
  <c r="E56" i="1468"/>
  <c r="F56" i="1468" s="1"/>
  <c r="E54" i="1468"/>
  <c r="F54" i="1468" s="1"/>
  <c r="E53" i="1468"/>
  <c r="F53" i="1468" s="1"/>
  <c r="E52" i="1468"/>
  <c r="F52" i="1468" s="1"/>
  <c r="C51" i="1468"/>
  <c r="E50" i="1468"/>
  <c r="F50" i="1468" s="1"/>
  <c r="E48" i="1468"/>
  <c r="F48" i="1468" s="1"/>
  <c r="E47" i="1468"/>
  <c r="F47" i="1468" s="1"/>
  <c r="E46" i="1468"/>
  <c r="F46" i="1468" s="1"/>
  <c r="E45" i="1468"/>
  <c r="F45" i="1468" s="1"/>
  <c r="E44" i="1468"/>
  <c r="F44" i="1468" s="1"/>
  <c r="C43" i="1468"/>
  <c r="E42" i="1468"/>
  <c r="F42" i="1468" s="1"/>
  <c r="E40" i="1468"/>
  <c r="F40" i="1468" s="1"/>
  <c r="E39" i="1468"/>
  <c r="F39" i="1468" s="1"/>
  <c r="E38" i="1468"/>
  <c r="F38" i="1468" s="1"/>
  <c r="C37" i="1468"/>
  <c r="E35" i="1468"/>
  <c r="F35" i="1468" s="1"/>
  <c r="E34" i="1468"/>
  <c r="F34" i="1468" s="1"/>
  <c r="E33" i="1468"/>
  <c r="F33" i="1468" s="1"/>
  <c r="E32" i="1468"/>
  <c r="F32" i="1468" s="1"/>
  <c r="E31" i="1468"/>
  <c r="F31" i="1468" s="1"/>
  <c r="C30" i="1468"/>
  <c r="E29" i="1468"/>
  <c r="F29" i="1468" s="1"/>
  <c r="E28" i="1468"/>
  <c r="F28" i="1468" s="1"/>
  <c r="E27" i="1468"/>
  <c r="F27" i="1468" s="1"/>
  <c r="E26" i="1468"/>
  <c r="F26" i="1468" s="1"/>
  <c r="C25" i="1468"/>
  <c r="E24" i="1468"/>
  <c r="F24" i="1468" s="1"/>
  <c r="E23" i="1468"/>
  <c r="F23" i="1468" s="1"/>
  <c r="E22" i="1468"/>
  <c r="F22" i="1468" s="1"/>
  <c r="E21" i="1468"/>
  <c r="F21" i="1468" s="1"/>
  <c r="E20" i="1468"/>
  <c r="F20" i="1468" s="1"/>
  <c r="C19" i="1468"/>
  <c r="E18" i="1468"/>
  <c r="F18" i="1468" s="1"/>
  <c r="E17" i="1468"/>
  <c r="F17" i="1468" s="1"/>
  <c r="E16" i="1468"/>
  <c r="F16" i="1468" s="1"/>
  <c r="E15" i="1468"/>
  <c r="F15" i="1468" s="1"/>
  <c r="E14" i="1468"/>
  <c r="F14" i="1468" s="1"/>
  <c r="E13" i="1468"/>
  <c r="F13" i="1468" s="1"/>
  <c r="E12" i="1468"/>
  <c r="F12" i="1468" s="1"/>
  <c r="E11" i="1468"/>
  <c r="F11" i="1468" s="1"/>
  <c r="E10" i="1468"/>
  <c r="F10" i="1468" s="1"/>
  <c r="E9" i="1468"/>
  <c r="F9" i="1468" s="1"/>
  <c r="E8" i="1468"/>
  <c r="F8" i="1468" s="1"/>
  <c r="C7" i="1468"/>
  <c r="C51" i="1467"/>
  <c r="C45" i="1467"/>
  <c r="C37" i="1467"/>
  <c r="C30" i="1467"/>
  <c r="C25" i="1467"/>
  <c r="C19" i="1467"/>
  <c r="C7" i="1467"/>
  <c r="C51" i="1466"/>
  <c r="C45" i="1466"/>
  <c r="C37" i="1466"/>
  <c r="C30" i="1466"/>
  <c r="C25" i="1466"/>
  <c r="C19" i="1466"/>
  <c r="C7" i="1466"/>
  <c r="E59" i="1465"/>
  <c r="F59" i="1465" s="1"/>
  <c r="E58" i="1465"/>
  <c r="F58" i="1465" s="1"/>
  <c r="E56" i="1465"/>
  <c r="F56" i="1465" s="1"/>
  <c r="E55" i="1465"/>
  <c r="F55" i="1465" s="1"/>
  <c r="E54" i="1465"/>
  <c r="F54" i="1465" s="1"/>
  <c r="E53" i="1465"/>
  <c r="F53" i="1465" s="1"/>
  <c r="E52" i="1465"/>
  <c r="F52" i="1465" s="1"/>
  <c r="C51" i="1465"/>
  <c r="E50" i="1465"/>
  <c r="F50" i="1465" s="1"/>
  <c r="E49" i="1465"/>
  <c r="F49" i="1465" s="1"/>
  <c r="E48" i="1465"/>
  <c r="F48" i="1465" s="1"/>
  <c r="E47" i="1465"/>
  <c r="F47" i="1465" s="1"/>
  <c r="E46" i="1465"/>
  <c r="F46" i="1465" s="1"/>
  <c r="C45" i="1465"/>
  <c r="E44" i="1465"/>
  <c r="F44" i="1465" s="1"/>
  <c r="E43" i="1465"/>
  <c r="F43" i="1465" s="1"/>
  <c r="E42" i="1465"/>
  <c r="F42" i="1465" s="1"/>
  <c r="E40" i="1465"/>
  <c r="F40" i="1465" s="1"/>
  <c r="E39" i="1465"/>
  <c r="F39" i="1465" s="1"/>
  <c r="E38" i="1465"/>
  <c r="F38" i="1465" s="1"/>
  <c r="C37" i="1465"/>
  <c r="E35" i="1465"/>
  <c r="F35" i="1465" s="1"/>
  <c r="E34" i="1465"/>
  <c r="F34" i="1465" s="1"/>
  <c r="E33" i="1465"/>
  <c r="F33" i="1465" s="1"/>
  <c r="E32" i="1465"/>
  <c r="F32" i="1465" s="1"/>
  <c r="E31" i="1465"/>
  <c r="F31" i="1465" s="1"/>
  <c r="C30" i="1465"/>
  <c r="E29" i="1465"/>
  <c r="F29" i="1465" s="1"/>
  <c r="E28" i="1465"/>
  <c r="F28" i="1465" s="1"/>
  <c r="E27" i="1465"/>
  <c r="F27" i="1465" s="1"/>
  <c r="E26" i="1465"/>
  <c r="F26" i="1465" s="1"/>
  <c r="C25" i="1465"/>
  <c r="E24" i="1465"/>
  <c r="F24" i="1465" s="1"/>
  <c r="E23" i="1465"/>
  <c r="F23" i="1465" s="1"/>
  <c r="E22" i="1465"/>
  <c r="F22" i="1465" s="1"/>
  <c r="E21" i="1465"/>
  <c r="F21" i="1465" s="1"/>
  <c r="E20" i="1465"/>
  <c r="F20" i="1465" s="1"/>
  <c r="C19" i="1465"/>
  <c r="E18" i="1465"/>
  <c r="F18" i="1465" s="1"/>
  <c r="E17" i="1465"/>
  <c r="F17" i="1465" s="1"/>
  <c r="E16" i="1465"/>
  <c r="F16" i="1465" s="1"/>
  <c r="E15" i="1465"/>
  <c r="F15" i="1465" s="1"/>
  <c r="E14" i="1465"/>
  <c r="F14" i="1465" s="1"/>
  <c r="E13" i="1465"/>
  <c r="F13" i="1465" s="1"/>
  <c r="E12" i="1465"/>
  <c r="F12" i="1465" s="1"/>
  <c r="E11" i="1465"/>
  <c r="F11" i="1465" s="1"/>
  <c r="E10" i="1465"/>
  <c r="F10" i="1465" s="1"/>
  <c r="E9" i="1465"/>
  <c r="F9" i="1465" s="1"/>
  <c r="E8" i="1465"/>
  <c r="F8" i="1465" s="1"/>
  <c r="C7" i="1465"/>
  <c r="C53" i="1464"/>
  <c r="C47" i="1464"/>
  <c r="C39" i="1464"/>
  <c r="C32" i="1464"/>
  <c r="C27" i="1464"/>
  <c r="C21" i="1464"/>
  <c r="C9" i="1464"/>
  <c r="C49" i="1463"/>
  <c r="C43" i="1463"/>
  <c r="C37" i="1463"/>
  <c r="E36" i="1462" s="1"/>
  <c r="C30" i="1463"/>
  <c r="C25" i="1463"/>
  <c r="C19" i="1463"/>
  <c r="C7" i="1463"/>
  <c r="E55" i="1462"/>
  <c r="F55" i="1462" s="1"/>
  <c r="E53" i="1462"/>
  <c r="F53" i="1462" s="1"/>
  <c r="E52" i="1462"/>
  <c r="F52" i="1462" s="1"/>
  <c r="E51" i="1462"/>
  <c r="F51" i="1462" s="1"/>
  <c r="E50" i="1462"/>
  <c r="F50" i="1462" s="1"/>
  <c r="E49" i="1462"/>
  <c r="F49" i="1462" s="1"/>
  <c r="C48" i="1462"/>
  <c r="E47" i="1462"/>
  <c r="F47" i="1462" s="1"/>
  <c r="E46" i="1462"/>
  <c r="F46" i="1462" s="1"/>
  <c r="E45" i="1462"/>
  <c r="F45" i="1462" s="1"/>
  <c r="E44" i="1462"/>
  <c r="F44" i="1462" s="1"/>
  <c r="E43" i="1462"/>
  <c r="F43" i="1462" s="1"/>
  <c r="E41" i="1462"/>
  <c r="F41" i="1462" s="1"/>
  <c r="E39" i="1462"/>
  <c r="F39" i="1462" s="1"/>
  <c r="E38" i="1462"/>
  <c r="F38" i="1462" s="1"/>
  <c r="E37" i="1462"/>
  <c r="F37" i="1462" s="1"/>
  <c r="E34" i="1462"/>
  <c r="F34" i="1462" s="1"/>
  <c r="E33" i="1462"/>
  <c r="F33" i="1462" s="1"/>
  <c r="E32" i="1462"/>
  <c r="F32" i="1462" s="1"/>
  <c r="E31" i="1462"/>
  <c r="F31" i="1462" s="1"/>
  <c r="E30" i="1462"/>
  <c r="F30" i="1462" s="1"/>
  <c r="C29" i="1462"/>
  <c r="E28" i="1462"/>
  <c r="F28" i="1462" s="1"/>
  <c r="E27" i="1462"/>
  <c r="F27" i="1462" s="1"/>
  <c r="E26" i="1462"/>
  <c r="F26" i="1462" s="1"/>
  <c r="C25" i="1462"/>
  <c r="E24" i="1462"/>
  <c r="F24" i="1462" s="1"/>
  <c r="E23" i="1462"/>
  <c r="F23" i="1462" s="1"/>
  <c r="E22" i="1462"/>
  <c r="F22" i="1462" s="1"/>
  <c r="E21" i="1462"/>
  <c r="F21" i="1462" s="1"/>
  <c r="E20" i="1462"/>
  <c r="F20" i="1462" s="1"/>
  <c r="C19" i="1462"/>
  <c r="E18" i="1462"/>
  <c r="F18" i="1462" s="1"/>
  <c r="E17" i="1462"/>
  <c r="F17" i="1462" s="1"/>
  <c r="E16" i="1462"/>
  <c r="F16" i="1462" s="1"/>
  <c r="E15" i="1462"/>
  <c r="F15" i="1462" s="1"/>
  <c r="E14" i="1462"/>
  <c r="F14" i="1462" s="1"/>
  <c r="E13" i="1462"/>
  <c r="F13" i="1462" s="1"/>
  <c r="E12" i="1462"/>
  <c r="F12" i="1462" s="1"/>
  <c r="E11" i="1462"/>
  <c r="F11" i="1462" s="1"/>
  <c r="E10" i="1462"/>
  <c r="F10" i="1462" s="1"/>
  <c r="E9" i="1462"/>
  <c r="F9" i="1462" s="1"/>
  <c r="E8" i="1462"/>
  <c r="F8" i="1462" s="1"/>
  <c r="C7" i="1462"/>
  <c r="D45" i="1461"/>
  <c r="C45" i="1461"/>
  <c r="B45" i="1461"/>
  <c r="E42" i="1461"/>
  <c r="E41" i="1461"/>
  <c r="E40" i="1461"/>
  <c r="E39" i="1461"/>
  <c r="E38" i="1461"/>
  <c r="D35" i="1461"/>
  <c r="C35" i="1461"/>
  <c r="B35" i="1461"/>
  <c r="E34" i="1461"/>
  <c r="E33" i="1461"/>
  <c r="E32" i="1461"/>
  <c r="E31" i="1461"/>
  <c r="E30" i="1461"/>
  <c r="E29" i="1461"/>
  <c r="E28" i="1461"/>
  <c r="G43" i="1419"/>
  <c r="G60" i="1419"/>
  <c r="F56" i="1419"/>
  <c r="B56" i="1419"/>
  <c r="G54" i="1419"/>
  <c r="F151" i="1359"/>
  <c r="F146" i="1359"/>
  <c r="F139" i="1359"/>
  <c r="F135" i="1359"/>
  <c r="F121" i="1359"/>
  <c r="F120" i="1359" s="1"/>
  <c r="F104" i="1359"/>
  <c r="F102" i="1359"/>
  <c r="F101" i="1359"/>
  <c r="F100" i="1359"/>
  <c r="F86" i="1359"/>
  <c r="F82" i="1359"/>
  <c r="F79" i="1359"/>
  <c r="F74" i="1359"/>
  <c r="F70" i="1359"/>
  <c r="F64" i="1359"/>
  <c r="F59" i="1359"/>
  <c r="F53" i="1359"/>
  <c r="F47" i="1359"/>
  <c r="F43" i="1359"/>
  <c r="F35" i="1359"/>
  <c r="F34" i="1359" s="1"/>
  <c r="F32" i="1359"/>
  <c r="F27" i="1359" s="1"/>
  <c r="F25" i="1359"/>
  <c r="F20" i="1359" s="1"/>
  <c r="F11" i="1359"/>
  <c r="F151" i="1358"/>
  <c r="F146" i="1358"/>
  <c r="F139" i="1358"/>
  <c r="F135" i="1358"/>
  <c r="F121" i="1358"/>
  <c r="F120" i="1358" s="1"/>
  <c r="F104" i="1358"/>
  <c r="F101" i="1358"/>
  <c r="F100" i="1358"/>
  <c r="F86" i="1358"/>
  <c r="F82" i="1358"/>
  <c r="F80" i="1358"/>
  <c r="F79" i="1358" s="1"/>
  <c r="F74" i="1358"/>
  <c r="F70" i="1358"/>
  <c r="F64" i="1358"/>
  <c r="F59" i="1358"/>
  <c r="F53" i="1358"/>
  <c r="F48" i="1358"/>
  <c r="F47" i="1358"/>
  <c r="F46" i="1358"/>
  <c r="F44" i="1358"/>
  <c r="F43" i="1358"/>
  <c r="F35" i="1358"/>
  <c r="F34" i="1358" s="1"/>
  <c r="F27" i="1358"/>
  <c r="F20" i="1358"/>
  <c r="F11" i="1358"/>
  <c r="F151" i="1357"/>
  <c r="F146" i="1357"/>
  <c r="F139" i="1357"/>
  <c r="F135" i="1357"/>
  <c r="F125" i="1357"/>
  <c r="F123" i="1357"/>
  <c r="F121" i="1357"/>
  <c r="F117" i="1357"/>
  <c r="F104" i="1357"/>
  <c r="F101" i="1357"/>
  <c r="F100" i="1357"/>
  <c r="F86" i="1357"/>
  <c r="F82" i="1357"/>
  <c r="F80" i="1357"/>
  <c r="F79" i="1357" s="1"/>
  <c r="F74" i="1357"/>
  <c r="F70" i="1357"/>
  <c r="F64" i="1357"/>
  <c r="F59" i="1357"/>
  <c r="F53" i="1357"/>
  <c r="F48" i="1357"/>
  <c r="F47" i="1357"/>
  <c r="F46" i="1357"/>
  <c r="F44" i="1357"/>
  <c r="F43" i="1357"/>
  <c r="F35" i="1357"/>
  <c r="F34" i="1357" s="1"/>
  <c r="F32" i="1357"/>
  <c r="F27" i="1357" s="1"/>
  <c r="F25" i="1357"/>
  <c r="F20" i="1357" s="1"/>
  <c r="F14" i="1357"/>
  <c r="F11" i="1357" s="1"/>
  <c r="E43" i="1468" l="1"/>
  <c r="E7" i="1465"/>
  <c r="E25" i="1465"/>
  <c r="F25" i="1465" s="1"/>
  <c r="E51" i="1465"/>
  <c r="E37" i="1465"/>
  <c r="F37" i="1465" s="1"/>
  <c r="E30" i="1465"/>
  <c r="E35" i="1461"/>
  <c r="E30" i="1468"/>
  <c r="B15" i="1426"/>
  <c r="E7" i="1468"/>
  <c r="E37" i="1468"/>
  <c r="C35" i="1462"/>
  <c r="F99" i="1358"/>
  <c r="F134" i="1358" s="1"/>
  <c r="F99" i="1357"/>
  <c r="F120" i="1357"/>
  <c r="F159" i="1357"/>
  <c r="F41" i="1358"/>
  <c r="F93" i="1358"/>
  <c r="F159" i="1358"/>
  <c r="E19" i="1462"/>
  <c r="F19" i="1462" s="1"/>
  <c r="E29" i="1462"/>
  <c r="F29" i="1462" s="1"/>
  <c r="E19" i="1471"/>
  <c r="F19" i="1471" s="1"/>
  <c r="E30" i="1471"/>
  <c r="F30" i="1471" s="1"/>
  <c r="C36" i="1468"/>
  <c r="C41" i="1468" s="1"/>
  <c r="E25" i="1462"/>
  <c r="F25" i="1462" s="1"/>
  <c r="E48" i="1462"/>
  <c r="F48" i="1462" s="1"/>
  <c r="E19" i="1465"/>
  <c r="F19" i="1465" s="1"/>
  <c r="C55" i="1472"/>
  <c r="E25" i="1471"/>
  <c r="F25" i="1471" s="1"/>
  <c r="E37" i="1471"/>
  <c r="F37" i="1471" s="1"/>
  <c r="E49" i="1471"/>
  <c r="F49" i="1471" s="1"/>
  <c r="C36" i="1475"/>
  <c r="C41" i="1475" s="1"/>
  <c r="F45" i="1475"/>
  <c r="C35" i="1421"/>
  <c r="E30" i="1421"/>
  <c r="E38" i="1421"/>
  <c r="E40" i="1421"/>
  <c r="E15" i="1422"/>
  <c r="E13" i="1423"/>
  <c r="E17" i="1423"/>
  <c r="E21" i="1423" s="1"/>
  <c r="E39" i="1423"/>
  <c r="C41" i="1424"/>
  <c r="E41" i="1424" s="1"/>
  <c r="E10" i="1426"/>
  <c r="E15" i="1426" s="1"/>
  <c r="C25" i="1426"/>
  <c r="C49" i="1469"/>
  <c r="E49" i="1468" s="1"/>
  <c r="E51" i="1468"/>
  <c r="F51" i="1468" s="1"/>
  <c r="C36" i="1473"/>
  <c r="C41" i="1473" s="1"/>
  <c r="E7" i="1471"/>
  <c r="F7" i="1471" s="1"/>
  <c r="C43" i="1476"/>
  <c r="E43" i="1475" s="1"/>
  <c r="E44" i="1475"/>
  <c r="F44" i="1475" s="1"/>
  <c r="C59" i="1477"/>
  <c r="E54" i="1475" s="1"/>
  <c r="F54" i="1475" s="1"/>
  <c r="E42" i="1475"/>
  <c r="F42" i="1475" s="1"/>
  <c r="F69" i="1358"/>
  <c r="C38" i="1464"/>
  <c r="C43" i="1464" s="1"/>
  <c r="E7" i="1462"/>
  <c r="F7" i="1462" s="1"/>
  <c r="E19" i="1468"/>
  <c r="F19" i="1468" s="1"/>
  <c r="C43" i="1475"/>
  <c r="C55" i="1475" s="1"/>
  <c r="F41" i="1357"/>
  <c r="F69" i="1357" s="1"/>
  <c r="F93" i="1357"/>
  <c r="F41" i="1359"/>
  <c r="F69" i="1359" s="1"/>
  <c r="F99" i="1359"/>
  <c r="F134" i="1359" s="1"/>
  <c r="F159" i="1359"/>
  <c r="C36" i="1463"/>
  <c r="C41" i="1463" s="1"/>
  <c r="C59" i="1464"/>
  <c r="C36" i="1465"/>
  <c r="C41" i="1465" s="1"/>
  <c r="C57" i="1466"/>
  <c r="C36" i="1467"/>
  <c r="C41" i="1467" s="1"/>
  <c r="F25" i="1468"/>
  <c r="F30" i="1468"/>
  <c r="C36" i="1469"/>
  <c r="C38" i="1470"/>
  <c r="C43" i="1470" s="1"/>
  <c r="C38" i="1474"/>
  <c r="C43" i="1474" s="1"/>
  <c r="F25" i="1475"/>
  <c r="F30" i="1475"/>
  <c r="E44" i="1421"/>
  <c r="E19" i="1422"/>
  <c r="C47" i="1422"/>
  <c r="E31" i="1423"/>
  <c r="E15" i="1425"/>
  <c r="E25" i="1425"/>
  <c r="E37" i="1425"/>
  <c r="E47" i="1425"/>
  <c r="E19" i="1426"/>
  <c r="E25" i="1426" s="1"/>
  <c r="E37" i="1426"/>
  <c r="E47" i="1426"/>
  <c r="E13" i="1461"/>
  <c r="E23" i="1461"/>
  <c r="F37" i="1475"/>
  <c r="C55" i="1469"/>
  <c r="E55" i="1468" s="1"/>
  <c r="E45" i="1465"/>
  <c r="F45" i="1465" s="1"/>
  <c r="C55" i="1473"/>
  <c r="E43" i="1471"/>
  <c r="F43" i="1471" s="1"/>
  <c r="F93" i="1359"/>
  <c r="C42" i="1462"/>
  <c r="C54" i="1462" s="1"/>
  <c r="C49" i="1468"/>
  <c r="C55" i="1468" s="1"/>
  <c r="E39" i="1421"/>
  <c r="C25" i="1422"/>
  <c r="E40" i="1422"/>
  <c r="E47" i="1422" s="1"/>
  <c r="F30" i="1465"/>
  <c r="F51" i="1465"/>
  <c r="C36" i="1466"/>
  <c r="C57" i="1467"/>
  <c r="E57" i="1465" s="1"/>
  <c r="F37" i="1468"/>
  <c r="C36" i="1472"/>
  <c r="C59" i="1474"/>
  <c r="F19" i="1475"/>
  <c r="F49" i="1475"/>
  <c r="C36" i="1476"/>
  <c r="E36" i="1475" s="1"/>
  <c r="C38" i="1477"/>
  <c r="E35" i="1475" s="1"/>
  <c r="F35" i="1475" s="1"/>
  <c r="E28" i="1421"/>
  <c r="C45" i="1421"/>
  <c r="E32" i="1422"/>
  <c r="E37" i="1422" s="1"/>
  <c r="C21" i="1424"/>
  <c r="E17" i="1424"/>
  <c r="B21" i="1424"/>
  <c r="E21" i="1424" s="1"/>
  <c r="E32" i="1424"/>
  <c r="B25" i="1426"/>
  <c r="E45" i="1461"/>
  <c r="E39" i="1424"/>
  <c r="B12" i="1424"/>
  <c r="E12" i="1424" s="1"/>
  <c r="E15" i="1424"/>
  <c r="B25" i="1422"/>
  <c r="E20" i="1422"/>
  <c r="B35" i="1421"/>
  <c r="B45" i="1421"/>
  <c r="C55" i="1463"/>
  <c r="E42" i="1462"/>
  <c r="C36" i="1462"/>
  <c r="F36" i="1462" s="1"/>
  <c r="F7" i="1465"/>
  <c r="C41" i="1471"/>
  <c r="C41" i="1472"/>
  <c r="C57" i="1465"/>
  <c r="C41" i="1469"/>
  <c r="C43" i="1477"/>
  <c r="E40" i="1475" s="1"/>
  <c r="F40" i="1475" s="1"/>
  <c r="F43" i="1468"/>
  <c r="C55" i="1471"/>
  <c r="F7" i="1475"/>
  <c r="F7" i="1468"/>
  <c r="E35" i="1462" l="1"/>
  <c r="F35" i="1462" s="1"/>
  <c r="E35" i="1421"/>
  <c r="E36" i="1471"/>
  <c r="F36" i="1471" s="1"/>
  <c r="F94" i="1357"/>
  <c r="E36" i="1468"/>
  <c r="F36" i="1468" s="1"/>
  <c r="E40" i="1462"/>
  <c r="F160" i="1359"/>
  <c r="F94" i="1358"/>
  <c r="E45" i="1421"/>
  <c r="F43" i="1475"/>
  <c r="C55" i="1476"/>
  <c r="E55" i="1475" s="1"/>
  <c r="F55" i="1475" s="1"/>
  <c r="C41" i="1476"/>
  <c r="E41" i="1475" s="1"/>
  <c r="F41" i="1475" s="1"/>
  <c r="F160" i="1358"/>
  <c r="E41" i="1468"/>
  <c r="F41" i="1468" s="1"/>
  <c r="E54" i="1462"/>
  <c r="F54" i="1462" s="1"/>
  <c r="E25" i="1422"/>
  <c r="F49" i="1468"/>
  <c r="F134" i="1357"/>
  <c r="F160" i="1357" s="1"/>
  <c r="F36" i="1475"/>
  <c r="F94" i="1359"/>
  <c r="E55" i="1471"/>
  <c r="F55" i="1471" s="1"/>
  <c r="E41" i="1471"/>
  <c r="F41" i="1471" s="1"/>
  <c r="F42" i="1462"/>
  <c r="F55" i="1468"/>
  <c r="F57" i="1465"/>
  <c r="C41" i="1466"/>
  <c r="E41" i="1465" s="1"/>
  <c r="F41" i="1465" s="1"/>
  <c r="E36" i="1465"/>
  <c r="F36" i="1465" s="1"/>
  <c r="C40" i="1462"/>
  <c r="F40" i="1462" l="1"/>
  <c r="G15" i="1455"/>
  <c r="I13" i="1455"/>
  <c r="K67" i="1458"/>
  <c r="E64" i="1458"/>
  <c r="C48" i="1427"/>
  <c r="C48" i="1428"/>
  <c r="N14" i="1458"/>
  <c r="H14" i="1458"/>
  <c r="D11" i="1458"/>
  <c r="D57" i="1452" l="1"/>
  <c r="D62" i="1452"/>
  <c r="D11" i="1452"/>
  <c r="D8" i="1452" s="1"/>
  <c r="D122" i="1452"/>
  <c r="C148" i="1452"/>
  <c r="C143" i="1452"/>
  <c r="C136" i="1452"/>
  <c r="C132" i="1452"/>
  <c r="C122" i="1452"/>
  <c r="C117" i="1452" s="1"/>
  <c r="C101" i="1452"/>
  <c r="C96" i="1452" s="1"/>
  <c r="C84" i="1452"/>
  <c r="C80" i="1452"/>
  <c r="C77" i="1452"/>
  <c r="C72" i="1452"/>
  <c r="C68" i="1452"/>
  <c r="C62" i="1452"/>
  <c r="C57" i="1452"/>
  <c r="C51" i="1452"/>
  <c r="C39" i="1452"/>
  <c r="C32" i="1452"/>
  <c r="C31" i="1452" s="1"/>
  <c r="C24" i="1452"/>
  <c r="C23" i="1452"/>
  <c r="C17" i="1452"/>
  <c r="C8" i="1452"/>
  <c r="E36" i="1452"/>
  <c r="I36" i="1452"/>
  <c r="C156" i="1452" l="1"/>
  <c r="C131" i="1452"/>
  <c r="C67" i="1452"/>
  <c r="C91" i="1452"/>
  <c r="B30" i="1451"/>
  <c r="J15" i="1450"/>
  <c r="G15" i="1450"/>
  <c r="F15" i="1450"/>
  <c r="E15" i="1450"/>
  <c r="C145" i="1429"/>
  <c r="C140" i="1429"/>
  <c r="C133" i="1429"/>
  <c r="C129" i="1429"/>
  <c r="C114" i="1429"/>
  <c r="C98" i="1429"/>
  <c r="C93" i="1429" s="1"/>
  <c r="C66" i="1429"/>
  <c r="C60" i="1429"/>
  <c r="C55" i="1429"/>
  <c r="C49" i="1429"/>
  <c r="C37" i="1429"/>
  <c r="C31" i="1429"/>
  <c r="C30" i="1429" s="1"/>
  <c r="C23" i="1429"/>
  <c r="C16" i="1429"/>
  <c r="C10" i="1429"/>
  <c r="C7" i="1429" s="1"/>
  <c r="D14" i="1359"/>
  <c r="D11" i="1359" s="1"/>
  <c r="D20" i="1359"/>
  <c r="D27" i="1359"/>
  <c r="D35" i="1359"/>
  <c r="D34" i="1359" s="1"/>
  <c r="D41" i="1359"/>
  <c r="D53" i="1359"/>
  <c r="D59" i="1359"/>
  <c r="D64" i="1359"/>
  <c r="D70" i="1359"/>
  <c r="C144" i="1428"/>
  <c r="C139" i="1428"/>
  <c r="C132" i="1428"/>
  <c r="C128" i="1428"/>
  <c r="C118" i="1428"/>
  <c r="C113" i="1428" s="1"/>
  <c r="C110" i="1428"/>
  <c r="C97" i="1428"/>
  <c r="C82" i="1428"/>
  <c r="C78" i="1428"/>
  <c r="C75" i="1428"/>
  <c r="C70" i="1428"/>
  <c r="C66" i="1428"/>
  <c r="C60" i="1428"/>
  <c r="C55" i="1428"/>
  <c r="C49" i="1428"/>
  <c r="C37" i="1428"/>
  <c r="C36" i="1428"/>
  <c r="C33" i="1428"/>
  <c r="C32" i="1428"/>
  <c r="C29" i="1428"/>
  <c r="C23" i="1428"/>
  <c r="C22" i="1428"/>
  <c r="C16" i="1428"/>
  <c r="C10" i="1428"/>
  <c r="C7" i="1428" s="1"/>
  <c r="C70" i="1429"/>
  <c r="C75" i="1429"/>
  <c r="C78" i="1429"/>
  <c r="C82" i="1429"/>
  <c r="C145" i="1427"/>
  <c r="C140" i="1427"/>
  <c r="C133" i="1427"/>
  <c r="C129" i="1427"/>
  <c r="C119" i="1427"/>
  <c r="C114" i="1427" s="1"/>
  <c r="C111" i="1427"/>
  <c r="C98" i="1427"/>
  <c r="C82" i="1427"/>
  <c r="C78" i="1427"/>
  <c r="C75" i="1427"/>
  <c r="C70" i="1427"/>
  <c r="C66" i="1427"/>
  <c r="C60" i="1427"/>
  <c r="C55" i="1427"/>
  <c r="C49" i="1427"/>
  <c r="C37" i="1427"/>
  <c r="C31" i="1427"/>
  <c r="C30" i="1427" s="1"/>
  <c r="C29" i="1427"/>
  <c r="C23" i="1427"/>
  <c r="C22" i="1427"/>
  <c r="C16" i="1427"/>
  <c r="C10" i="1427"/>
  <c r="C7" i="1427" s="1"/>
  <c r="C92" i="1452" l="1"/>
  <c r="C157" i="1452"/>
  <c r="C153" i="1427"/>
  <c r="C89" i="1427"/>
  <c r="C153" i="1429"/>
  <c r="C65" i="1427"/>
  <c r="C31" i="1428"/>
  <c r="C30" i="1428" s="1"/>
  <c r="C65" i="1428" s="1"/>
  <c r="C128" i="1429"/>
  <c r="D69" i="1359"/>
  <c r="C89" i="1428"/>
  <c r="C152" i="1428"/>
  <c r="C65" i="1429"/>
  <c r="C93" i="1427"/>
  <c r="C128" i="1427" s="1"/>
  <c r="C92" i="1428"/>
  <c r="C127" i="1428" s="1"/>
  <c r="C89" i="1429"/>
  <c r="D40" i="1358"/>
  <c r="D37" i="1358"/>
  <c r="D36" i="1358"/>
  <c r="D33" i="1358"/>
  <c r="D26" i="1358"/>
  <c r="C154" i="1427" l="1"/>
  <c r="C90" i="1427"/>
  <c r="C90" i="1428"/>
  <c r="D30" i="1427"/>
  <c r="C154" i="1429"/>
  <c r="C153" i="1428"/>
  <c r="C90" i="1429"/>
  <c r="D10" i="1420"/>
  <c r="D9" i="1419" l="1"/>
  <c r="D7" i="1419" l="1"/>
  <c r="D18" i="1419"/>
  <c r="D33" i="1357" l="1"/>
  <c r="D26" i="1357"/>
  <c r="D14" i="1357"/>
  <c r="D14" i="1456"/>
  <c r="D40" i="1456"/>
  <c r="D37" i="1456"/>
  <c r="D20" i="1456"/>
  <c r="D41" i="1456" l="1"/>
  <c r="D51" i="1456" s="1"/>
  <c r="A1" i="1459"/>
  <c r="A1" i="1454"/>
  <c r="A1" i="1432"/>
  <c r="A1" i="1461"/>
  <c r="B17" i="1421" l="1"/>
  <c r="A1" i="1399" l="1"/>
  <c r="D125" i="1357" l="1"/>
  <c r="N48" i="1458" l="1"/>
  <c r="H48" i="1458"/>
  <c r="N38" i="1458"/>
  <c r="H38" i="1458"/>
  <c r="G17" i="1420"/>
  <c r="G52" i="1419"/>
  <c r="G50" i="1419"/>
  <c r="G49" i="1419"/>
  <c r="G47" i="1419"/>
  <c r="G45" i="1419"/>
  <c r="G41" i="1419"/>
  <c r="G39" i="1419"/>
  <c r="G38" i="1419"/>
  <c r="G25" i="1419"/>
  <c r="G24" i="1419"/>
  <c r="G22" i="1419"/>
  <c r="G21" i="1419"/>
  <c r="G20" i="1419"/>
  <c r="G19" i="1419"/>
  <c r="G18" i="1419"/>
  <c r="G17" i="1419"/>
  <c r="G16" i="1419"/>
  <c r="G15" i="1419"/>
  <c r="G14" i="1419"/>
  <c r="G13" i="1419"/>
  <c r="G12" i="1419"/>
  <c r="G11" i="1419"/>
  <c r="G8" i="1419"/>
  <c r="G37" i="1419" l="1"/>
  <c r="G18" i="1420" l="1"/>
  <c r="G15" i="1420"/>
  <c r="E23" i="1419"/>
  <c r="E7" i="1419" s="1"/>
  <c r="E64" i="1419" l="1"/>
  <c r="G23" i="1419"/>
  <c r="D41" i="1357" l="1"/>
  <c r="G48" i="1419" l="1"/>
  <c r="N52" i="1458"/>
  <c r="H52" i="1458"/>
  <c r="D22" i="1457"/>
  <c r="D29" i="1457" s="1"/>
  <c r="I26" i="1453"/>
  <c r="B10" i="1419"/>
  <c r="H26" i="1416"/>
  <c r="H25" i="1416"/>
  <c r="G10" i="1419" l="1"/>
  <c r="B7" i="1419"/>
  <c r="F53" i="1419"/>
  <c r="B53" i="1419" l="1"/>
  <c r="O9" i="1455" l="1"/>
  <c r="N16" i="1455"/>
  <c r="M16" i="1455"/>
  <c r="L16" i="1455"/>
  <c r="J16" i="1455"/>
  <c r="C37" i="1433"/>
  <c r="D48" i="1430"/>
  <c r="E48" i="1430" s="1"/>
  <c r="D47" i="1430"/>
  <c r="F16" i="1450"/>
  <c r="D13" i="1427"/>
  <c r="D115" i="1427"/>
  <c r="F115" i="1427" s="1"/>
  <c r="D105" i="1427"/>
  <c r="D9" i="1427"/>
  <c r="D12" i="1427"/>
  <c r="D8" i="1427"/>
  <c r="G12" i="1420"/>
  <c r="D30" i="1420"/>
  <c r="E33" i="1459"/>
  <c r="E37" i="1459" s="1"/>
  <c r="E39" i="1459" s="1"/>
  <c r="F33" i="1459"/>
  <c r="F37" i="1459" s="1"/>
  <c r="F39" i="1459" s="1"/>
  <c r="D33" i="1459"/>
  <c r="D37" i="1459" s="1"/>
  <c r="D39" i="1459" s="1"/>
  <c r="C33" i="1459"/>
  <c r="C37" i="1459" s="1"/>
  <c r="C39" i="1459" s="1"/>
  <c r="F30" i="1459"/>
  <c r="E30" i="1459"/>
  <c r="D30" i="1459"/>
  <c r="C30" i="1459"/>
  <c r="F29" i="1459"/>
  <c r="F13" i="1459"/>
  <c r="E13" i="1459"/>
  <c r="D13" i="1459"/>
  <c r="C13" i="1459"/>
  <c r="F12" i="1459"/>
  <c r="F24" i="1459" s="1"/>
  <c r="F26" i="1459" s="1"/>
  <c r="E12" i="1459"/>
  <c r="E24" i="1459" s="1"/>
  <c r="E26" i="1459" s="1"/>
  <c r="D12" i="1459"/>
  <c r="D24" i="1459" s="1"/>
  <c r="D26" i="1459" s="1"/>
  <c r="C12" i="1459"/>
  <c r="C24" i="1459" s="1"/>
  <c r="C26" i="1459" s="1"/>
  <c r="N67" i="1458"/>
  <c r="M66" i="1458"/>
  <c r="M68" i="1458" s="1"/>
  <c r="L66" i="1458"/>
  <c r="L68" i="1458" s="1"/>
  <c r="K66" i="1458"/>
  <c r="F66" i="1458"/>
  <c r="F68" i="1458" s="1"/>
  <c r="N65" i="1458"/>
  <c r="H65" i="1458"/>
  <c r="N64" i="1458"/>
  <c r="H62" i="1458"/>
  <c r="H61" i="1458"/>
  <c r="N50" i="1458"/>
  <c r="H50" i="1458"/>
  <c r="N49" i="1458"/>
  <c r="H49" i="1458"/>
  <c r="N45" i="1458"/>
  <c r="H45" i="1458"/>
  <c r="N43" i="1458"/>
  <c r="H43" i="1458"/>
  <c r="H42" i="1458"/>
  <c r="N41" i="1458"/>
  <c r="H41" i="1458"/>
  <c r="N40" i="1458"/>
  <c r="H40" i="1458"/>
  <c r="N39" i="1458"/>
  <c r="H39" i="1458"/>
  <c r="N37" i="1458"/>
  <c r="H37" i="1458"/>
  <c r="N35" i="1458"/>
  <c r="H35" i="1458"/>
  <c r="N34" i="1458"/>
  <c r="H34" i="1458"/>
  <c r="N33" i="1458"/>
  <c r="H33" i="1458"/>
  <c r="H32" i="1458"/>
  <c r="N30" i="1458"/>
  <c r="H30" i="1458"/>
  <c r="N29" i="1458"/>
  <c r="H29" i="1458"/>
  <c r="N28" i="1458"/>
  <c r="H28" i="1458"/>
  <c r="N27" i="1458"/>
  <c r="H27" i="1458"/>
  <c r="N25" i="1458"/>
  <c r="H25" i="1458"/>
  <c r="J66" i="1458"/>
  <c r="J68" i="1458" s="1"/>
  <c r="H23" i="1458"/>
  <c r="N22" i="1458"/>
  <c r="H22" i="1458"/>
  <c r="N21" i="1458"/>
  <c r="H21" i="1458"/>
  <c r="H20" i="1458"/>
  <c r="N18" i="1458"/>
  <c r="H18" i="1458"/>
  <c r="N17" i="1458"/>
  <c r="H17" i="1458"/>
  <c r="N15" i="1458"/>
  <c r="G66" i="1458"/>
  <c r="G68" i="1458" s="1"/>
  <c r="H13" i="1458"/>
  <c r="N12" i="1458"/>
  <c r="H12" i="1458"/>
  <c r="N11" i="1458"/>
  <c r="D66" i="1458"/>
  <c r="D68" i="1458" s="1"/>
  <c r="N10" i="1458"/>
  <c r="H10" i="1458"/>
  <c r="N9" i="1458"/>
  <c r="O27" i="1455"/>
  <c r="O25" i="1455"/>
  <c r="O21" i="1455"/>
  <c r="M28" i="1455"/>
  <c r="K28" i="1455"/>
  <c r="Q17" i="1455"/>
  <c r="C16" i="1455"/>
  <c r="O14" i="1455"/>
  <c r="O12" i="1455"/>
  <c r="K16" i="1455"/>
  <c r="H16" i="1455"/>
  <c r="D11" i="1454"/>
  <c r="D32" i="1454" s="1"/>
  <c r="C11" i="1454"/>
  <c r="C32" i="1454" s="1"/>
  <c r="I25" i="1453"/>
  <c r="I24" i="1453"/>
  <c r="I23" i="1453"/>
  <c r="I22" i="1453"/>
  <c r="I21" i="1453"/>
  <c r="I20" i="1453"/>
  <c r="I19" i="1453"/>
  <c r="I18" i="1453"/>
  <c r="I17" i="1453"/>
  <c r="I16" i="1453"/>
  <c r="I15" i="1453"/>
  <c r="I14" i="1453"/>
  <c r="I13" i="1453"/>
  <c r="I12" i="1453"/>
  <c r="I11" i="1453"/>
  <c r="I29" i="1453" s="1"/>
  <c r="K148" i="1452"/>
  <c r="J148" i="1452"/>
  <c r="I148" i="1452"/>
  <c r="G148" i="1452"/>
  <c r="F148" i="1452"/>
  <c r="E148" i="1452"/>
  <c r="D148" i="1452"/>
  <c r="I145" i="1452"/>
  <c r="I143" i="1452" s="1"/>
  <c r="K143" i="1452"/>
  <c r="J143" i="1452"/>
  <c r="G143" i="1452"/>
  <c r="F143" i="1452"/>
  <c r="E143" i="1452"/>
  <c r="D143" i="1452"/>
  <c r="K136" i="1452"/>
  <c r="J136" i="1452"/>
  <c r="I136" i="1452"/>
  <c r="G136" i="1452"/>
  <c r="F136" i="1452"/>
  <c r="E136" i="1452"/>
  <c r="D136" i="1452"/>
  <c r="I133" i="1452"/>
  <c r="I132" i="1452" s="1"/>
  <c r="K132" i="1452"/>
  <c r="J132" i="1452"/>
  <c r="D132" i="1452"/>
  <c r="I130" i="1452"/>
  <c r="J122" i="1452"/>
  <c r="I122" i="1452"/>
  <c r="D117" i="1452"/>
  <c r="I121" i="1452"/>
  <c r="I120" i="1452"/>
  <c r="I119" i="1452"/>
  <c r="K118" i="1452"/>
  <c r="K117" i="1452" s="1"/>
  <c r="J118" i="1452"/>
  <c r="I118" i="1452"/>
  <c r="I116" i="1452"/>
  <c r="I114" i="1452" s="1"/>
  <c r="J114" i="1452"/>
  <c r="I113" i="1452"/>
  <c r="I108" i="1452"/>
  <c r="J101" i="1452"/>
  <c r="G101" i="1452"/>
  <c r="F101" i="1452"/>
  <c r="E101" i="1452"/>
  <c r="D101" i="1452"/>
  <c r="D96" i="1452" s="1"/>
  <c r="I100" i="1452"/>
  <c r="K99" i="1452"/>
  <c r="J99" i="1452"/>
  <c r="I99" i="1452"/>
  <c r="K98" i="1452"/>
  <c r="J98" i="1452"/>
  <c r="I98" i="1452"/>
  <c r="K97" i="1452"/>
  <c r="J97" i="1452"/>
  <c r="I97" i="1452"/>
  <c r="H94" i="1452"/>
  <c r="G94" i="1452"/>
  <c r="F94" i="1452"/>
  <c r="E94" i="1452"/>
  <c r="D94" i="1452"/>
  <c r="C94" i="1452"/>
  <c r="K84" i="1452"/>
  <c r="J84" i="1452"/>
  <c r="I84" i="1452"/>
  <c r="G84" i="1452"/>
  <c r="F84" i="1452"/>
  <c r="E84" i="1452"/>
  <c r="D84" i="1452"/>
  <c r="K80" i="1452"/>
  <c r="J80" i="1452"/>
  <c r="I80" i="1452"/>
  <c r="G80" i="1452"/>
  <c r="F80" i="1452"/>
  <c r="E80" i="1452"/>
  <c r="D80" i="1452"/>
  <c r="K78" i="1452"/>
  <c r="K77" i="1452" s="1"/>
  <c r="J78" i="1452"/>
  <c r="J77" i="1452" s="1"/>
  <c r="I78" i="1452"/>
  <c r="I77" i="1452" s="1"/>
  <c r="G77" i="1452"/>
  <c r="F77" i="1452"/>
  <c r="E77" i="1452"/>
  <c r="D77" i="1452"/>
  <c r="K72" i="1452"/>
  <c r="J72" i="1452"/>
  <c r="I72" i="1452"/>
  <c r="G72" i="1452"/>
  <c r="F72" i="1452"/>
  <c r="E72" i="1452"/>
  <c r="D72" i="1452"/>
  <c r="I69" i="1452"/>
  <c r="I68" i="1452" s="1"/>
  <c r="K68" i="1452"/>
  <c r="J68" i="1452"/>
  <c r="G68" i="1452"/>
  <c r="F68" i="1452"/>
  <c r="E68" i="1452"/>
  <c r="D68" i="1452"/>
  <c r="K62" i="1452"/>
  <c r="J62" i="1452"/>
  <c r="I62" i="1452"/>
  <c r="G62" i="1452"/>
  <c r="F62" i="1452"/>
  <c r="E62" i="1452"/>
  <c r="I60" i="1452"/>
  <c r="E60" i="1452"/>
  <c r="I59" i="1452"/>
  <c r="E59" i="1452"/>
  <c r="K57" i="1452"/>
  <c r="J57" i="1452"/>
  <c r="G57" i="1452"/>
  <c r="F57" i="1452"/>
  <c r="J54" i="1452"/>
  <c r="J51" i="1452" s="1"/>
  <c r="I53" i="1452"/>
  <c r="I51" i="1452" s="1"/>
  <c r="E53" i="1452"/>
  <c r="E51" i="1452" s="1"/>
  <c r="K51" i="1452"/>
  <c r="G51" i="1452"/>
  <c r="F51" i="1452"/>
  <c r="D51" i="1452"/>
  <c r="J50" i="1452"/>
  <c r="I50" i="1452"/>
  <c r="E50" i="1452"/>
  <c r="I49" i="1452"/>
  <c r="E49" i="1452"/>
  <c r="K46" i="1452"/>
  <c r="K45" i="1452"/>
  <c r="J45" i="1452"/>
  <c r="I45" i="1452"/>
  <c r="E45" i="1452"/>
  <c r="K44" i="1452"/>
  <c r="G44" i="1452"/>
  <c r="G39" i="1452" s="1"/>
  <c r="I43" i="1452"/>
  <c r="E43" i="1452"/>
  <c r="K42" i="1452"/>
  <c r="J42" i="1452"/>
  <c r="I42" i="1452"/>
  <c r="E42" i="1452"/>
  <c r="K41" i="1452"/>
  <c r="J41" i="1452"/>
  <c r="I41" i="1452"/>
  <c r="E41" i="1452"/>
  <c r="I40" i="1452"/>
  <c r="E40" i="1452"/>
  <c r="F39" i="1452"/>
  <c r="D39" i="1452"/>
  <c r="I38" i="1452"/>
  <c r="I34" i="1452"/>
  <c r="E34" i="1452"/>
  <c r="I33" i="1452"/>
  <c r="E33" i="1452"/>
  <c r="K32" i="1452"/>
  <c r="K31" i="1452" s="1"/>
  <c r="J32" i="1452"/>
  <c r="J31" i="1452" s="1"/>
  <c r="D32" i="1452"/>
  <c r="D31" i="1452" s="1"/>
  <c r="G31" i="1452"/>
  <c r="F31" i="1452"/>
  <c r="I30" i="1452"/>
  <c r="I29" i="1452"/>
  <c r="I24" i="1452" s="1"/>
  <c r="E29" i="1452"/>
  <c r="E24" i="1452" s="1"/>
  <c r="K24" i="1452"/>
  <c r="J24" i="1452"/>
  <c r="G24" i="1452"/>
  <c r="F24" i="1452"/>
  <c r="D24" i="1452"/>
  <c r="I23" i="1452"/>
  <c r="I22" i="1452"/>
  <c r="E22" i="1452"/>
  <c r="E17" i="1452" s="1"/>
  <c r="K17" i="1452"/>
  <c r="J17" i="1452"/>
  <c r="I17" i="1452"/>
  <c r="G17" i="1452"/>
  <c r="F17" i="1452"/>
  <c r="D17" i="1452"/>
  <c r="I15" i="1452"/>
  <c r="E15" i="1452"/>
  <c r="I14" i="1452"/>
  <c r="E14" i="1452"/>
  <c r="I11" i="1452"/>
  <c r="I8" i="1452" s="1"/>
  <c r="E11" i="1452"/>
  <c r="E8" i="1452" s="1"/>
  <c r="K8" i="1452"/>
  <c r="J8" i="1452"/>
  <c r="G8" i="1452"/>
  <c r="F8" i="1452"/>
  <c r="I16" i="1450"/>
  <c r="H16" i="1450"/>
  <c r="J16" i="1450"/>
  <c r="G16" i="1450"/>
  <c r="C51" i="1433"/>
  <c r="C30" i="1433"/>
  <c r="C25" i="1433"/>
  <c r="C19" i="1433"/>
  <c r="C7" i="1433"/>
  <c r="C53" i="1432"/>
  <c r="C47" i="1432"/>
  <c r="C39" i="1432"/>
  <c r="C32" i="1432"/>
  <c r="C27" i="1432"/>
  <c r="C21" i="1432"/>
  <c r="C9" i="1432"/>
  <c r="C51" i="1431"/>
  <c r="C37" i="1431"/>
  <c r="C30" i="1431"/>
  <c r="C25" i="1431"/>
  <c r="C19" i="1431"/>
  <c r="C7" i="1431"/>
  <c r="D59" i="1430"/>
  <c r="D58" i="1430"/>
  <c r="D56" i="1430"/>
  <c r="E56" i="1430" s="1"/>
  <c r="D55" i="1430"/>
  <c r="E55" i="1430" s="1"/>
  <c r="D54" i="1430"/>
  <c r="E54" i="1430" s="1"/>
  <c r="D53" i="1430"/>
  <c r="E53" i="1430" s="1"/>
  <c r="D52" i="1430"/>
  <c r="E52" i="1430" s="1"/>
  <c r="C51" i="1430"/>
  <c r="D50" i="1430"/>
  <c r="E50" i="1430" s="1"/>
  <c r="D49" i="1430"/>
  <c r="E49" i="1430" s="1"/>
  <c r="D44" i="1430"/>
  <c r="D43" i="1430"/>
  <c r="D42" i="1430"/>
  <c r="D39" i="1430"/>
  <c r="E39" i="1430" s="1"/>
  <c r="D35" i="1430"/>
  <c r="E35" i="1430" s="1"/>
  <c r="D34" i="1430"/>
  <c r="E34" i="1430" s="1"/>
  <c r="D33" i="1430"/>
  <c r="E33" i="1430" s="1"/>
  <c r="D32" i="1430"/>
  <c r="E32" i="1430" s="1"/>
  <c r="D31" i="1430"/>
  <c r="E31" i="1430" s="1"/>
  <c r="C30" i="1430"/>
  <c r="D29" i="1430"/>
  <c r="E29" i="1430" s="1"/>
  <c r="D28" i="1430"/>
  <c r="E28" i="1430" s="1"/>
  <c r="D27" i="1430"/>
  <c r="E27" i="1430" s="1"/>
  <c r="D26" i="1430"/>
  <c r="E26" i="1430" s="1"/>
  <c r="C25" i="1430"/>
  <c r="D24" i="1430"/>
  <c r="E24" i="1430" s="1"/>
  <c r="D23" i="1430"/>
  <c r="E23" i="1430" s="1"/>
  <c r="D22" i="1430"/>
  <c r="E22" i="1430" s="1"/>
  <c r="D21" i="1430"/>
  <c r="E21" i="1430" s="1"/>
  <c r="D20" i="1430"/>
  <c r="E20" i="1430" s="1"/>
  <c r="C19" i="1430"/>
  <c r="D18" i="1430"/>
  <c r="E18" i="1430" s="1"/>
  <c r="D17" i="1430"/>
  <c r="E17" i="1430" s="1"/>
  <c r="D16" i="1430"/>
  <c r="E16" i="1430" s="1"/>
  <c r="D15" i="1430"/>
  <c r="E15" i="1430" s="1"/>
  <c r="D14" i="1430"/>
  <c r="E14" i="1430" s="1"/>
  <c r="D13" i="1430"/>
  <c r="E13" i="1430" s="1"/>
  <c r="D12" i="1430"/>
  <c r="E12" i="1430" s="1"/>
  <c r="D11" i="1430"/>
  <c r="E11" i="1430" s="1"/>
  <c r="D10" i="1430"/>
  <c r="E10" i="1430" s="1"/>
  <c r="D9" i="1430"/>
  <c r="E9" i="1430" s="1"/>
  <c r="D8" i="1430"/>
  <c r="E8" i="1430" s="1"/>
  <c r="C7" i="1430"/>
  <c r="D116" i="1427"/>
  <c r="E116" i="1427" s="1"/>
  <c r="D64" i="1427"/>
  <c r="D43" i="1427"/>
  <c r="F43" i="1427" s="1"/>
  <c r="D118" i="1427"/>
  <c r="D111" i="1427"/>
  <c r="D82" i="1427"/>
  <c r="D78" i="1427"/>
  <c r="D70" i="1427"/>
  <c r="D66" i="1427"/>
  <c r="D49" i="1427"/>
  <c r="D14" i="1427"/>
  <c r="D157" i="1427"/>
  <c r="F157" i="1427" s="1"/>
  <c r="D156" i="1427"/>
  <c r="E156" i="1427" s="1"/>
  <c r="D155" i="1427"/>
  <c r="F155" i="1427" s="1"/>
  <c r="D152" i="1427"/>
  <c r="E152" i="1427" s="1"/>
  <c r="D151" i="1427"/>
  <c r="F151" i="1427" s="1"/>
  <c r="D150" i="1427"/>
  <c r="E150" i="1427" s="1"/>
  <c r="D149" i="1427"/>
  <c r="F149" i="1427" s="1"/>
  <c r="D148" i="1427"/>
  <c r="E148" i="1427" s="1"/>
  <c r="D147" i="1427"/>
  <c r="F147" i="1427" s="1"/>
  <c r="D146" i="1427"/>
  <c r="E146" i="1427" s="1"/>
  <c r="D144" i="1427"/>
  <c r="F144" i="1427" s="1"/>
  <c r="D143" i="1427"/>
  <c r="E143" i="1427" s="1"/>
  <c r="D141" i="1427"/>
  <c r="F141" i="1427" s="1"/>
  <c r="D139" i="1427"/>
  <c r="E139" i="1427" s="1"/>
  <c r="D138" i="1427"/>
  <c r="F138" i="1427" s="1"/>
  <c r="D137" i="1427"/>
  <c r="E137" i="1427" s="1"/>
  <c r="D136" i="1427"/>
  <c r="F136" i="1427" s="1"/>
  <c r="D135" i="1427"/>
  <c r="E135" i="1427" s="1"/>
  <c r="D134" i="1427"/>
  <c r="F134" i="1427" s="1"/>
  <c r="D132" i="1427"/>
  <c r="E132" i="1427" s="1"/>
  <c r="D131" i="1427"/>
  <c r="F131" i="1427" s="1"/>
  <c r="D130" i="1427"/>
  <c r="E130" i="1427" s="1"/>
  <c r="L70" i="1458"/>
  <c r="D127" i="1427"/>
  <c r="F127" i="1427" s="1"/>
  <c r="D126" i="1427"/>
  <c r="F126" i="1427" s="1"/>
  <c r="D125" i="1427"/>
  <c r="E125" i="1427" s="1"/>
  <c r="D124" i="1427"/>
  <c r="F124" i="1427" s="1"/>
  <c r="D123" i="1427"/>
  <c r="E123" i="1427" s="1"/>
  <c r="D122" i="1427"/>
  <c r="F122" i="1427" s="1"/>
  <c r="D121" i="1427"/>
  <c r="E121" i="1427" s="1"/>
  <c r="D120" i="1427"/>
  <c r="F120" i="1427" s="1"/>
  <c r="D117" i="1427"/>
  <c r="D113" i="1427"/>
  <c r="F113" i="1427" s="1"/>
  <c r="D112" i="1427"/>
  <c r="F112" i="1427" s="1"/>
  <c r="M70" i="1458"/>
  <c r="D109" i="1427"/>
  <c r="E109" i="1427" s="1"/>
  <c r="D108" i="1427"/>
  <c r="F108" i="1427" s="1"/>
  <c r="D107" i="1427"/>
  <c r="E107" i="1427" s="1"/>
  <c r="D106" i="1427"/>
  <c r="F106" i="1427" s="1"/>
  <c r="D104" i="1427"/>
  <c r="F104" i="1427" s="1"/>
  <c r="D103" i="1427"/>
  <c r="E103" i="1427" s="1"/>
  <c r="D102" i="1427"/>
  <c r="F102" i="1427" s="1"/>
  <c r="D101" i="1427"/>
  <c r="E101" i="1427" s="1"/>
  <c r="D100" i="1427"/>
  <c r="F100" i="1427" s="1"/>
  <c r="D99" i="1427"/>
  <c r="D97" i="1427"/>
  <c r="E97" i="1427" s="1"/>
  <c r="D96" i="1427"/>
  <c r="F96" i="1427" s="1"/>
  <c r="D95" i="1427"/>
  <c r="F95" i="1427" s="1"/>
  <c r="D94" i="1427"/>
  <c r="F94" i="1427" s="1"/>
  <c r="D92" i="1427"/>
  <c r="F92" i="1427" s="1"/>
  <c r="D91" i="1427"/>
  <c r="F91" i="1427" s="1"/>
  <c r="D88" i="1427"/>
  <c r="F88" i="1427" s="1"/>
  <c r="D87" i="1427"/>
  <c r="E87" i="1427" s="1"/>
  <c r="D86" i="1427"/>
  <c r="F86" i="1427" s="1"/>
  <c r="D85" i="1427"/>
  <c r="E85" i="1427" s="1"/>
  <c r="D84" i="1427"/>
  <c r="F84" i="1427" s="1"/>
  <c r="D83" i="1427"/>
  <c r="E83" i="1427" s="1"/>
  <c r="D81" i="1427"/>
  <c r="F81" i="1427" s="1"/>
  <c r="D80" i="1427"/>
  <c r="E80" i="1427" s="1"/>
  <c r="D77" i="1427"/>
  <c r="F77" i="1427" s="1"/>
  <c r="D74" i="1427"/>
  <c r="E74" i="1427" s="1"/>
  <c r="D73" i="1427"/>
  <c r="F73" i="1427" s="1"/>
  <c r="D72" i="1427"/>
  <c r="E72" i="1427" s="1"/>
  <c r="D71" i="1427"/>
  <c r="F71" i="1427" s="1"/>
  <c r="D69" i="1427"/>
  <c r="E69" i="1427" s="1"/>
  <c r="D68" i="1427"/>
  <c r="F68" i="1427" s="1"/>
  <c r="D67" i="1427"/>
  <c r="E67" i="1427" s="1"/>
  <c r="F70" i="1458"/>
  <c r="D62" i="1427"/>
  <c r="E62" i="1427" s="1"/>
  <c r="D61" i="1427"/>
  <c r="F61" i="1427" s="1"/>
  <c r="D59" i="1427"/>
  <c r="E59" i="1427" s="1"/>
  <c r="D57" i="1427"/>
  <c r="D56" i="1427"/>
  <c r="F56" i="1427" s="1"/>
  <c r="D54" i="1427"/>
  <c r="E54" i="1427" s="1"/>
  <c r="D53" i="1427"/>
  <c r="F53" i="1427" s="1"/>
  <c r="D52" i="1427"/>
  <c r="E52" i="1427" s="1"/>
  <c r="D51" i="1427"/>
  <c r="F51" i="1427" s="1"/>
  <c r="D50" i="1427"/>
  <c r="E50" i="1427" s="1"/>
  <c r="D47" i="1427"/>
  <c r="F47" i="1427" s="1"/>
  <c r="D46" i="1427"/>
  <c r="E46" i="1427" s="1"/>
  <c r="D45" i="1427"/>
  <c r="F45" i="1427" s="1"/>
  <c r="D44" i="1427"/>
  <c r="E44" i="1427" s="1"/>
  <c r="D42" i="1427"/>
  <c r="F42" i="1427" s="1"/>
  <c r="D41" i="1427"/>
  <c r="E41" i="1427" s="1"/>
  <c r="D40" i="1427"/>
  <c r="D38" i="1427"/>
  <c r="F38" i="1427" s="1"/>
  <c r="D36" i="1427"/>
  <c r="E36" i="1427" s="1"/>
  <c r="D35" i="1427"/>
  <c r="F35" i="1427" s="1"/>
  <c r="D34" i="1427"/>
  <c r="E34" i="1427" s="1"/>
  <c r="D33" i="1427"/>
  <c r="F33" i="1427" s="1"/>
  <c r="D32" i="1427"/>
  <c r="D29" i="1427"/>
  <c r="E29" i="1427" s="1"/>
  <c r="D28" i="1427"/>
  <c r="F28" i="1427" s="1"/>
  <c r="D27" i="1427"/>
  <c r="E27" i="1427" s="1"/>
  <c r="D26" i="1427"/>
  <c r="F26" i="1427" s="1"/>
  <c r="D25" i="1427"/>
  <c r="E25" i="1427" s="1"/>
  <c r="D24" i="1427"/>
  <c r="F24" i="1427" s="1"/>
  <c r="D22" i="1427"/>
  <c r="E22" i="1427" s="1"/>
  <c r="D21" i="1427"/>
  <c r="E21" i="1427" s="1"/>
  <c r="D20" i="1427"/>
  <c r="F20" i="1427" s="1"/>
  <c r="D19" i="1427"/>
  <c r="E19" i="1427" s="1"/>
  <c r="D18" i="1427"/>
  <c r="F18" i="1427" s="1"/>
  <c r="D17" i="1427"/>
  <c r="E17" i="1427" s="1"/>
  <c r="D15" i="1427"/>
  <c r="F15" i="1427" s="1"/>
  <c r="D23" i="1421"/>
  <c r="E22" i="1421"/>
  <c r="E21" i="1421"/>
  <c r="E20" i="1421"/>
  <c r="E19" i="1421"/>
  <c r="E18" i="1421"/>
  <c r="C23" i="1421"/>
  <c r="E16" i="1421"/>
  <c r="D13" i="1421"/>
  <c r="C13" i="1421"/>
  <c r="E12" i="1421"/>
  <c r="E11" i="1421"/>
  <c r="E10" i="1421"/>
  <c r="E9" i="1421"/>
  <c r="B8" i="1421"/>
  <c r="E8" i="1421" s="1"/>
  <c r="E7" i="1421"/>
  <c r="E6" i="1421"/>
  <c r="G13" i="1420"/>
  <c r="G11" i="1420"/>
  <c r="G9" i="1420"/>
  <c r="G8" i="1420"/>
  <c r="D59" i="1419"/>
  <c r="D53" i="1419"/>
  <c r="G53" i="1419" s="1"/>
  <c r="F44" i="1419"/>
  <c r="D44" i="1419"/>
  <c r="B44" i="1419"/>
  <c r="F42" i="1419"/>
  <c r="D42" i="1419"/>
  <c r="B42" i="1419"/>
  <c r="F40" i="1419"/>
  <c r="B40" i="1419"/>
  <c r="F36" i="1419"/>
  <c r="B36" i="1419"/>
  <c r="C16" i="1418"/>
  <c r="C13" i="1417"/>
  <c r="H23" i="1416"/>
  <c r="H22" i="1416"/>
  <c r="H21" i="1416"/>
  <c r="H20" i="1416"/>
  <c r="H19" i="1416"/>
  <c r="H18" i="1416"/>
  <c r="H17" i="1416"/>
  <c r="H16" i="1416"/>
  <c r="H15" i="1416"/>
  <c r="H14" i="1416"/>
  <c r="H13" i="1416"/>
  <c r="H12" i="1416"/>
  <c r="H11" i="1416"/>
  <c r="H10" i="1416"/>
  <c r="H9" i="1416"/>
  <c r="H8" i="1416"/>
  <c r="H27" i="1416" l="1"/>
  <c r="J117" i="1452"/>
  <c r="I117" i="1452"/>
  <c r="G44" i="1419"/>
  <c r="G59" i="1419"/>
  <c r="G9" i="1419"/>
  <c r="G7" i="1419" s="1"/>
  <c r="G36" i="1419"/>
  <c r="G40" i="1419"/>
  <c r="G42" i="1419"/>
  <c r="D140" i="1427"/>
  <c r="D110" i="1427"/>
  <c r="F110" i="1427" s="1"/>
  <c r="F16" i="1455"/>
  <c r="D40" i="1430"/>
  <c r="E40" i="1430" s="1"/>
  <c r="F13" i="1427"/>
  <c r="E9" i="1427"/>
  <c r="B30" i="1420"/>
  <c r="D76" i="1427"/>
  <c r="F76" i="1427" s="1"/>
  <c r="D23" i="1427"/>
  <c r="E23" i="1427" s="1"/>
  <c r="C45" i="1431"/>
  <c r="C57" i="1431" s="1"/>
  <c r="C45" i="1433"/>
  <c r="C57" i="1433" s="1"/>
  <c r="F30" i="1420"/>
  <c r="D11" i="1427"/>
  <c r="F11" i="1427" s="1"/>
  <c r="D48" i="1427"/>
  <c r="F48" i="1427" s="1"/>
  <c r="D142" i="1427"/>
  <c r="F142" i="1427" s="1"/>
  <c r="D7" i="1427"/>
  <c r="D16" i="1427"/>
  <c r="F16" i="1427" s="1"/>
  <c r="D133" i="1427"/>
  <c r="E133" i="1427" s="1"/>
  <c r="D145" i="1427"/>
  <c r="F145" i="1427" s="1"/>
  <c r="D37" i="1427"/>
  <c r="D129" i="1427"/>
  <c r="E129" i="1427" s="1"/>
  <c r="C36" i="1431"/>
  <c r="C41" i="1431" s="1"/>
  <c r="D25" i="1430"/>
  <c r="E25" i="1430" s="1"/>
  <c r="D37" i="1430"/>
  <c r="E39" i="1452"/>
  <c r="J39" i="1452"/>
  <c r="J67" i="1452" s="1"/>
  <c r="E12" i="1427"/>
  <c r="E105" i="1427"/>
  <c r="D31" i="1427"/>
  <c r="F31" i="1427" s="1"/>
  <c r="F57" i="1427"/>
  <c r="F78" i="1427"/>
  <c r="D38" i="1430"/>
  <c r="E38" i="1430" s="1"/>
  <c r="O24" i="1455"/>
  <c r="I66" i="1458"/>
  <c r="I68" i="1458" s="1"/>
  <c r="B63" i="1419"/>
  <c r="E13" i="1421"/>
  <c r="F8" i="1427"/>
  <c r="D70" i="1458"/>
  <c r="D69" i="1458" s="1"/>
  <c r="E32" i="1427"/>
  <c r="D39" i="1427"/>
  <c r="E39" i="1427" s="1"/>
  <c r="D58" i="1427"/>
  <c r="F58" i="1427" s="1"/>
  <c r="D63" i="1427"/>
  <c r="E63" i="1427" s="1"/>
  <c r="E70" i="1427"/>
  <c r="D79" i="1427"/>
  <c r="F79" i="1427" s="1"/>
  <c r="F117" i="1427"/>
  <c r="D75" i="1427"/>
  <c r="D7" i="1430"/>
  <c r="E7" i="1430" s="1"/>
  <c r="D19" i="1430"/>
  <c r="E19" i="1430" s="1"/>
  <c r="D30" i="1430"/>
  <c r="E30" i="1430" s="1"/>
  <c r="C38" i="1432"/>
  <c r="C43" i="1432" s="1"/>
  <c r="F67" i="1452"/>
  <c r="I32" i="1452"/>
  <c r="I31" i="1452" s="1"/>
  <c r="I39" i="1452"/>
  <c r="K96" i="1452"/>
  <c r="K131" i="1452" s="1"/>
  <c r="J96" i="1452"/>
  <c r="J131" i="1452" s="1"/>
  <c r="J156" i="1452"/>
  <c r="G16" i="1455"/>
  <c r="O8" i="1455"/>
  <c r="O10" i="1455"/>
  <c r="I16" i="1455"/>
  <c r="O13" i="1455"/>
  <c r="O22" i="1455"/>
  <c r="E40" i="1459"/>
  <c r="I101" i="1452"/>
  <c r="I96" i="1452" s="1"/>
  <c r="I131" i="1452" s="1"/>
  <c r="F82" i="1427"/>
  <c r="E70" i="1458"/>
  <c r="E64" i="1427"/>
  <c r="E59" i="1430"/>
  <c r="K156" i="1452"/>
  <c r="F99" i="1427"/>
  <c r="F118" i="1427"/>
  <c r="E32" i="1452"/>
  <c r="E31" i="1452" s="1"/>
  <c r="J91" i="1452"/>
  <c r="E17" i="1421"/>
  <c r="E23" i="1421" s="1"/>
  <c r="E99" i="1427"/>
  <c r="E141" i="1427"/>
  <c r="D91" i="1452"/>
  <c r="D40" i="1459"/>
  <c r="E14" i="1427"/>
  <c r="E20" i="1427"/>
  <c r="E26" i="1427"/>
  <c r="B32" i="1451"/>
  <c r="B33" i="1451" s="1"/>
  <c r="O11" i="1455"/>
  <c r="E28" i="1455"/>
  <c r="G28" i="1455"/>
  <c r="O20" i="1455"/>
  <c r="O26" i="1455"/>
  <c r="D119" i="1427"/>
  <c r="H24" i="1416"/>
  <c r="F63" i="1419"/>
  <c r="B23" i="1421"/>
  <c r="F32" i="1427"/>
  <c r="E33" i="1427"/>
  <c r="E38" i="1427"/>
  <c r="E45" i="1427"/>
  <c r="F49" i="1427"/>
  <c r="E51" i="1427"/>
  <c r="E56" i="1427"/>
  <c r="E61" i="1427"/>
  <c r="F70" i="1427"/>
  <c r="E71" i="1427"/>
  <c r="E84" i="1427"/>
  <c r="E88" i="1427"/>
  <c r="E100" i="1427"/>
  <c r="E104" i="1427"/>
  <c r="E108" i="1427"/>
  <c r="E122" i="1427"/>
  <c r="E126" i="1427"/>
  <c r="E134" i="1427"/>
  <c r="E138" i="1427"/>
  <c r="E144" i="1427"/>
  <c r="E149" i="1427"/>
  <c r="E155" i="1427"/>
  <c r="D51" i="1430"/>
  <c r="E51" i="1430" s="1"/>
  <c r="D63" i="1419"/>
  <c r="D64" i="1419" s="1"/>
  <c r="F14" i="1427"/>
  <c r="E15" i="1427"/>
  <c r="E18" i="1427"/>
  <c r="F22" i="1427"/>
  <c r="E24" i="1427"/>
  <c r="E35" i="1427"/>
  <c r="F40" i="1427"/>
  <c r="E42" i="1427"/>
  <c r="E47" i="1427"/>
  <c r="E53" i="1427"/>
  <c r="F64" i="1427"/>
  <c r="F66" i="1427"/>
  <c r="F67" i="1427"/>
  <c r="E68" i="1427"/>
  <c r="E73" i="1427"/>
  <c r="G70" i="1458"/>
  <c r="G69" i="1458" s="1"/>
  <c r="E77" i="1427"/>
  <c r="E81" i="1427"/>
  <c r="E86" i="1427"/>
  <c r="E102" i="1427"/>
  <c r="E106" i="1427"/>
  <c r="F116" i="1427"/>
  <c r="E118" i="1427"/>
  <c r="E120" i="1427"/>
  <c r="E124" i="1427"/>
  <c r="E131" i="1427"/>
  <c r="E136" i="1427"/>
  <c r="E147" i="1427"/>
  <c r="E151" i="1427"/>
  <c r="E157" i="1427"/>
  <c r="C37" i="1430"/>
  <c r="C59" i="1432"/>
  <c r="C36" i="1433"/>
  <c r="C41" i="1433" s="1"/>
  <c r="K39" i="1452"/>
  <c r="K67" i="1452" s="1"/>
  <c r="I57" i="1452"/>
  <c r="I91" i="1452"/>
  <c r="K91" i="1452"/>
  <c r="N13" i="1458"/>
  <c r="H15" i="1458"/>
  <c r="D67" i="1452"/>
  <c r="E57" i="1452"/>
  <c r="E91" i="1452"/>
  <c r="G91" i="1452"/>
  <c r="F91" i="1452"/>
  <c r="D131" i="1452"/>
  <c r="I156" i="1452"/>
  <c r="D156" i="1452"/>
  <c r="E16" i="1455"/>
  <c r="D28" i="1455"/>
  <c r="I28" i="1455"/>
  <c r="O19" i="1455"/>
  <c r="O23" i="1455"/>
  <c r="N23" i="1458"/>
  <c r="N42" i="1458"/>
  <c r="K68" i="1458"/>
  <c r="F111" i="1427"/>
  <c r="E13" i="1427"/>
  <c r="E28" i="1427"/>
  <c r="E117" i="1427"/>
  <c r="E115" i="1427"/>
  <c r="E113" i="1427"/>
  <c r="E112" i="1427"/>
  <c r="D55" i="1427"/>
  <c r="D60" i="1427"/>
  <c r="F60" i="1427" s="1"/>
  <c r="G10" i="1420"/>
  <c r="B13" i="1421"/>
  <c r="E8" i="1427"/>
  <c r="F9" i="1427"/>
  <c r="F12" i="1427"/>
  <c r="F17" i="1427"/>
  <c r="F19" i="1427"/>
  <c r="F21" i="1427"/>
  <c r="F25" i="1427"/>
  <c r="F27" i="1427"/>
  <c r="F29" i="1427"/>
  <c r="F34" i="1427"/>
  <c r="F36" i="1427"/>
  <c r="E40" i="1427"/>
  <c r="F41" i="1427"/>
  <c r="E43" i="1427"/>
  <c r="F44" i="1427"/>
  <c r="F46" i="1427"/>
  <c r="E49" i="1427"/>
  <c r="F50" i="1427"/>
  <c r="F52" i="1427"/>
  <c r="F54" i="1427"/>
  <c r="E57" i="1427"/>
  <c r="F59" i="1427"/>
  <c r="F62" i="1427"/>
  <c r="F69" i="1427"/>
  <c r="F72" i="1427"/>
  <c r="F74" i="1427"/>
  <c r="E78" i="1427"/>
  <c r="F80" i="1427"/>
  <c r="E82" i="1427"/>
  <c r="F83" i="1427"/>
  <c r="F85" i="1427"/>
  <c r="F87" i="1427"/>
  <c r="E94" i="1427"/>
  <c r="E95" i="1427"/>
  <c r="E96" i="1427"/>
  <c r="F97" i="1427"/>
  <c r="F101" i="1427"/>
  <c r="F103" i="1427"/>
  <c r="F105" i="1427"/>
  <c r="F107" i="1427"/>
  <c r="F109" i="1427"/>
  <c r="F121" i="1427"/>
  <c r="F123" i="1427"/>
  <c r="F125" i="1427"/>
  <c r="E127" i="1427"/>
  <c r="F130" i="1427"/>
  <c r="F132" i="1427"/>
  <c r="F135" i="1427"/>
  <c r="F137" i="1427"/>
  <c r="F139" i="1427"/>
  <c r="F143" i="1427"/>
  <c r="F146" i="1427"/>
  <c r="F148" i="1427"/>
  <c r="F150" i="1427"/>
  <c r="F152" i="1427"/>
  <c r="F156" i="1427"/>
  <c r="E46" i="1421"/>
  <c r="E66" i="1427"/>
  <c r="E111" i="1427"/>
  <c r="C36" i="1430"/>
  <c r="B15" i="1450" s="1"/>
  <c r="C45" i="1430"/>
  <c r="D46" i="1430"/>
  <c r="E46" i="1430" s="1"/>
  <c r="E47" i="1430"/>
  <c r="F69" i="1458"/>
  <c r="L69" i="1458"/>
  <c r="E16" i="1450"/>
  <c r="K15" i="1450"/>
  <c r="O15" i="1455"/>
  <c r="O18" i="1455"/>
  <c r="N32" i="1458"/>
  <c r="F40" i="1459"/>
  <c r="G67" i="1452"/>
  <c r="C28" i="1455"/>
  <c r="M69" i="1458"/>
  <c r="K29" i="1455"/>
  <c r="M29" i="1455"/>
  <c r="O7" i="1455"/>
  <c r="D16" i="1455"/>
  <c r="F28" i="1455"/>
  <c r="H28" i="1455"/>
  <c r="H29" i="1455" s="1"/>
  <c r="J28" i="1455"/>
  <c r="J29" i="1455" s="1"/>
  <c r="L28" i="1455"/>
  <c r="L29" i="1455" s="1"/>
  <c r="N28" i="1455"/>
  <c r="N29" i="1455" s="1"/>
  <c r="C66" i="1458"/>
  <c r="C68" i="1458" s="1"/>
  <c r="H9" i="1458"/>
  <c r="H11" i="1458"/>
  <c r="N20" i="1458"/>
  <c r="E66" i="1458"/>
  <c r="E68" i="1458" s="1"/>
  <c r="H64" i="1458"/>
  <c r="E76" i="1427" l="1"/>
  <c r="N66" i="1458"/>
  <c r="N68" i="1458" s="1"/>
  <c r="G63" i="1419"/>
  <c r="E110" i="1427"/>
  <c r="F29" i="1455"/>
  <c r="F23" i="1427"/>
  <c r="D45" i="1430"/>
  <c r="E45" i="1430" s="1"/>
  <c r="E69" i="1458"/>
  <c r="E145" i="1427"/>
  <c r="E142" i="1427"/>
  <c r="G92" i="1452"/>
  <c r="E48" i="1427"/>
  <c r="D98" i="1427"/>
  <c r="F98" i="1427" s="1"/>
  <c r="D89" i="1427"/>
  <c r="F92" i="1452"/>
  <c r="F39" i="1427"/>
  <c r="F30" i="1427"/>
  <c r="I67" i="1452"/>
  <c r="I92" i="1452" s="1"/>
  <c r="F129" i="1427"/>
  <c r="D10" i="1427"/>
  <c r="E79" i="1427"/>
  <c r="F133" i="1427"/>
  <c r="G29" i="1455"/>
  <c r="F63" i="1427"/>
  <c r="E31" i="1427"/>
  <c r="E37" i="1430"/>
  <c r="D36" i="1430"/>
  <c r="E36" i="1430" s="1"/>
  <c r="C15" i="1450"/>
  <c r="C16" i="1450" s="1"/>
  <c r="K70" i="1458" s="1"/>
  <c r="K69" i="1458" s="1"/>
  <c r="E16" i="1427"/>
  <c r="G39" i="1423"/>
  <c r="E30" i="1427"/>
  <c r="E7" i="1427"/>
  <c r="F7" i="1427"/>
  <c r="B64" i="1419"/>
  <c r="D114" i="1427"/>
  <c r="E75" i="1427"/>
  <c r="E11" i="1427"/>
  <c r="K92" i="1452"/>
  <c r="K157" i="1452"/>
  <c r="I29" i="1455"/>
  <c r="D41" i="1430"/>
  <c r="E58" i="1427"/>
  <c r="E29" i="1455"/>
  <c r="D92" i="1452"/>
  <c r="J157" i="1452"/>
  <c r="E67" i="1452"/>
  <c r="E92" i="1452" s="1"/>
  <c r="J92" i="1452"/>
  <c r="D157" i="1452"/>
  <c r="D29" i="1455"/>
  <c r="F64" i="1419"/>
  <c r="D57" i="1430"/>
  <c r="I157" i="1452"/>
  <c r="F75" i="1427"/>
  <c r="O16" i="1455"/>
  <c r="C41" i="1430"/>
  <c r="B16" i="1450"/>
  <c r="E140" i="1427"/>
  <c r="F140" i="1427"/>
  <c r="E119" i="1427"/>
  <c r="F119" i="1427"/>
  <c r="E55" i="1427"/>
  <c r="F55" i="1427"/>
  <c r="D93" i="1427"/>
  <c r="D128" i="1427"/>
  <c r="E60" i="1427"/>
  <c r="D153" i="1427"/>
  <c r="H66" i="1458"/>
  <c r="H68" i="1458" s="1"/>
  <c r="O28" i="1455"/>
  <c r="C29" i="1455"/>
  <c r="K16" i="1450"/>
  <c r="C57" i="1430"/>
  <c r="E37" i="1427"/>
  <c r="F37" i="1427"/>
  <c r="I70" i="1458"/>
  <c r="C70" i="1458"/>
  <c r="H70" i="1458" s="1"/>
  <c r="O29" i="1455" l="1"/>
  <c r="D15" i="1450"/>
  <c r="D16" i="1450" s="1"/>
  <c r="G64" i="1419"/>
  <c r="F89" i="1427"/>
  <c r="E89" i="1427"/>
  <c r="E98" i="1427"/>
  <c r="D90" i="1427"/>
  <c r="D65" i="1427"/>
  <c r="E65" i="1427" s="1"/>
  <c r="F10" i="1427"/>
  <c r="E10" i="1427"/>
  <c r="E57" i="1430"/>
  <c r="E41" i="1430"/>
  <c r="I69" i="1458"/>
  <c r="E153" i="1427"/>
  <c r="F153" i="1427"/>
  <c r="C69" i="1458"/>
  <c r="H69" i="1458"/>
  <c r="E93" i="1427"/>
  <c r="F93" i="1427"/>
  <c r="J70" i="1458"/>
  <c r="J69" i="1458" s="1"/>
  <c r="E114" i="1427"/>
  <c r="F114" i="1427"/>
  <c r="O66" i="1458"/>
  <c r="F65" i="1427" l="1"/>
  <c r="F128" i="1427"/>
  <c r="E128" i="1427"/>
  <c r="F90" i="1427"/>
  <c r="E90" i="1427"/>
  <c r="N70" i="1458"/>
  <c r="N69" i="1458" s="1"/>
  <c r="D154" i="1427"/>
  <c r="E154" i="1427" l="1"/>
  <c r="F154" i="1427"/>
  <c r="C46" i="1357" l="1"/>
  <c r="C16" i="1359" l="1"/>
  <c r="C15" i="1359"/>
  <c r="D14" i="1358"/>
  <c r="C15" i="1358"/>
  <c r="C16" i="1358"/>
  <c r="H15" i="1357" l="1"/>
  <c r="H16" i="1357"/>
  <c r="H95" i="1357"/>
  <c r="H96" i="1357"/>
  <c r="H98" i="1357"/>
  <c r="E14" i="1357"/>
  <c r="C16" i="1357"/>
  <c r="H13" i="1452" s="1"/>
  <c r="I16" i="1357" l="1"/>
  <c r="C15" i="1357"/>
  <c r="H12" i="1452" s="1"/>
  <c r="I15" i="1357" l="1"/>
  <c r="E104" i="1359" l="1"/>
  <c r="E104" i="1358"/>
  <c r="C121" i="1358"/>
  <c r="A4" i="1399"/>
  <c r="A3" i="1399"/>
  <c r="A4" i="1360"/>
  <c r="A3" i="1360"/>
  <c r="A4" i="1359"/>
  <c r="A3" i="1359"/>
  <c r="E41" i="1357" l="1"/>
  <c r="D104" i="1359"/>
  <c r="A4" i="1358"/>
  <c r="A3" i="1358"/>
  <c r="A4" i="1357"/>
  <c r="A3" i="1357"/>
  <c r="C137" i="1357" l="1"/>
  <c r="H134" i="1452" s="1"/>
  <c r="C136" i="1357"/>
  <c r="H133" i="1452" l="1"/>
  <c r="E22" i="1362"/>
  <c r="E20" i="1362" s="1"/>
  <c r="E31" i="1362" s="1"/>
  <c r="E20" i="1361"/>
  <c r="C152" i="1399" l="1"/>
  <c r="C147" i="1399"/>
  <c r="C140" i="1399"/>
  <c r="C136" i="1399"/>
  <c r="C126" i="1399"/>
  <c r="C118" i="1399"/>
  <c r="C105" i="1399"/>
  <c r="C98" i="1399"/>
  <c r="C86" i="1399"/>
  <c r="C82" i="1399"/>
  <c r="C79" i="1399"/>
  <c r="C74" i="1399"/>
  <c r="C70" i="1399"/>
  <c r="C64" i="1399"/>
  <c r="C59" i="1399"/>
  <c r="C53" i="1399"/>
  <c r="C35" i="1399"/>
  <c r="C34" i="1399" s="1"/>
  <c r="C27" i="1399"/>
  <c r="C20" i="1399"/>
  <c r="C11" i="1399"/>
  <c r="C160" i="1399" l="1"/>
  <c r="C93" i="1399"/>
  <c r="C121" i="1399"/>
  <c r="C100" i="1399"/>
  <c r="C41" i="1399"/>
  <c r="C69" i="1399" s="1"/>
  <c r="C166" i="1399" l="1"/>
  <c r="C135" i="1399"/>
  <c r="C161" i="1399" s="1"/>
  <c r="C94" i="1399"/>
  <c r="C165" i="1399" l="1"/>
  <c r="C103" i="1359" l="1"/>
  <c r="C105" i="1359"/>
  <c r="C106" i="1359"/>
  <c r="C107" i="1359"/>
  <c r="C108" i="1359"/>
  <c r="C109" i="1359"/>
  <c r="C110" i="1359"/>
  <c r="C111" i="1359"/>
  <c r="C112" i="1359"/>
  <c r="C113" i="1359"/>
  <c r="C114" i="1359"/>
  <c r="C115" i="1359"/>
  <c r="C116" i="1359"/>
  <c r="C117" i="1359"/>
  <c r="C118" i="1359"/>
  <c r="C119" i="1359"/>
  <c r="C104" i="1359"/>
  <c r="C116" i="1358"/>
  <c r="D125" i="1358"/>
  <c r="C124" i="1358"/>
  <c r="C126" i="1358"/>
  <c r="C127" i="1358"/>
  <c r="C128" i="1358"/>
  <c r="C129" i="1358"/>
  <c r="C130" i="1358"/>
  <c r="C131" i="1358"/>
  <c r="C132" i="1358"/>
  <c r="D117" i="1358"/>
  <c r="C117" i="1358" s="1"/>
  <c r="C105" i="1358"/>
  <c r="C106" i="1358"/>
  <c r="C107" i="1358"/>
  <c r="C108" i="1358"/>
  <c r="C109" i="1358"/>
  <c r="C110" i="1358"/>
  <c r="C111" i="1358"/>
  <c r="C112" i="1358"/>
  <c r="C113" i="1358"/>
  <c r="C114" i="1358"/>
  <c r="C115" i="1358"/>
  <c r="C118" i="1358"/>
  <c r="C119" i="1358"/>
  <c r="E117" i="1357"/>
  <c r="D117" i="1357"/>
  <c r="C37" i="1357"/>
  <c r="H34" i="1452" s="1"/>
  <c r="C39" i="1357"/>
  <c r="H37" i="1452" s="1"/>
  <c r="C38" i="1357"/>
  <c r="H35" i="1452" s="1"/>
  <c r="C36" i="1357"/>
  <c r="H33" i="1452" s="1"/>
  <c r="H119" i="1357" l="1"/>
  <c r="H118" i="1357"/>
  <c r="H115" i="1357"/>
  <c r="H113" i="1357"/>
  <c r="H111" i="1357"/>
  <c r="H109" i="1357"/>
  <c r="H107" i="1357"/>
  <c r="H105" i="1357"/>
  <c r="H116" i="1357"/>
  <c r="H114" i="1357"/>
  <c r="H112" i="1357"/>
  <c r="H110" i="1357"/>
  <c r="H108" i="1357"/>
  <c r="H106" i="1357"/>
  <c r="C125" i="1358"/>
  <c r="C133" i="1358"/>
  <c r="D35" i="1357"/>
  <c r="D34" i="1357" s="1"/>
  <c r="D104" i="1358"/>
  <c r="C104" i="1358" l="1"/>
  <c r="C126" i="1357"/>
  <c r="H123" i="1452" s="1"/>
  <c r="C127" i="1357"/>
  <c r="H124" i="1452" s="1"/>
  <c r="C128" i="1357"/>
  <c r="H125" i="1452" s="1"/>
  <c r="C129" i="1357"/>
  <c r="H126" i="1452" s="1"/>
  <c r="C130" i="1357"/>
  <c r="H127" i="1452" s="1"/>
  <c r="C131" i="1357"/>
  <c r="H128" i="1452" s="1"/>
  <c r="C132" i="1357"/>
  <c r="H129" i="1452" s="1"/>
  <c r="C133" i="1357"/>
  <c r="H130" i="1452" s="1"/>
  <c r="E125" i="1357"/>
  <c r="C125" i="1357" s="1"/>
  <c r="E11" i="1362" s="1"/>
  <c r="P25" i="1455" l="1"/>
  <c r="Q25" i="1455" s="1"/>
  <c r="H122" i="1452"/>
  <c r="E104" i="1357"/>
  <c r="D104" i="1357"/>
  <c r="C103" i="1357"/>
  <c r="C105" i="1357"/>
  <c r="H102" i="1452" s="1"/>
  <c r="C106" i="1357"/>
  <c r="H103" i="1452" s="1"/>
  <c r="C107" i="1357"/>
  <c r="H104" i="1452" s="1"/>
  <c r="C108" i="1357"/>
  <c r="H105" i="1452" s="1"/>
  <c r="C109" i="1357"/>
  <c r="H106" i="1452" s="1"/>
  <c r="C110" i="1357"/>
  <c r="H107" i="1452" s="1"/>
  <c r="C111" i="1357"/>
  <c r="H108" i="1452" s="1"/>
  <c r="C112" i="1357"/>
  <c r="H109" i="1452" s="1"/>
  <c r="C113" i="1357"/>
  <c r="H110" i="1452" s="1"/>
  <c r="C114" i="1357"/>
  <c r="H111" i="1452" s="1"/>
  <c r="C115" i="1357"/>
  <c r="H112" i="1452" s="1"/>
  <c r="C116" i="1357"/>
  <c r="H113" i="1452" s="1"/>
  <c r="C117" i="1357"/>
  <c r="C118" i="1357"/>
  <c r="H115" i="1452" s="1"/>
  <c r="C119" i="1357"/>
  <c r="H116" i="1452" s="1"/>
  <c r="P21" i="1455" l="1"/>
  <c r="Q21" i="1455" s="1"/>
  <c r="H100" i="1452"/>
  <c r="E11" i="1361"/>
  <c r="P26" i="1455"/>
  <c r="Q26" i="1455" s="1"/>
  <c r="H114" i="1452"/>
  <c r="E9" i="1361"/>
  <c r="C104" i="1357"/>
  <c r="C102" i="1357"/>
  <c r="P22" i="1455" l="1"/>
  <c r="Q22" i="1455" s="1"/>
  <c r="H101" i="1452"/>
  <c r="P20" i="1455"/>
  <c r="Q20" i="1455" s="1"/>
  <c r="H99" i="1452"/>
  <c r="E10" i="1361"/>
  <c r="E8" i="1361"/>
  <c r="C126" i="1360"/>
  <c r="C118" i="1360"/>
  <c r="H117" i="1357" s="1"/>
  <c r="C105" i="1360"/>
  <c r="H104" i="1357" s="1"/>
  <c r="E4" i="1361" l="1"/>
  <c r="C35" i="1360"/>
  <c r="C34" i="1360" s="1"/>
  <c r="E35" i="1359"/>
  <c r="E34" i="1359" s="1"/>
  <c r="E35" i="1358"/>
  <c r="E34" i="1358" s="1"/>
  <c r="D35" i="1358"/>
  <c r="D34" i="1358" s="1"/>
  <c r="E35" i="1357"/>
  <c r="C12" i="1358"/>
  <c r="C13" i="1358"/>
  <c r="C14" i="1358"/>
  <c r="C17" i="1358"/>
  <c r="C18" i="1358"/>
  <c r="C25" i="1358"/>
  <c r="C26" i="1358"/>
  <c r="C28" i="1358"/>
  <c r="C29" i="1358"/>
  <c r="C30" i="1358"/>
  <c r="C31" i="1358"/>
  <c r="C32" i="1358"/>
  <c r="C33" i="1358"/>
  <c r="C12" i="1357"/>
  <c r="H9" i="1452" s="1"/>
  <c r="C35" i="1357" l="1"/>
  <c r="H32" i="1452" s="1"/>
  <c r="E34" i="1357"/>
  <c r="C35" i="1359"/>
  <c r="C152" i="1360"/>
  <c r="C147" i="1360"/>
  <c r="C140" i="1360"/>
  <c r="C136" i="1360"/>
  <c r="C121" i="1360"/>
  <c r="C100" i="1360"/>
  <c r="C98" i="1360"/>
  <c r="C86" i="1360"/>
  <c r="C82" i="1360"/>
  <c r="C79" i="1360"/>
  <c r="C74" i="1360"/>
  <c r="C70" i="1360"/>
  <c r="C64" i="1360"/>
  <c r="C59" i="1360"/>
  <c r="C53" i="1360"/>
  <c r="C41" i="1360"/>
  <c r="C27" i="1360"/>
  <c r="C20" i="1360"/>
  <c r="C11" i="1360"/>
  <c r="C158" i="1359"/>
  <c r="C157" i="1359"/>
  <c r="C156" i="1359"/>
  <c r="C155" i="1359"/>
  <c r="C154" i="1359"/>
  <c r="C153" i="1359"/>
  <c r="C152" i="1359"/>
  <c r="E151" i="1359"/>
  <c r="D151" i="1359"/>
  <c r="C150" i="1359"/>
  <c r="C149" i="1359"/>
  <c r="C148" i="1359"/>
  <c r="C147" i="1359"/>
  <c r="E146" i="1359"/>
  <c r="D146" i="1359"/>
  <c r="C145" i="1359"/>
  <c r="C144" i="1359"/>
  <c r="C143" i="1359"/>
  <c r="C142" i="1359"/>
  <c r="C141" i="1359"/>
  <c r="C140" i="1359"/>
  <c r="E139" i="1359"/>
  <c r="D139" i="1359"/>
  <c r="C138" i="1359"/>
  <c r="C137" i="1359"/>
  <c r="C136" i="1359"/>
  <c r="E135" i="1359"/>
  <c r="D135" i="1359"/>
  <c r="C133" i="1359"/>
  <c r="H133" i="1357" s="1"/>
  <c r="C132" i="1359"/>
  <c r="H132" i="1357" s="1"/>
  <c r="C131" i="1359"/>
  <c r="H131" i="1357" s="1"/>
  <c r="C130" i="1359"/>
  <c r="H130" i="1357" s="1"/>
  <c r="C129" i="1359"/>
  <c r="H129" i="1357" s="1"/>
  <c r="C128" i="1359"/>
  <c r="H128" i="1357" s="1"/>
  <c r="C127" i="1359"/>
  <c r="H127" i="1357" s="1"/>
  <c r="C126" i="1359"/>
  <c r="H126" i="1357" s="1"/>
  <c r="C124" i="1359"/>
  <c r="H124" i="1357" s="1"/>
  <c r="C123" i="1359"/>
  <c r="C122" i="1359"/>
  <c r="C121" i="1359"/>
  <c r="E120" i="1359"/>
  <c r="D120" i="1359"/>
  <c r="C102" i="1359"/>
  <c r="C101" i="1359"/>
  <c r="C100" i="1359"/>
  <c r="E99" i="1359"/>
  <c r="D99" i="1359"/>
  <c r="C97" i="1359"/>
  <c r="C92" i="1359"/>
  <c r="C91" i="1359"/>
  <c r="C90" i="1359"/>
  <c r="C89" i="1359"/>
  <c r="C88" i="1359"/>
  <c r="C87" i="1359"/>
  <c r="E86" i="1359"/>
  <c r="D86" i="1359"/>
  <c r="C85" i="1359"/>
  <c r="C84" i="1359"/>
  <c r="C83" i="1359"/>
  <c r="E82" i="1359"/>
  <c r="D82" i="1359"/>
  <c r="C81" i="1359"/>
  <c r="C80" i="1359"/>
  <c r="E79" i="1359"/>
  <c r="D79" i="1359"/>
  <c r="C78" i="1359"/>
  <c r="C77" i="1359"/>
  <c r="C76" i="1359"/>
  <c r="C75" i="1359"/>
  <c r="E74" i="1359"/>
  <c r="D74" i="1359"/>
  <c r="C73" i="1359"/>
  <c r="C72" i="1359"/>
  <c r="C71" i="1359"/>
  <c r="E70" i="1359"/>
  <c r="C68" i="1359"/>
  <c r="C67" i="1359"/>
  <c r="C66" i="1359"/>
  <c r="C65" i="1359"/>
  <c r="E64" i="1359"/>
  <c r="C63" i="1359"/>
  <c r="C62" i="1359"/>
  <c r="C61" i="1359"/>
  <c r="C60" i="1359"/>
  <c r="E59" i="1359"/>
  <c r="C58" i="1359"/>
  <c r="C57" i="1359"/>
  <c r="C56" i="1359"/>
  <c r="C55" i="1359"/>
  <c r="C54" i="1359"/>
  <c r="E53" i="1359"/>
  <c r="C52" i="1359"/>
  <c r="C51" i="1359"/>
  <c r="C50" i="1359"/>
  <c r="C49" i="1359"/>
  <c r="C48" i="1359"/>
  <c r="C47" i="1359"/>
  <c r="C46" i="1359"/>
  <c r="C45" i="1359"/>
  <c r="C44" i="1359"/>
  <c r="C43" i="1359"/>
  <c r="C42" i="1359"/>
  <c r="E41" i="1359"/>
  <c r="C40" i="1359"/>
  <c r="C39" i="1359"/>
  <c r="C38" i="1359"/>
  <c r="C37" i="1359"/>
  <c r="C36" i="1359"/>
  <c r="C33" i="1359"/>
  <c r="H33" i="1357" s="1"/>
  <c r="C32" i="1359"/>
  <c r="H32" i="1357" s="1"/>
  <c r="C31" i="1359"/>
  <c r="H31" i="1357" s="1"/>
  <c r="C30" i="1359"/>
  <c r="H30" i="1357" s="1"/>
  <c r="C29" i="1359"/>
  <c r="H29" i="1357" s="1"/>
  <c r="C28" i="1359"/>
  <c r="H28" i="1357" s="1"/>
  <c r="E27" i="1359"/>
  <c r="C26" i="1359"/>
  <c r="H26" i="1357" s="1"/>
  <c r="C25" i="1359"/>
  <c r="H25" i="1357" s="1"/>
  <c r="C24" i="1359"/>
  <c r="C23" i="1359"/>
  <c r="C22" i="1359"/>
  <c r="C21" i="1359"/>
  <c r="E20" i="1359"/>
  <c r="C19" i="1359"/>
  <c r="C18" i="1359"/>
  <c r="H18" i="1357" s="1"/>
  <c r="C17" i="1359"/>
  <c r="H17" i="1357" s="1"/>
  <c r="C14" i="1359"/>
  <c r="H14" i="1357" s="1"/>
  <c r="C13" i="1359"/>
  <c r="H13" i="1357" s="1"/>
  <c r="C12" i="1359"/>
  <c r="H12" i="1357" s="1"/>
  <c r="I12" i="1357" s="1"/>
  <c r="E11" i="1359"/>
  <c r="C158" i="1358"/>
  <c r="C157" i="1358"/>
  <c r="C156" i="1358"/>
  <c r="C155" i="1358"/>
  <c r="C154" i="1358"/>
  <c r="C153" i="1358"/>
  <c r="C152" i="1358"/>
  <c r="E151" i="1358"/>
  <c r="D151" i="1358"/>
  <c r="C150" i="1358"/>
  <c r="C149" i="1358"/>
  <c r="C148" i="1358"/>
  <c r="C147" i="1358"/>
  <c r="E146" i="1358"/>
  <c r="D146" i="1358"/>
  <c r="C145" i="1358"/>
  <c r="C144" i="1358"/>
  <c r="C143" i="1358"/>
  <c r="C142" i="1358"/>
  <c r="C141" i="1358"/>
  <c r="C140" i="1358"/>
  <c r="E139" i="1358"/>
  <c r="D139" i="1358"/>
  <c r="C138" i="1358"/>
  <c r="C137" i="1358"/>
  <c r="C136" i="1358"/>
  <c r="E135" i="1358"/>
  <c r="D135" i="1358"/>
  <c r="C123" i="1358"/>
  <c r="C122" i="1358"/>
  <c r="E120" i="1358"/>
  <c r="D120" i="1358"/>
  <c r="C103" i="1358"/>
  <c r="H103" i="1357" s="1"/>
  <c r="C102" i="1358"/>
  <c r="C101" i="1358"/>
  <c r="C100" i="1358"/>
  <c r="E99" i="1358"/>
  <c r="C97" i="1358"/>
  <c r="C92" i="1358"/>
  <c r="C91" i="1358"/>
  <c r="C90" i="1358"/>
  <c r="C89" i="1358"/>
  <c r="C88" i="1358"/>
  <c r="C87" i="1358"/>
  <c r="E86" i="1358"/>
  <c r="D86" i="1358"/>
  <c r="C85" i="1358"/>
  <c r="C84" i="1358"/>
  <c r="C83" i="1358"/>
  <c r="E82" i="1358"/>
  <c r="D82" i="1358"/>
  <c r="C81" i="1358"/>
  <c r="C80" i="1358"/>
  <c r="E79" i="1358"/>
  <c r="D79" i="1358"/>
  <c r="C78" i="1358"/>
  <c r="C77" i="1358"/>
  <c r="C76" i="1358"/>
  <c r="C75" i="1358"/>
  <c r="E74" i="1358"/>
  <c r="D74" i="1358"/>
  <c r="C73" i="1358"/>
  <c r="C72" i="1358"/>
  <c r="C71" i="1358"/>
  <c r="E70" i="1358"/>
  <c r="D70" i="1358"/>
  <c r="C68" i="1358"/>
  <c r="C67" i="1358"/>
  <c r="C66" i="1358"/>
  <c r="C65" i="1358"/>
  <c r="H65" i="1357" s="1"/>
  <c r="E64" i="1358"/>
  <c r="D64" i="1358"/>
  <c r="C63" i="1358"/>
  <c r="C62" i="1358"/>
  <c r="C61" i="1358"/>
  <c r="C60" i="1358"/>
  <c r="E59" i="1358"/>
  <c r="D59" i="1358"/>
  <c r="C58" i="1358"/>
  <c r="C57" i="1358"/>
  <c r="H57" i="1357" s="1"/>
  <c r="C56" i="1358"/>
  <c r="C55" i="1358"/>
  <c r="C54" i="1358"/>
  <c r="E53" i="1358"/>
  <c r="D53" i="1358"/>
  <c r="C52" i="1358"/>
  <c r="C51" i="1358"/>
  <c r="C50" i="1358"/>
  <c r="C49" i="1358"/>
  <c r="C48" i="1358"/>
  <c r="C47" i="1358"/>
  <c r="C46" i="1358"/>
  <c r="C45" i="1358"/>
  <c r="C44" i="1358"/>
  <c r="C43" i="1358"/>
  <c r="C42" i="1358"/>
  <c r="E41" i="1358"/>
  <c r="C40" i="1358"/>
  <c r="C39" i="1358"/>
  <c r="C38" i="1358"/>
  <c r="C37" i="1358"/>
  <c r="C36" i="1358"/>
  <c r="C35" i="1358"/>
  <c r="E27" i="1358"/>
  <c r="C24" i="1358"/>
  <c r="C23" i="1358"/>
  <c r="C22" i="1358"/>
  <c r="C21" i="1358"/>
  <c r="E20" i="1358"/>
  <c r="D20" i="1358"/>
  <c r="C19" i="1358"/>
  <c r="E11" i="1358"/>
  <c r="C158" i="1357"/>
  <c r="H155" i="1452" s="1"/>
  <c r="C157" i="1357"/>
  <c r="H154" i="1452" s="1"/>
  <c r="C156" i="1357"/>
  <c r="H153" i="1452" s="1"/>
  <c r="C155" i="1357"/>
  <c r="H152" i="1452" s="1"/>
  <c r="C154" i="1357"/>
  <c r="H151" i="1452" s="1"/>
  <c r="C153" i="1357"/>
  <c r="H150" i="1452" s="1"/>
  <c r="C152" i="1357"/>
  <c r="H149" i="1452" s="1"/>
  <c r="E151" i="1357"/>
  <c r="D151" i="1357"/>
  <c r="C150" i="1357"/>
  <c r="H147" i="1452" s="1"/>
  <c r="C149" i="1357"/>
  <c r="H146" i="1452" s="1"/>
  <c r="C148" i="1357"/>
  <c r="H145" i="1452" s="1"/>
  <c r="C147" i="1357"/>
  <c r="H144" i="1452" s="1"/>
  <c r="E146" i="1357"/>
  <c r="D146" i="1357"/>
  <c r="C145" i="1357"/>
  <c r="H142" i="1452" s="1"/>
  <c r="C144" i="1357"/>
  <c r="H141" i="1452" s="1"/>
  <c r="C143" i="1357"/>
  <c r="H140" i="1452" s="1"/>
  <c r="C142" i="1357"/>
  <c r="H139" i="1452" s="1"/>
  <c r="C141" i="1357"/>
  <c r="H138" i="1452" s="1"/>
  <c r="C140" i="1357"/>
  <c r="H137" i="1452" s="1"/>
  <c r="E139" i="1357"/>
  <c r="D139" i="1357"/>
  <c r="C138" i="1357"/>
  <c r="H135" i="1452" s="1"/>
  <c r="E135" i="1357"/>
  <c r="D135" i="1357"/>
  <c r="C124" i="1357"/>
  <c r="C123" i="1357"/>
  <c r="E9" i="1362" s="1"/>
  <c r="C122" i="1357"/>
  <c r="C121" i="1357"/>
  <c r="E7" i="1362" s="1"/>
  <c r="E120" i="1357"/>
  <c r="D120" i="1357"/>
  <c r="C101" i="1357"/>
  <c r="C100" i="1357"/>
  <c r="E99" i="1357"/>
  <c r="D99" i="1357"/>
  <c r="C97" i="1357"/>
  <c r="C92" i="1357"/>
  <c r="H90" i="1452" s="1"/>
  <c r="C91" i="1357"/>
  <c r="H89" i="1452" s="1"/>
  <c r="C90" i="1357"/>
  <c r="H88" i="1452" s="1"/>
  <c r="C89" i="1357"/>
  <c r="H87" i="1452" s="1"/>
  <c r="C88" i="1357"/>
  <c r="H86" i="1452" s="1"/>
  <c r="C87" i="1357"/>
  <c r="H85" i="1452" s="1"/>
  <c r="E86" i="1357"/>
  <c r="D86" i="1357"/>
  <c r="C85" i="1357"/>
  <c r="H83" i="1452" s="1"/>
  <c r="C84" i="1357"/>
  <c r="H82" i="1452" s="1"/>
  <c r="C83" i="1357"/>
  <c r="H81" i="1452" s="1"/>
  <c r="E82" i="1357"/>
  <c r="D82" i="1357"/>
  <c r="C81" i="1357"/>
  <c r="H79" i="1452" s="1"/>
  <c r="C80" i="1357"/>
  <c r="E79" i="1357"/>
  <c r="D79" i="1357"/>
  <c r="C78" i="1357"/>
  <c r="H76" i="1452" s="1"/>
  <c r="C77" i="1357"/>
  <c r="H75" i="1452" s="1"/>
  <c r="C76" i="1357"/>
  <c r="H74" i="1452" s="1"/>
  <c r="C75" i="1357"/>
  <c r="H73" i="1452" s="1"/>
  <c r="E74" i="1357"/>
  <c r="D74" i="1357"/>
  <c r="C73" i="1357"/>
  <c r="H71" i="1452" s="1"/>
  <c r="C72" i="1357"/>
  <c r="H70" i="1452" s="1"/>
  <c r="C71" i="1357"/>
  <c r="E70" i="1357"/>
  <c r="D70" i="1357"/>
  <c r="C68" i="1357"/>
  <c r="H66" i="1452" s="1"/>
  <c r="C67" i="1357"/>
  <c r="H65" i="1452" s="1"/>
  <c r="C66" i="1357"/>
  <c r="H64" i="1452" s="1"/>
  <c r="C65" i="1357"/>
  <c r="H63" i="1452" s="1"/>
  <c r="E64" i="1357"/>
  <c r="D64" i="1357"/>
  <c r="C63" i="1357"/>
  <c r="H61" i="1452" s="1"/>
  <c r="C62" i="1357"/>
  <c r="H60" i="1452" s="1"/>
  <c r="C60" i="1357"/>
  <c r="H58" i="1452" s="1"/>
  <c r="E59" i="1357"/>
  <c r="C58" i="1357"/>
  <c r="H56" i="1452" s="1"/>
  <c r="C57" i="1357"/>
  <c r="H55" i="1452" s="1"/>
  <c r="C56" i="1357"/>
  <c r="H54" i="1452" s="1"/>
  <c r="C55" i="1357"/>
  <c r="H53" i="1452" s="1"/>
  <c r="C54" i="1357"/>
  <c r="H52" i="1452" s="1"/>
  <c r="E53" i="1357"/>
  <c r="D53" i="1357"/>
  <c r="C52" i="1357"/>
  <c r="H50" i="1452" s="1"/>
  <c r="C51" i="1357"/>
  <c r="H49" i="1452" s="1"/>
  <c r="C50" i="1357"/>
  <c r="H48" i="1452" s="1"/>
  <c r="C49" i="1357"/>
  <c r="H47" i="1452" s="1"/>
  <c r="C48" i="1357"/>
  <c r="H46" i="1452" s="1"/>
  <c r="C47" i="1357"/>
  <c r="H45" i="1452" s="1"/>
  <c r="H44" i="1452"/>
  <c r="C45" i="1357"/>
  <c r="H43" i="1452" s="1"/>
  <c r="C44" i="1357"/>
  <c r="H42" i="1452" s="1"/>
  <c r="C43" i="1357"/>
  <c r="H41" i="1452" s="1"/>
  <c r="C42" i="1357"/>
  <c r="H40" i="1452" s="1"/>
  <c r="C40" i="1357"/>
  <c r="H38" i="1452" s="1"/>
  <c r="C33" i="1357"/>
  <c r="C8" i="1362" s="1"/>
  <c r="C32" i="1357"/>
  <c r="H29" i="1452" s="1"/>
  <c r="C31" i="1357"/>
  <c r="H28" i="1452" s="1"/>
  <c r="C30" i="1357"/>
  <c r="H27" i="1452" s="1"/>
  <c r="C29" i="1357"/>
  <c r="H26" i="1452" s="1"/>
  <c r="C28" i="1357"/>
  <c r="H25" i="1452" s="1"/>
  <c r="E27" i="1357"/>
  <c r="D27" i="1357"/>
  <c r="C26" i="1357"/>
  <c r="H23" i="1452" s="1"/>
  <c r="C25" i="1357"/>
  <c r="H22" i="1452" s="1"/>
  <c r="C24" i="1357"/>
  <c r="H21" i="1452" s="1"/>
  <c r="C23" i="1357"/>
  <c r="H20" i="1452" s="1"/>
  <c r="C22" i="1357"/>
  <c r="H19" i="1452" s="1"/>
  <c r="C21" i="1357"/>
  <c r="H18" i="1452" s="1"/>
  <c r="E20" i="1357"/>
  <c r="D20" i="1357"/>
  <c r="C19" i="1357"/>
  <c r="H16" i="1452" s="1"/>
  <c r="C18" i="1357"/>
  <c r="H15" i="1452" s="1"/>
  <c r="C17" i="1357"/>
  <c r="H14" i="1452" s="1"/>
  <c r="C14" i="1357"/>
  <c r="H11" i="1452" s="1"/>
  <c r="C13" i="1357"/>
  <c r="H10" i="1452" s="1"/>
  <c r="E11" i="1357"/>
  <c r="D11" i="1357"/>
  <c r="E18" i="1362" l="1"/>
  <c r="E32" i="1362" s="1"/>
  <c r="H69" i="1452"/>
  <c r="C26" i="1362"/>
  <c r="C25" i="1362" s="1"/>
  <c r="C31" i="1362" s="1"/>
  <c r="H119" i="1452"/>
  <c r="E8" i="1362"/>
  <c r="H121" i="1452"/>
  <c r="E10" i="1362"/>
  <c r="H42" i="1357"/>
  <c r="I42" i="1357" s="1"/>
  <c r="H46" i="1357"/>
  <c r="I46" i="1357" s="1"/>
  <c r="H50" i="1357"/>
  <c r="H60" i="1357"/>
  <c r="I60" i="1357" s="1"/>
  <c r="H71" i="1357"/>
  <c r="I71" i="1357" s="1"/>
  <c r="H78" i="1357"/>
  <c r="I78" i="1357" s="1"/>
  <c r="H81" i="1357"/>
  <c r="H84" i="1357"/>
  <c r="I84" i="1357" s="1"/>
  <c r="H87" i="1357"/>
  <c r="I87" i="1357" s="1"/>
  <c r="H91" i="1357"/>
  <c r="I91" i="1357" s="1"/>
  <c r="H136" i="1357"/>
  <c r="H138" i="1357"/>
  <c r="I138" i="1357" s="1"/>
  <c r="H141" i="1357"/>
  <c r="H143" i="1357"/>
  <c r="I143" i="1357" s="1"/>
  <c r="H145" i="1357"/>
  <c r="H148" i="1357"/>
  <c r="I148" i="1357" s="1"/>
  <c r="H150" i="1357"/>
  <c r="H153" i="1357"/>
  <c r="I153" i="1357" s="1"/>
  <c r="H155" i="1357"/>
  <c r="H157" i="1357"/>
  <c r="I157" i="1357" s="1"/>
  <c r="H44" i="1357"/>
  <c r="H48" i="1357"/>
  <c r="I48" i="1357" s="1"/>
  <c r="H52" i="1357"/>
  <c r="I52" i="1357" s="1"/>
  <c r="H55" i="1357"/>
  <c r="I55" i="1357" s="1"/>
  <c r="H73" i="1357"/>
  <c r="I73" i="1357" s="1"/>
  <c r="H76" i="1357"/>
  <c r="I76" i="1357" s="1"/>
  <c r="H89" i="1357"/>
  <c r="I89" i="1357" s="1"/>
  <c r="E134" i="1358"/>
  <c r="H137" i="1357"/>
  <c r="H140" i="1357"/>
  <c r="I140" i="1357" s="1"/>
  <c r="H142" i="1357"/>
  <c r="H144" i="1357"/>
  <c r="I144" i="1357" s="1"/>
  <c r="H147" i="1357"/>
  <c r="H149" i="1357"/>
  <c r="I149" i="1357" s="1"/>
  <c r="H152" i="1357"/>
  <c r="H154" i="1357"/>
  <c r="I154" i="1357" s="1"/>
  <c r="H156" i="1357"/>
  <c r="H158" i="1357"/>
  <c r="I158" i="1357" s="1"/>
  <c r="H30" i="1452"/>
  <c r="H78" i="1452"/>
  <c r="C20" i="1361"/>
  <c r="C19" i="1361" s="1"/>
  <c r="C41" i="1357"/>
  <c r="H19" i="1357"/>
  <c r="I19" i="1357" s="1"/>
  <c r="H22" i="1357"/>
  <c r="I22" i="1357" s="1"/>
  <c r="H24" i="1357"/>
  <c r="I24" i="1357" s="1"/>
  <c r="H35" i="1357"/>
  <c r="I35" i="1357" s="1"/>
  <c r="H37" i="1357"/>
  <c r="I37" i="1357" s="1"/>
  <c r="H40" i="1357"/>
  <c r="I40" i="1357" s="1"/>
  <c r="H97" i="1357"/>
  <c r="H21" i="1357"/>
  <c r="I21" i="1357" s="1"/>
  <c r="H23" i="1357"/>
  <c r="I23" i="1357" s="1"/>
  <c r="H36" i="1357"/>
  <c r="I36" i="1357" s="1"/>
  <c r="H38" i="1357"/>
  <c r="I38" i="1357" s="1"/>
  <c r="H39" i="1357"/>
  <c r="I39" i="1357" s="1"/>
  <c r="H101" i="1357"/>
  <c r="I101" i="1357" s="1"/>
  <c r="H123" i="1357"/>
  <c r="I123" i="1357" s="1"/>
  <c r="H102" i="1357"/>
  <c r="I102" i="1357" s="1"/>
  <c r="H100" i="1357"/>
  <c r="I100" i="1357" s="1"/>
  <c r="P23" i="1455"/>
  <c r="Q23" i="1455" s="1"/>
  <c r="H118" i="1452"/>
  <c r="F65" i="1419"/>
  <c r="F66" i="1419" s="1"/>
  <c r="H120" i="1452"/>
  <c r="P24" i="1455"/>
  <c r="Q24" i="1455" s="1"/>
  <c r="F31" i="1420"/>
  <c r="P19" i="1455"/>
  <c r="Q19" i="1455" s="1"/>
  <c r="H98" i="1452"/>
  <c r="P18" i="1455"/>
  <c r="H97" i="1452"/>
  <c r="H43" i="1357"/>
  <c r="I43" i="1357" s="1"/>
  <c r="H68" i="1357"/>
  <c r="I68" i="1357" s="1"/>
  <c r="H122" i="1357"/>
  <c r="I122" i="1357" s="1"/>
  <c r="C27" i="1361"/>
  <c r="E28" i="1361"/>
  <c r="E29" i="1361" s="1"/>
  <c r="D14" i="1413" s="1"/>
  <c r="H45" i="1357"/>
  <c r="I45" i="1357" s="1"/>
  <c r="H49" i="1357"/>
  <c r="I49" i="1357" s="1"/>
  <c r="H51" i="1357"/>
  <c r="I51" i="1357" s="1"/>
  <c r="H54" i="1357"/>
  <c r="I54" i="1357" s="1"/>
  <c r="H56" i="1357"/>
  <c r="I56" i="1357" s="1"/>
  <c r="H58" i="1357"/>
  <c r="I58" i="1357" s="1"/>
  <c r="H61" i="1357"/>
  <c r="H63" i="1357"/>
  <c r="I63" i="1357" s="1"/>
  <c r="H66" i="1357"/>
  <c r="I66" i="1357" s="1"/>
  <c r="H72" i="1357"/>
  <c r="I72" i="1357" s="1"/>
  <c r="H75" i="1357"/>
  <c r="I75" i="1357" s="1"/>
  <c r="H77" i="1357"/>
  <c r="I77" i="1357" s="1"/>
  <c r="H80" i="1357"/>
  <c r="I80" i="1357" s="1"/>
  <c r="H83" i="1357"/>
  <c r="I83" i="1357" s="1"/>
  <c r="H85" i="1357"/>
  <c r="I85" i="1357" s="1"/>
  <c r="H88" i="1357"/>
  <c r="I88" i="1357" s="1"/>
  <c r="H90" i="1357"/>
  <c r="I90" i="1357" s="1"/>
  <c r="H92" i="1357"/>
  <c r="I92" i="1357" s="1"/>
  <c r="H62" i="1357"/>
  <c r="I62" i="1357" s="1"/>
  <c r="H67" i="1357"/>
  <c r="I67" i="1357" s="1"/>
  <c r="H121" i="1357"/>
  <c r="I121" i="1357" s="1"/>
  <c r="H47" i="1357"/>
  <c r="I47" i="1357" s="1"/>
  <c r="C8" i="1361"/>
  <c r="E7" i="1361"/>
  <c r="C12" i="1361"/>
  <c r="C25" i="1361"/>
  <c r="C24" i="1361" s="1"/>
  <c r="E6" i="1361"/>
  <c r="C86" i="1357"/>
  <c r="H84" i="1452" s="1"/>
  <c r="C139" i="1357"/>
  <c r="H136" i="1452" s="1"/>
  <c r="I50" i="1357"/>
  <c r="I57" i="1357"/>
  <c r="I81" i="1357"/>
  <c r="E93" i="1357"/>
  <c r="C70" i="1359"/>
  <c r="C86" i="1359"/>
  <c r="E134" i="1359"/>
  <c r="C160" i="1360"/>
  <c r="C27" i="1357"/>
  <c r="C7" i="1362" s="1"/>
  <c r="C74" i="1357"/>
  <c r="H72" i="1452" s="1"/>
  <c r="C120" i="1359"/>
  <c r="C151" i="1359"/>
  <c r="C64" i="1357"/>
  <c r="C10" i="1362" s="1"/>
  <c r="C151" i="1357"/>
  <c r="H148" i="1452" s="1"/>
  <c r="C64" i="1358"/>
  <c r="D93" i="1357"/>
  <c r="C53" i="1359"/>
  <c r="I44" i="1357"/>
  <c r="C86" i="1358"/>
  <c r="C20" i="1359"/>
  <c r="C27" i="1359"/>
  <c r="C41" i="1359"/>
  <c r="C64" i="1359"/>
  <c r="E93" i="1359"/>
  <c r="C74" i="1359"/>
  <c r="C79" i="1359"/>
  <c r="C82" i="1359"/>
  <c r="C146" i="1359"/>
  <c r="D159" i="1357"/>
  <c r="C135" i="1357"/>
  <c r="H132" i="1452" s="1"/>
  <c r="C20" i="1357"/>
  <c r="C7" i="1361" s="1"/>
  <c r="C11" i="1357"/>
  <c r="E159" i="1357"/>
  <c r="C82" i="1358"/>
  <c r="C120" i="1358"/>
  <c r="C151" i="1358"/>
  <c r="D93" i="1359"/>
  <c r="C93" i="1360"/>
  <c r="C146" i="1357"/>
  <c r="H143" i="1452" s="1"/>
  <c r="C59" i="1358"/>
  <c r="I65" i="1357"/>
  <c r="D93" i="1358"/>
  <c r="I155" i="1357"/>
  <c r="D159" i="1359"/>
  <c r="C82" i="1357"/>
  <c r="H80" i="1452" s="1"/>
  <c r="C20" i="1358"/>
  <c r="C53" i="1358"/>
  <c r="C74" i="1358"/>
  <c r="E159" i="1358"/>
  <c r="C139" i="1358"/>
  <c r="C146" i="1358"/>
  <c r="C59" i="1359"/>
  <c r="E159" i="1359"/>
  <c r="C139" i="1359"/>
  <c r="C125" i="1359"/>
  <c r="I13" i="1357"/>
  <c r="I136" i="1357"/>
  <c r="I14" i="1357"/>
  <c r="D134" i="1359"/>
  <c r="D134" i="1357"/>
  <c r="C79" i="1357"/>
  <c r="H77" i="1452" s="1"/>
  <c r="C53" i="1357"/>
  <c r="C9" i="1362" s="1"/>
  <c r="E69" i="1357"/>
  <c r="E134" i="1357"/>
  <c r="C120" i="1357"/>
  <c r="H117" i="1452" s="1"/>
  <c r="C135" i="1360"/>
  <c r="I17" i="1357"/>
  <c r="I18" i="1357"/>
  <c r="I25" i="1357"/>
  <c r="I32" i="1357"/>
  <c r="I33" i="1357"/>
  <c r="I103" i="1357"/>
  <c r="I104" i="1357"/>
  <c r="I105" i="1357"/>
  <c r="I116" i="1357"/>
  <c r="I117" i="1357"/>
  <c r="I133" i="1357"/>
  <c r="I141" i="1357"/>
  <c r="I142" i="1357"/>
  <c r="I145" i="1357"/>
  <c r="E69" i="1359"/>
  <c r="C34" i="1359"/>
  <c r="C34" i="1358"/>
  <c r="C34" i="1357"/>
  <c r="D159" i="1358"/>
  <c r="C79" i="1358"/>
  <c r="E93" i="1358"/>
  <c r="E69" i="1358"/>
  <c r="C99" i="1357"/>
  <c r="H96" i="1452" s="1"/>
  <c r="C70" i="1357"/>
  <c r="H68" i="1452" s="1"/>
  <c r="I26" i="1357"/>
  <c r="I28" i="1357"/>
  <c r="I29" i="1357"/>
  <c r="I30" i="1357"/>
  <c r="I31" i="1357"/>
  <c r="I106" i="1357"/>
  <c r="I107" i="1357"/>
  <c r="I108" i="1357"/>
  <c r="I109" i="1357"/>
  <c r="I110" i="1357"/>
  <c r="I111" i="1357"/>
  <c r="I112" i="1357"/>
  <c r="I113" i="1357"/>
  <c r="I114" i="1357"/>
  <c r="I115" i="1357"/>
  <c r="I118" i="1357"/>
  <c r="I119" i="1357"/>
  <c r="I124" i="1357"/>
  <c r="I126" i="1357"/>
  <c r="I127" i="1357"/>
  <c r="I128" i="1357"/>
  <c r="I129" i="1357"/>
  <c r="I130" i="1357"/>
  <c r="I131" i="1357"/>
  <c r="I132" i="1357"/>
  <c r="I137" i="1357"/>
  <c r="I147" i="1357"/>
  <c r="I150" i="1357"/>
  <c r="I152" i="1357"/>
  <c r="I156" i="1357"/>
  <c r="C69" i="1360"/>
  <c r="C11" i="1359"/>
  <c r="C135" i="1359"/>
  <c r="C99" i="1359"/>
  <c r="C135" i="1358"/>
  <c r="D11" i="1358"/>
  <c r="D27" i="1358"/>
  <c r="D41" i="1358"/>
  <c r="C70" i="1358"/>
  <c r="C61" i="1357"/>
  <c r="H59" i="1452" s="1"/>
  <c r="D59" i="1357"/>
  <c r="H135" i="1357" l="1"/>
  <c r="I135" i="1357" s="1"/>
  <c r="C34" i="1362"/>
  <c r="E34" i="1362"/>
  <c r="C18" i="1362"/>
  <c r="E160" i="1358"/>
  <c r="H59" i="1357"/>
  <c r="H70" i="1357"/>
  <c r="I70" i="1357" s="1"/>
  <c r="H74" i="1357"/>
  <c r="I74" i="1357" s="1"/>
  <c r="H151" i="1357"/>
  <c r="H53" i="1357"/>
  <c r="I53" i="1357" s="1"/>
  <c r="C166" i="1360"/>
  <c r="H64" i="1357"/>
  <c r="I64" i="1357" s="1"/>
  <c r="H86" i="1357"/>
  <c r="I86" i="1357" s="1"/>
  <c r="P10" i="1455"/>
  <c r="Q10" i="1455" s="1"/>
  <c r="H31" i="1452"/>
  <c r="P9" i="1455"/>
  <c r="Q9" i="1455" s="1"/>
  <c r="H24" i="1452"/>
  <c r="H39" i="1452"/>
  <c r="P11" i="1455"/>
  <c r="Q11" i="1455" s="1"/>
  <c r="P12" i="1455"/>
  <c r="Q12" i="1455" s="1"/>
  <c r="H51" i="1452"/>
  <c r="P7" i="1455"/>
  <c r="Q7" i="1455" s="1"/>
  <c r="H8" i="1452"/>
  <c r="P14" i="1455"/>
  <c r="Q14" i="1455" s="1"/>
  <c r="H62" i="1452"/>
  <c r="Q18" i="1455"/>
  <c r="P8" i="1455"/>
  <c r="H17" i="1452"/>
  <c r="H82" i="1357"/>
  <c r="I82" i="1357" s="1"/>
  <c r="H20" i="1357"/>
  <c r="I20" i="1357" s="1"/>
  <c r="H79" i="1357"/>
  <c r="I79" i="1357" s="1"/>
  <c r="H34" i="1357"/>
  <c r="I34" i="1357" s="1"/>
  <c r="E94" i="1359"/>
  <c r="H125" i="1357"/>
  <c r="I125" i="1357" s="1"/>
  <c r="H139" i="1357"/>
  <c r="I139" i="1357" s="1"/>
  <c r="H120" i="1357"/>
  <c r="I120" i="1357" s="1"/>
  <c r="H146" i="1357"/>
  <c r="I146" i="1357" s="1"/>
  <c r="E18" i="1361"/>
  <c r="E30" i="1361" s="1"/>
  <c r="C6" i="1361"/>
  <c r="C9" i="1361"/>
  <c r="C10" i="1361"/>
  <c r="C29" i="1361"/>
  <c r="D7" i="1413" s="1"/>
  <c r="D160" i="1359"/>
  <c r="C69" i="1359"/>
  <c r="C27" i="1358"/>
  <c r="H27" i="1357" s="1"/>
  <c r="I27" i="1357" s="1"/>
  <c r="C41" i="1358"/>
  <c r="H41" i="1357" s="1"/>
  <c r="I41" i="1357" s="1"/>
  <c r="C59" i="1357"/>
  <c r="C93" i="1357"/>
  <c r="E160" i="1357"/>
  <c r="E160" i="1359"/>
  <c r="C93" i="1359"/>
  <c r="I61" i="1357"/>
  <c r="C134" i="1359"/>
  <c r="E94" i="1357"/>
  <c r="I151" i="1357"/>
  <c r="C159" i="1358"/>
  <c r="C159" i="1357"/>
  <c r="C93" i="1358"/>
  <c r="D160" i="1357"/>
  <c r="E94" i="1358"/>
  <c r="C159" i="1359"/>
  <c r="D94" i="1359"/>
  <c r="C134" i="1357"/>
  <c r="H131" i="1452" s="1"/>
  <c r="C161" i="1360"/>
  <c r="C94" i="1360"/>
  <c r="C165" i="1360"/>
  <c r="D69" i="1358"/>
  <c r="C11" i="1358"/>
  <c r="D99" i="1358"/>
  <c r="D69" i="1357"/>
  <c r="C33" i="1362" l="1"/>
  <c r="E33" i="1362"/>
  <c r="C32" i="1362"/>
  <c r="C160" i="1359"/>
  <c r="H93" i="1357"/>
  <c r="I93" i="1357" s="1"/>
  <c r="P27" i="1455"/>
  <c r="H156" i="1452"/>
  <c r="P15" i="1455"/>
  <c r="Q15" i="1455" s="1"/>
  <c r="H91" i="1452"/>
  <c r="H57" i="1452"/>
  <c r="P13" i="1455"/>
  <c r="Q13" i="1455" s="1"/>
  <c r="Q8" i="1455"/>
  <c r="H159" i="1357"/>
  <c r="I159" i="1357" s="1"/>
  <c r="C32" i="1361"/>
  <c r="E32" i="1361"/>
  <c r="C163" i="1359"/>
  <c r="C11" i="1361"/>
  <c r="C18" i="1361" s="1"/>
  <c r="B14" i="1413"/>
  <c r="E14" i="1413" s="1"/>
  <c r="B13" i="1413"/>
  <c r="B7" i="1413"/>
  <c r="E7" i="1413" s="1"/>
  <c r="C94" i="1359"/>
  <c r="I59" i="1357"/>
  <c r="C160" i="1357"/>
  <c r="H157" i="1452" s="1"/>
  <c r="C164" i="1357"/>
  <c r="D13" i="1413"/>
  <c r="D15" i="1413"/>
  <c r="C164" i="1358"/>
  <c r="C164" i="1359"/>
  <c r="H11" i="1357"/>
  <c r="I11" i="1357" s="1"/>
  <c r="D134" i="1358"/>
  <c r="C99" i="1358"/>
  <c r="H99" i="1357" s="1"/>
  <c r="D94" i="1358"/>
  <c r="C69" i="1358"/>
  <c r="H69" i="1357" s="1"/>
  <c r="C69" i="1357"/>
  <c r="H67" i="1452" s="1"/>
  <c r="D94" i="1357"/>
  <c r="E35" i="1362" l="1"/>
  <c r="C35" i="1362"/>
  <c r="E31" i="1361"/>
  <c r="D6" i="1413"/>
  <c r="P16" i="1455"/>
  <c r="Q16" i="1455" s="1"/>
  <c r="Q27" i="1455"/>
  <c r="P28" i="1455"/>
  <c r="Q28" i="1455" s="1"/>
  <c r="B6" i="1413"/>
  <c r="C30" i="1361"/>
  <c r="C31" i="1361"/>
  <c r="E13" i="1413"/>
  <c r="B15" i="1413"/>
  <c r="E15" i="1413" s="1"/>
  <c r="C94" i="1358"/>
  <c r="H94" i="1357" s="1"/>
  <c r="I99" i="1357"/>
  <c r="C94" i="1357"/>
  <c r="H92" i="1452" s="1"/>
  <c r="D160" i="1358"/>
  <c r="C160" i="1358" s="1"/>
  <c r="C134" i="1358"/>
  <c r="H134" i="1357" s="1"/>
  <c r="C163" i="1357"/>
  <c r="I69" i="1357"/>
  <c r="E6" i="1413" l="1"/>
  <c r="D8" i="1413"/>
  <c r="E33" i="1361"/>
  <c r="C33" i="1361"/>
  <c r="I94" i="1357"/>
  <c r="B8" i="1413"/>
  <c r="C163" i="1358"/>
  <c r="I134" i="1357"/>
  <c r="E8" i="1413" l="1"/>
  <c r="H160" i="1357"/>
  <c r="I160" i="1357" s="1"/>
</calcChain>
</file>

<file path=xl/sharedStrings.xml><?xml version="1.0" encoding="utf-8"?>
<sst xmlns="http://schemas.openxmlformats.org/spreadsheetml/2006/main" count="6439" uniqueCount="1091">
  <si>
    <t>Tiszavasvári Egyesített Óvodai Intézmény</t>
  </si>
  <si>
    <t>Járóbetegek gyógyító szakellátása</t>
  </si>
  <si>
    <t>Intézmények megnevezése</t>
  </si>
  <si>
    <t>Fizikoterápiás szolgáltatás</t>
  </si>
  <si>
    <t>Beruházási (felhalmozási) kiadások előirányzata beruházásonként</t>
  </si>
  <si>
    <t>Felújítási kiadások előirányzata felújításonként</t>
  </si>
  <si>
    <t>Vállalkozási maradvány igénybevétele</t>
  </si>
  <si>
    <t>Többéves kihatással járó döntések számszerűsítése évenkénti bontásban és összesítve célok szerint</t>
  </si>
  <si>
    <t>Felhalmozási célú finanszírozási kiadások
(hiteltörlesztés, értékpapír vásárlás, stb.)</t>
  </si>
  <si>
    <t>Felhalmozási bevételek</t>
  </si>
  <si>
    <t>Finanszírozási bevételek</t>
  </si>
  <si>
    <t xml:space="preserve"> Egyéb működési célú kiadások</t>
  </si>
  <si>
    <t>Finanszírozási kiadások</t>
  </si>
  <si>
    <t>B E V É T E L E K</t>
  </si>
  <si>
    <t>Sor-szám</t>
  </si>
  <si>
    <t>Bevételi jogcím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</si>
  <si>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</si>
  <si>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</si>
  <si>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</si>
  <si>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</si>
  <si>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</si>
  <si>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</si>
  <si>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</si>
  <si>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</si>
  <si>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</si>
  <si>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</si>
  <si>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</si>
  <si>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</si>
  <si>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</si>
  <si>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</si>
  <si>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</si>
  <si>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</si>
  <si>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</si>
  <si>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</si>
  <si>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</si>
  <si>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</si>
  <si>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</si>
  <si>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</si>
  <si>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</si>
  <si>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</si>
  <si>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</si>
  <si>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</si>
  <si>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</si>
  <si>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</si>
  <si>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K I A D Á S O K</t>
  </si>
  <si>
    <t>Kiadási jogcímek</t>
  </si>
  <si>
    <t>Személyi  juttatások</t>
  </si>
  <si>
    <t>Tartalékok</t>
  </si>
  <si>
    <t>Összesen</t>
  </si>
  <si>
    <t>Összesen:</t>
  </si>
  <si>
    <t>Előirányzat-csoport, kiemelt előirányzat megnevezése</t>
  </si>
  <si>
    <t>Előirányzat</t>
  </si>
  <si>
    <t>Bevételek</t>
  </si>
  <si>
    <t>Kiadások</t>
  </si>
  <si>
    <t>Egyéb fejlesztési célú kiadások</t>
  </si>
  <si>
    <t>Általános tartalék</t>
  </si>
  <si>
    <t>02</t>
  </si>
  <si>
    <t>03</t>
  </si>
  <si>
    <t>Megnevezés</t>
  </si>
  <si>
    <t>Személyi juttatások</t>
  </si>
  <si>
    <t>ÖSSZESEN:</t>
  </si>
  <si>
    <t>Teljes költség</t>
  </si>
  <si>
    <t>Kivitelezés kezdési és befejezési éve</t>
  </si>
  <si>
    <t>Kiadás vonzata évenként</t>
  </si>
  <si>
    <t>Sor-
szám</t>
  </si>
  <si>
    <t>Január</t>
  </si>
  <si>
    <t>Február</t>
  </si>
  <si>
    <t>Március</t>
  </si>
  <si>
    <t>Április</t>
  </si>
  <si>
    <t>Május</t>
  </si>
  <si>
    <t>Június</t>
  </si>
  <si>
    <t>Július</t>
  </si>
  <si>
    <t>Kötelezettség jogcíme</t>
  </si>
  <si>
    <t>Köt. váll.
 éve</t>
  </si>
  <si>
    <t>9=(4+5+6+7+8)</t>
  </si>
  <si>
    <t>3.1.</t>
  </si>
  <si>
    <t>3.2.</t>
  </si>
  <si>
    <t>3.3.</t>
  </si>
  <si>
    <t>3.4.</t>
  </si>
  <si>
    <t>5.1.</t>
  </si>
  <si>
    <t>5.2.</t>
  </si>
  <si>
    <t>5.3.</t>
  </si>
  <si>
    <t>6.1.</t>
  </si>
  <si>
    <t>6.2.</t>
  </si>
  <si>
    <t>7.1.</t>
  </si>
  <si>
    <t>7.2.</t>
  </si>
  <si>
    <t>1.1.</t>
  </si>
  <si>
    <t>1.2.</t>
  </si>
  <si>
    <t>1.3.</t>
  </si>
  <si>
    <t>1.4.</t>
  </si>
  <si>
    <t>1.6.</t>
  </si>
  <si>
    <t>1.7.</t>
  </si>
  <si>
    <t>2.1.</t>
  </si>
  <si>
    <t>2.2.</t>
  </si>
  <si>
    <t>2.3.</t>
  </si>
  <si>
    <t>2.4.</t>
  </si>
  <si>
    <t>2.5.</t>
  </si>
  <si>
    <t>Bevételek összesen:</t>
  </si>
  <si>
    <t>Kiadások összesen:</t>
  </si>
  <si>
    <t>Egyenleg</t>
  </si>
  <si>
    <t>1.5</t>
  </si>
  <si>
    <t>1.8.</t>
  </si>
  <si>
    <t>1.9.</t>
  </si>
  <si>
    <t>1.10.</t>
  </si>
  <si>
    <t>1.11.</t>
  </si>
  <si>
    <t>2.6.</t>
  </si>
  <si>
    <t>1.12.</t>
  </si>
  <si>
    <t>2.7.</t>
  </si>
  <si>
    <t>Támogatott szervezet neve</t>
  </si>
  <si>
    <t>Támogatás célja</t>
  </si>
  <si>
    <t>Hitel</t>
  </si>
  <si>
    <t>Dologi  kiadások</t>
  </si>
  <si>
    <t>1.5.</t>
  </si>
  <si>
    <t>11.1.</t>
  </si>
  <si>
    <t>11.2.</t>
  </si>
  <si>
    <t>1. sz. táblázat</t>
  </si>
  <si>
    <t>2. sz. táblázat</t>
  </si>
  <si>
    <t>3. sz. táblázat</t>
  </si>
  <si>
    <t>Rövid lejáratú hitelek törlesztése</t>
  </si>
  <si>
    <t>Hosszú lejáratú hitelek törlesztése</t>
  </si>
  <si>
    <t>I. Működési célú bevételek és kiadások mérlege
(Önkormányzati szinten)</t>
  </si>
  <si>
    <t>Költségvetési hiány:</t>
  </si>
  <si>
    <t>Költségvetési többlet:</t>
  </si>
  <si>
    <t>3.5.</t>
  </si>
  <si>
    <t>3.6.</t>
  </si>
  <si>
    <t xml:space="preserve">4. </t>
  </si>
  <si>
    <t>Közhatalmi bevételek</t>
  </si>
  <si>
    <t>5.4.</t>
  </si>
  <si>
    <t>5.5.</t>
  </si>
  <si>
    <t>5.6.</t>
  </si>
  <si>
    <t>5.7.</t>
  </si>
  <si>
    <t>5.8.</t>
  </si>
  <si>
    <t xml:space="preserve">7. </t>
  </si>
  <si>
    <t>8.1.</t>
  </si>
  <si>
    <t>8.2.</t>
  </si>
  <si>
    <t>Munkaadókat terhelő járulékok és szociális hozzájárulási adó</t>
  </si>
  <si>
    <t>Ellátottak pénzbeli juttatásai</t>
  </si>
  <si>
    <t>Egyéb működési célú kiadások</t>
  </si>
  <si>
    <t>1.13.</t>
  </si>
  <si>
    <t>Felújítások</t>
  </si>
  <si>
    <t>2.8.</t>
  </si>
  <si>
    <t>2.9.</t>
  </si>
  <si>
    <t>2.10.</t>
  </si>
  <si>
    <t>Értékpapír vásárlása, visszavásárlása</t>
  </si>
  <si>
    <t>Forgatási célú belföldi, külföldi értékpapírok vásárlása</t>
  </si>
  <si>
    <t>Betét elhelyezése</t>
  </si>
  <si>
    <t>Hitelek törlesztése</t>
  </si>
  <si>
    <t>Befektetési célú belföldi, külföldi értékpapírok vásárlása</t>
  </si>
  <si>
    <t>MEGNEVEZÉS</t>
  </si>
  <si>
    <t>ÖSSZES KÖTELEZETTSÉG</t>
  </si>
  <si>
    <t>Fejlesztési cél leírása</t>
  </si>
  <si>
    <t>ADÓSSÁGOT KELETKEZTETŐ ÜGYLETEK VÁRHATÓ EGYÜTTES ÖSSZEGE</t>
  </si>
  <si>
    <t>Feladat megnevezése</t>
  </si>
  <si>
    <t>Költségvetési szerv megnevezése</t>
  </si>
  <si>
    <t>Száma</t>
  </si>
  <si>
    <t>Fejlesztés várható kiadása</t>
  </si>
  <si>
    <t>Önkormányzat</t>
  </si>
  <si>
    <t xml:space="preserve">   Költségvetési maradvány igénybevétele </t>
  </si>
  <si>
    <t xml:space="preserve">   Vállalkozási maradvány igénybevétele </t>
  </si>
  <si>
    <t>Beruházások</t>
  </si>
  <si>
    <t>8.3.</t>
  </si>
  <si>
    <t>Egyéb felhalmozási kiadások</t>
  </si>
  <si>
    <t xml:space="preserve">   Betét visszavonásából származó bevétel </t>
  </si>
  <si>
    <t xml:space="preserve">   Egyéb belső finanszírozási bevételek</t>
  </si>
  <si>
    <t xml:space="preserve">Dologi kiadások </t>
  </si>
  <si>
    <t>Kölcsön törlesztése</t>
  </si>
  <si>
    <t>Tárgyévi  hiány:</t>
  </si>
  <si>
    <t>Tárgyévi  többlet:</t>
  </si>
  <si>
    <t>Költségvetési maradvány igénybevétele</t>
  </si>
  <si>
    <t xml:space="preserve">Vállalkozási maradvány igénybevétele </t>
  </si>
  <si>
    <t xml:space="preserve">Betét visszavonásából származó bevétel </t>
  </si>
  <si>
    <t>Értékpapír értékesítése</t>
  </si>
  <si>
    <t>Egyéb belső finanszírozási bevételek</t>
  </si>
  <si>
    <t>Hiány külső finanszírozásának bevételei (20+…+24 )</t>
  </si>
  <si>
    <t>Hosszú lejáratú hitelek, kölcsönök felvétele</t>
  </si>
  <si>
    <t>Likviditási célú hitelek, kölcsönök felvétele</t>
  </si>
  <si>
    <t>Rövid lejáratú hitelek, kölcsönök felvétele</t>
  </si>
  <si>
    <t>Értékpapírok kibocsátása</t>
  </si>
  <si>
    <t>Egyéb külső finanszírozási bevételek</t>
  </si>
  <si>
    <t>Hiány belső finanszírozás bevételei ( 14+…+18)</t>
  </si>
  <si>
    <t>Évek</t>
  </si>
  <si>
    <t>Önkormányzat működési támogatásai (1.1.+…+.1.6.)</t>
  </si>
  <si>
    <t>Helyi önkormányzatok működésének általános támogatása</t>
  </si>
  <si>
    <t>Önkormányzatok egyes köznevelési feladatainak támogatása</t>
  </si>
  <si>
    <t>Önkormányzatok szociális és gyermekjóléti feladatainak támogatása</t>
  </si>
  <si>
    <t>Önkormányzatok kulturális feladatainak támogatása</t>
  </si>
  <si>
    <t>Működési célú támogatások államháztartáson belülről (2.1.+…+.2.5.)</t>
  </si>
  <si>
    <t>Elvonások és befizetések bevételei</t>
  </si>
  <si>
    <t xml:space="preserve">Működési célú garancia- és kezességvállalásból megtérülések </t>
  </si>
  <si>
    <t xml:space="preserve">Egyéb működési célú támogatások bevételei </t>
  </si>
  <si>
    <t>2.5.-ből EU-s támogatás</t>
  </si>
  <si>
    <t>Felhalmozási célú támogatások államháztartáson belülről (3.1.+…+3.5.)</t>
  </si>
  <si>
    <t>Felhalmozási célú önkormányzati támogatások</t>
  </si>
  <si>
    <t>Felhalmozási célú garancia- és kezességvállalásból megtérülések</t>
  </si>
  <si>
    <t>Egyéb felhalmozási célú támogatások bevételei</t>
  </si>
  <si>
    <t>3.5.-ből EU-s támogatás</t>
  </si>
  <si>
    <t>Közhatalmi bevételek (4.1.+4.2.+4.3.+4.4.)</t>
  </si>
  <si>
    <t>4.1.</t>
  </si>
  <si>
    <t>4.1.1.</t>
  </si>
  <si>
    <t>4.1.2.</t>
  </si>
  <si>
    <t>4.2.</t>
  </si>
  <si>
    <t>4.3.</t>
  </si>
  <si>
    <t>4.4.</t>
  </si>
  <si>
    <t>- Vagyoni típusú adók</t>
  </si>
  <si>
    <t>Gépjárműadó</t>
  </si>
  <si>
    <t>Egyéb áruhasználati és szolgáltatási adók</t>
  </si>
  <si>
    <t>Egyéb közhatalmi bevételek</t>
  </si>
  <si>
    <t>5.9.</t>
  </si>
  <si>
    <t>5.10.</t>
  </si>
  <si>
    <t>Készletértékesítés ellenértéke</t>
  </si>
  <si>
    <t>Szolgáltatások ellenértéke</t>
  </si>
  <si>
    <t>Közvetített szolgáltatások értéke</t>
  </si>
  <si>
    <t>Tulajdonosi bevételek</t>
  </si>
  <si>
    <t>Ellátási díjak</t>
  </si>
  <si>
    <t xml:space="preserve">Kiszámlázott általános forgalmi adó </t>
  </si>
  <si>
    <t>Általános forgalmi adó visszatérítése</t>
  </si>
  <si>
    <t>Kamatbevételek</t>
  </si>
  <si>
    <t>Egyéb pénzügyi műveletek bevételei</t>
  </si>
  <si>
    <t>Egyéb működési bevételek</t>
  </si>
  <si>
    <t>Felhalmozási bevételek (6.1.+…+6.5.)</t>
  </si>
  <si>
    <t>6.3.</t>
  </si>
  <si>
    <t>6.4.</t>
  </si>
  <si>
    <t>6.5.</t>
  </si>
  <si>
    <t>Immateriális javak értékesítése</t>
  </si>
  <si>
    <t>Ingatlanok értékesítése</t>
  </si>
  <si>
    <t>Egyéb tárgyi eszközök értékesítése</t>
  </si>
  <si>
    <t>Részesedések értékesítése</t>
  </si>
  <si>
    <t>Részesedések megszűnéséhez kapcsolódó bevételek</t>
  </si>
  <si>
    <t>Működési célú átvett pénzeszközök (7.1. + … + 7.3.)</t>
  </si>
  <si>
    <t>Működési célú garancia- és kezességvállalásból megtérülések ÁH-n kívülről</t>
  </si>
  <si>
    <t>Egyéb működési célú átvett pénzeszköz</t>
  </si>
  <si>
    <t>7.3.-ból EU-s támogatás (közvetlen)</t>
  </si>
  <si>
    <t>7.3.</t>
  </si>
  <si>
    <t>7.4.</t>
  </si>
  <si>
    <t>Felhalmozási célú átvett pénzeszközök (8.1.+8.2.+8.3.)</t>
  </si>
  <si>
    <t>8.4.</t>
  </si>
  <si>
    <t>Felhalm. célú garancia- és kezességvállalásból megtérülések ÁH-n kívülről</t>
  </si>
  <si>
    <t>Egyéb felhalmozási célú átvett pénzeszköz</t>
  </si>
  <si>
    <t>8.3.-ból EU-s támogatás (közvetlen)</t>
  </si>
  <si>
    <t>KÖLTSÉGVETÉSI BEVÉTELEK ÖSSZESEN: (1+…+8)</t>
  </si>
  <si>
    <t xml:space="preserve">   10.</t>
  </si>
  <si>
    <t>Hitel-, kölcsönfelvétel államháztartáson kívülről  (10.1.+10.3.)</t>
  </si>
  <si>
    <t>Hosszú lejáratú  hitelek, kölcsönök felvétele</t>
  </si>
  <si>
    <t>Likviditási célú  hitelek, kölcsönök felvétele pénzügyi vállalkozástól</t>
  </si>
  <si>
    <t xml:space="preserve">    Rövid lejáratú  hitelek, kölcsönök felvétele</t>
  </si>
  <si>
    <t xml:space="preserve">   11.</t>
  </si>
  <si>
    <t>Belföldi értékpapírok bevételei (11.1. +…+ 11.4.)</t>
  </si>
  <si>
    <t>Forgatási célú belföldi értékpapírok beváltása,  értékesítése</t>
  </si>
  <si>
    <t>Forgatási célú belföldi értékpapírok kibocsátása</t>
  </si>
  <si>
    <t>Befektetési célú belföldi értékpapírok beváltása,  értékesítése</t>
  </si>
  <si>
    <t>Befektetési célú belföldi értékpapírok kibocsátása</t>
  </si>
  <si>
    <t xml:space="preserve">    12.</t>
  </si>
  <si>
    <t>Maradvány igénybevétele (12.1. + 12.2.)</t>
  </si>
  <si>
    <t>Előző év költségvetési maradványának igénybevétele</t>
  </si>
  <si>
    <t>Előző év vállalkozási maradványának igénybevétele</t>
  </si>
  <si>
    <t xml:space="preserve">    13.</t>
  </si>
  <si>
    <t>Belföldi finanszírozás bevételei (13.1. + … + 13.3.)</t>
  </si>
  <si>
    <t>Államháztartáson belüli megelőlegezések</t>
  </si>
  <si>
    <t>Államháztartáson belüli megelőlegezések törlesztése</t>
  </si>
  <si>
    <t>Betétek megszüntetése</t>
  </si>
  <si>
    <t xml:space="preserve">    14.</t>
  </si>
  <si>
    <t xml:space="preserve">    14.1.</t>
  </si>
  <si>
    <t>Forgatási célú külföldi értékpapírok beváltása,  értékesítése</t>
  </si>
  <si>
    <t xml:space="preserve">    14.2.</t>
  </si>
  <si>
    <t>Befektetési célú külföldi értékpapírok beváltása,  értékesítése</t>
  </si>
  <si>
    <t xml:space="preserve">    14.3.</t>
  </si>
  <si>
    <t>Külföldi értékpapírok kibocsátása</t>
  </si>
  <si>
    <t xml:space="preserve">    14.4.</t>
  </si>
  <si>
    <t>Külföldi hitelek, kölcsönök felvétele</t>
  </si>
  <si>
    <t xml:space="preserve">    15.</t>
  </si>
  <si>
    <t>Adóssághoz nem kapcsolódó származékos ügyletek bevételei</t>
  </si>
  <si>
    <t xml:space="preserve">    16.</t>
  </si>
  <si>
    <t>10.1.</t>
  </si>
  <si>
    <t>11.3.</t>
  </si>
  <si>
    <t>11.4.</t>
  </si>
  <si>
    <t>12.1.</t>
  </si>
  <si>
    <t>12.2.</t>
  </si>
  <si>
    <t>13.1.</t>
  </si>
  <si>
    <t>13.2.</t>
  </si>
  <si>
    <t>13.3.</t>
  </si>
  <si>
    <t>Külföldi finanszírozás bevételei (14.1.+…14.4.)</t>
  </si>
  <si>
    <t>10.2.</t>
  </si>
  <si>
    <t>10.3.</t>
  </si>
  <si>
    <t xml:space="preserve">    17.</t>
  </si>
  <si>
    <t>1.14.</t>
  </si>
  <si>
    <t>1.15.</t>
  </si>
  <si>
    <t xml:space="preserve">   - Garancia- és kezességvállalásból kifizetés ÁH-n belülre</t>
  </si>
  <si>
    <t xml:space="preserve">   -Visszatérítendő támogatások, kölcsönök nyújtása ÁH-n belülre</t>
  </si>
  <si>
    <t xml:space="preserve">   - Visszatérítendő támogatások, kölcsönök törlesztése ÁH-n belülre</t>
  </si>
  <si>
    <t xml:space="preserve">   - Egyéb működési célú támogatások ÁH-n belülre</t>
  </si>
  <si>
    <t xml:space="preserve">   - Garancia és kezességvállalásból kifizetés ÁH-n kívülre</t>
  </si>
  <si>
    <t xml:space="preserve">   - Visszatérítendő támogatások, kölcsönök nyújtása ÁH-n kívülre</t>
  </si>
  <si>
    <t xml:space="preserve">   - Árkiegészítések, ártámogatások</t>
  </si>
  <si>
    <t xml:space="preserve">   - Kamattámogatások</t>
  </si>
  <si>
    <t xml:space="preserve">   - Egyéb működési célú támogatások államháztartáson kívülre</t>
  </si>
  <si>
    <r>
      <t xml:space="preserve">   Felhalmozási költségvetés kiadásai </t>
    </r>
    <r>
      <rPr>
        <sz val="8"/>
        <rFont val="Times New Roman CE"/>
        <charset val="238"/>
      </rPr>
      <t>(2.1.+2.3.+2.5.)</t>
    </r>
  </si>
  <si>
    <t>2.11.</t>
  </si>
  <si>
    <t>2.12.</t>
  </si>
  <si>
    <t>2.13.</t>
  </si>
  <si>
    <t>2.1.-ből EU-s forrásból megvalósuló beruházás</t>
  </si>
  <si>
    <t>2.3.-ból EU-s forrásból megvalósuló felújítás</t>
  </si>
  <si>
    <t xml:space="preserve">   - Egyéb felhalmozási célú támogatások államháztartáson kívülre</t>
  </si>
  <si>
    <t xml:space="preserve">   - Lakástámogatás</t>
  </si>
  <si>
    <t xml:space="preserve">   - Garancia- és kezességvállalásból kifizetés ÁH-n kívülre</t>
  </si>
  <si>
    <t xml:space="preserve">   - Egyéb felhalmozási célú támogatások ÁH-n belülre</t>
  </si>
  <si>
    <t xml:space="preserve">   - Visszatérítendő támogatások, kölcsönök nyújtása ÁH-n belülre</t>
  </si>
  <si>
    <t>Államháztartáson belüli megelőlegezések folyósítása</t>
  </si>
  <si>
    <t>Államháztartáson belüli megelőlegezések visszafizetése</t>
  </si>
  <si>
    <t>KÖLTSÉGVETÉSI, FINANSZÍROZÁSI BEVÉTELEK ÉS KIADÁSOK EGYENLEGE</t>
  </si>
  <si>
    <t>Önkormányzatok működési támogatásai</t>
  </si>
  <si>
    <t>Működési célú támogatások államháztartáson belülről</t>
  </si>
  <si>
    <t>Működési célú átvett pénzeszközök</t>
  </si>
  <si>
    <t xml:space="preserve">   Likviditási célú hitelek, kölcsönök felvétele</t>
  </si>
  <si>
    <t>Hiány belső finanszírozásának bevételei (15.+…+18. )</t>
  </si>
  <si>
    <t xml:space="preserve">Hiány külső finanszírozásának bevételei (20.+…+21.) </t>
  </si>
  <si>
    <t>Likviditási célú hitelek törlesztése</t>
  </si>
  <si>
    <t>Költségvetési kiadások összesen (1.+...+12.)</t>
  </si>
  <si>
    <t>Felhalmozási célú támogatások államháztartáson belülről</t>
  </si>
  <si>
    <t>1.-ből EU-s támogatás</t>
  </si>
  <si>
    <t>Felhalmozási célú átvett pénzeszközök átvétele</t>
  </si>
  <si>
    <t>4.-ből EU-s támogatás (közvetlen)</t>
  </si>
  <si>
    <t>Egyéb felhalmozási célú bevételek</t>
  </si>
  <si>
    <t>Felhalmozási célú finanszírozási bevételek összesen (13.+19.)</t>
  </si>
  <si>
    <t>1.-ből EU-s forrásból megvalósuló beruházás</t>
  </si>
  <si>
    <t>3.-ból EU-s forrásból megvalósuló felújítás</t>
  </si>
  <si>
    <t>Pénzügyi lízing kiadásai</t>
  </si>
  <si>
    <t>Felhalmozási célú finanszírozási kiadások összesen
(13.+...+24.)</t>
  </si>
  <si>
    <t>BEVÉTEL ÖSSZESEN (12+25)</t>
  </si>
  <si>
    <t>KIADÁSOK ÖSSZESEN (12+25)</t>
  </si>
  <si>
    <t xml:space="preserve"> 10.</t>
  </si>
  <si>
    <t>2.-ból EU-s támogatás</t>
  </si>
  <si>
    <t>Költségvetési bevételek összesen: (1.+3.+4.+6.+…+11.)</t>
  </si>
  <si>
    <t>Költségvetési kiadások összesen: (1.+3.+5.+...+11.)</t>
  </si>
  <si>
    <t>Kiszámlázott általános forgalmi adó</t>
  </si>
  <si>
    <t>Általános forgalmi adó visszatérülése</t>
  </si>
  <si>
    <t>Működési célú támogatások államháztartáson belülről (2.1.+…+2.3.)</t>
  </si>
  <si>
    <t>Visszatérítendő támogatások, kölcsönök visszatérülése ÁH-n belülről</t>
  </si>
  <si>
    <t>Egyéb működési célú támogatások bevételei államháztartáson belülről</t>
  </si>
  <si>
    <t>Egyéb felhalmozási célú támogatások bevételei államháztartáson belülről</t>
  </si>
  <si>
    <t>Felhalmozási bevételek (5.1.+…+5.3.)</t>
  </si>
  <si>
    <t>Felhalmozási célú átvett pénzeszközök</t>
  </si>
  <si>
    <t>Költségvetési bevételek összesen (1.+…+7.)</t>
  </si>
  <si>
    <t>Finanszírozási bevételek (9.1.+…+9.3.)</t>
  </si>
  <si>
    <t>9.1.</t>
  </si>
  <si>
    <t>9.2.</t>
  </si>
  <si>
    <t>9.3.</t>
  </si>
  <si>
    <t>Irányító szervi (önkormányzati) támogatás (intézményfinanszírozás)</t>
  </si>
  <si>
    <t>BEVÉTELEK ÖSSZESEN: (8.+9.)</t>
  </si>
  <si>
    <t>Működési költségvetés kiadásai (1.1+…+1.5.)</t>
  </si>
  <si>
    <t>Felhalmozási költségvetés kiadásai (2.1.+…+2.3.)</t>
  </si>
  <si>
    <t>Önként vállalt feladatok bevételei, kiadásai</t>
  </si>
  <si>
    <t>Működési célú támogatások ÁH-on belül</t>
  </si>
  <si>
    <t>Felhalmozási célú támogatások ÁH-on belül</t>
  </si>
  <si>
    <t>Működési bevételek</t>
  </si>
  <si>
    <t xml:space="preserve">Működési célú visszatérítendő támogatások, kölcsönök visszatérülése </t>
  </si>
  <si>
    <t>Működési célú visszatérítendő támogatások, kölcsönök igénybevétele</t>
  </si>
  <si>
    <t>Felhalmozási célú visszatérítendő támogatások, kölcsönök visszatérülése</t>
  </si>
  <si>
    <t>Felhalmozási célú visszatérítendő támogatások, kölcsönök igénybevétele</t>
  </si>
  <si>
    <t>Működési célú visszatérítendő támogatások, kölcsönök visszatér. ÁH-n kívülről</t>
  </si>
  <si>
    <t>Felhalm. célú visszatérítendő támogatások, kölcsönök visszatér. ÁH-n kívülről</t>
  </si>
  <si>
    <t>2.5.-ből        - Garancia- és kezességvállalásból kifizetés ÁH-n belülre</t>
  </si>
  <si>
    <t xml:space="preserve">Tiszavasvári Város Önkormányzata </t>
  </si>
  <si>
    <t>Céltartalékok:</t>
  </si>
  <si>
    <t>Céltartalékok összesen:</t>
  </si>
  <si>
    <t>Pénzforgalom nélküli kiadások összesen:</t>
  </si>
  <si>
    <t xml:space="preserve">Az önkormányzat intézményeinek </t>
  </si>
  <si>
    <t xml:space="preserve">Városi Kincstár </t>
  </si>
  <si>
    <t>Egyesített Óvodai Intézmény</t>
  </si>
  <si>
    <t>Intézmények összesen:</t>
  </si>
  <si>
    <t>Önkormányzati Hivatal működésének támogatása</t>
  </si>
  <si>
    <t>Lakott külterülettel kapcsolatos feladatok támogatása</t>
  </si>
  <si>
    <t>Szabadidős Programszervező Egyesület</t>
  </si>
  <si>
    <t>működési célú támogatás</t>
  </si>
  <si>
    <t>Köztestületi Tűzoltóság</t>
  </si>
  <si>
    <t>Tiszavasvári Polgárőrség</t>
  </si>
  <si>
    <t>Tiszavasvári Sportegyesület</t>
  </si>
  <si>
    <t>Tiszavasvári Diáksport Egyesület</t>
  </si>
  <si>
    <t>Polgármesteri keret</t>
  </si>
  <si>
    <t>felhalmozási célú támogatás</t>
  </si>
  <si>
    <t>bevételi  és  kiadási  előirányzata  feladatonként</t>
  </si>
  <si>
    <t>BEVÉTELEK</t>
  </si>
  <si>
    <t>KIADÁSOK</t>
  </si>
  <si>
    <t>Közvilágítás</t>
  </si>
  <si>
    <t>Civil szervezetek működési támogatása</t>
  </si>
  <si>
    <t>- Le: intézményi támogatás</t>
  </si>
  <si>
    <t>Tartalék</t>
  </si>
  <si>
    <t>Támogatási célú finanszírozási műveletek</t>
  </si>
  <si>
    <t>Kiemelt állami és önkormányzati rendezvények</t>
  </si>
  <si>
    <t>Tiszavasvári Város Önkormányzata adósságot keletkeztető ügyletekből és kezességvállalásokból fennálló kötelezettségei</t>
  </si>
  <si>
    <t>Polgármesteri hivatal</t>
  </si>
  <si>
    <t>Nem veszélyes hulladék kezelése, ártalmatlanítása</t>
  </si>
  <si>
    <t>A</t>
  </si>
  <si>
    <t>B</t>
  </si>
  <si>
    <t>C</t>
  </si>
  <si>
    <t xml:space="preserve">Működési célú kvi támogatások és kiegészítő támogatások </t>
  </si>
  <si>
    <t>Elszámolásból származó bevételek</t>
  </si>
  <si>
    <t>Működési bevételek (5.1.+…+ 5.11.)</t>
  </si>
  <si>
    <t>Biztosító által fizetett kártérítés</t>
  </si>
  <si>
    <t>5.11.</t>
  </si>
  <si>
    <t xml:space="preserve">   9.</t>
  </si>
  <si>
    <t xml:space="preserve">   Rövid lejáratú  hitelek, kölcsönök felvétele</t>
  </si>
  <si>
    <t>Váltóbevételek</t>
  </si>
  <si>
    <t>FINANSZÍROZÁSI BEVÉTELEK ÖSSZESEN: (10. + … +16.)</t>
  </si>
  <si>
    <t xml:space="preserve">    18.</t>
  </si>
  <si>
    <t>KÖLTSÉGVETÉSI ÉS FINANSZÍROZÁSI BEVÉTELEK ÖSSZESEN: (9+17)</t>
  </si>
  <si>
    <t xml:space="preserve"> - az 1.5-ből: - Előző évi elszámolásból származó befizetések</t>
  </si>
  <si>
    <t xml:space="preserve">   - Törvényi előíráson alapuló befizetések</t>
  </si>
  <si>
    <t xml:space="preserve">   - Elvonások és befizetések</t>
  </si>
  <si>
    <t>1.16.</t>
  </si>
  <si>
    <t>1.17.</t>
  </si>
  <si>
    <t>1.18.</t>
  </si>
  <si>
    <t>1.19.</t>
  </si>
  <si>
    <t xml:space="preserve"> - az 1.18-ból: - Általános tartalék</t>
  </si>
  <si>
    <t>1.20.</t>
  </si>
  <si>
    <t xml:space="preserve">   - Céltartalék</t>
  </si>
  <si>
    <t>KÖLTSÉGVETÉSI KIADÁSOK ÖSSZESEN (1+2)</t>
  </si>
  <si>
    <t>Hitel-, kölcsöntörlesztés államháztartáson kívülre (4.1. + … + 4.3.)</t>
  </si>
  <si>
    <t>Hosszú lejáratú hitelek, kölcsönök törlesztése pénzügyi vállalkozásnak</t>
  </si>
  <si>
    <t>Likviditási célú hitelek, kölcsönök törlesztése pénzügyi vállalkozásnak</t>
  </si>
  <si>
    <t>Rövid lejáratú hitelek, kölcsönök törlesztése pénzügyi vállalkozásnak</t>
  </si>
  <si>
    <t>Belföldi értékpapírok kiadásai (5.1. + … + 5.6.)</t>
  </si>
  <si>
    <t>Forgatási célú belföldi értékpapírok vásárlása</t>
  </si>
  <si>
    <t>Befektetési célú belföldi értékpapírok vásárlása</t>
  </si>
  <si>
    <t>Kincstárjegyek beváltása</t>
  </si>
  <si>
    <t>Éven belüli lejáratú belföldi értékpapírok beváltása</t>
  </si>
  <si>
    <t>Belföldi kötvények beváltása</t>
  </si>
  <si>
    <t>Éven túli lejáratú belföldi értékpapírok beváltása</t>
  </si>
  <si>
    <t>Belföldi finanszírozás kiadásai (6.1. + … + 6.4.)</t>
  </si>
  <si>
    <t>Pénzeszközök lekötött betétként elhelyezése</t>
  </si>
  <si>
    <t>Külföldi finanszírozás kiadásai (7.1. + … + 7.5.)</t>
  </si>
  <si>
    <t>Forgatási célú külföldi értékpapírok vásárlása</t>
  </si>
  <si>
    <t>Befektetési célú külföldi értékpapírok vásárlása</t>
  </si>
  <si>
    <t>Külföldi értékpapírok beváltása</t>
  </si>
  <si>
    <t>Hitelek, kölcsönök törlesztése külföldi kormányoknak nemz. Szervezeteknek</t>
  </si>
  <si>
    <t>7.5.</t>
  </si>
  <si>
    <t>Hitelek, kölcsönök törlesztése külföldi pénzintézeteknek</t>
  </si>
  <si>
    <t>Adóssághoz nem kapcsolódó származékos ügyletek</t>
  </si>
  <si>
    <t>Váltókiadások</t>
  </si>
  <si>
    <t>FINANSZÍROZÁSI KIADÁSOK ÖSSZESEN: (4.+…+9.)</t>
  </si>
  <si>
    <t>KIADÁSOK ÖSSZESEN: (3.+10.)</t>
  </si>
  <si>
    <t>Költségvetési hiány, többlet ( költségvetési bevételek 9. sor - költségvetési kiadások 3. sor) (+/-)</t>
  </si>
  <si>
    <t>Finanszírozási bevételek, kiadások egyenlege (finanszírozási bevételek 17. sor - finanszírozási kiadások 10. sor)
 (+/-)</t>
  </si>
  <si>
    <r>
      <t xml:space="preserve">   Működési költségvetés kiadásai </t>
    </r>
    <r>
      <rPr>
        <sz val="8"/>
        <rFont val="Times New Roman CE"/>
        <charset val="238"/>
      </rPr>
      <t>(1.1+…+1.5.+1.18.)</t>
    </r>
  </si>
  <si>
    <t>D</t>
  </si>
  <si>
    <t>E</t>
  </si>
  <si>
    <t>6.-ból EU-s támogatás (közvetlen)</t>
  </si>
  <si>
    <t>Költségvetési bevételek összesen (1.+2.+4.+5.+6.+8.+…+12.)</t>
  </si>
  <si>
    <t xml:space="preserve">   Értékpapírok bevételei</t>
  </si>
  <si>
    <t>Működési célú finanszírozási bevételek összesen (14.+19.+22.+23.)</t>
  </si>
  <si>
    <t>Működési célú finanszírozási kiadások összesen (14.+...+23.)</t>
  </si>
  <si>
    <t>BEVÉTEL ÖSSZESEN (13.+24.)</t>
  </si>
  <si>
    <t>KIADÁSOK ÖSSZESEN (13.+24.)</t>
  </si>
  <si>
    <t>Működési célú kvi támogatások és kiegészítő támogatások</t>
  </si>
  <si>
    <t xml:space="preserve">   16.</t>
  </si>
  <si>
    <t xml:space="preserve">   17.</t>
  </si>
  <si>
    <t xml:space="preserve">   18.</t>
  </si>
  <si>
    <t>BEVÉTELEK ÖSSZESEN: (9+17)</t>
  </si>
  <si>
    <t xml:space="preserve"> az 1.5-ből: - Előző évi elszámolásból származó befizetések</t>
  </si>
  <si>
    <t xml:space="preserve"> az 1.18-ból: - Általános tartalék</t>
  </si>
  <si>
    <t xml:space="preserve">     - Céltartalék</t>
  </si>
  <si>
    <t>Hosszú lejáratú hitelek, kölcsönök törlesztése</t>
  </si>
  <si>
    <t>Rövid lejáratú hitelek, kölcsönök törlesztése</t>
  </si>
  <si>
    <t>Éven belüli lejáatú belföldi értékpapírok beváltása</t>
  </si>
  <si>
    <t>Belföldi finanszírozás kiadásai (6.1. + … + 6.5.)</t>
  </si>
  <si>
    <t>Hitelek, kölcsönök törlesztése külföldi kormányoknak nemz. szervezeteknek</t>
  </si>
  <si>
    <t>Éves tervezett létszám előirányzat (fő)</t>
  </si>
  <si>
    <r>
      <t xml:space="preserve">   Működési költségvetés kiadásai </t>
    </r>
    <r>
      <rPr>
        <sz val="8"/>
        <rFont val="Times New Roman CE"/>
        <charset val="238"/>
      </rPr>
      <t>(1.1+…+1.5+1.18.)</t>
    </r>
  </si>
  <si>
    <t>Működési bevételek (1.1.+…+1.11.)</t>
  </si>
  <si>
    <t xml:space="preserve">  2.3-ból EU támogatás</t>
  </si>
  <si>
    <t>Felhalmozási célú támogatások államháztartáson belülről (4.1.+…+4.3.)</t>
  </si>
  <si>
    <t xml:space="preserve">  4.3.-ból EU-s támogatás</t>
  </si>
  <si>
    <t xml:space="preserve"> 2.3.-ból EU-s támogatásból megvalósuló programok, projektek kiadása</t>
  </si>
  <si>
    <t>KIADÁSOK ÖSSZESEN: (1.+2.+3.)</t>
  </si>
  <si>
    <t xml:space="preserve">  2.3.-ból EU támogatás</t>
  </si>
  <si>
    <t>Felhalmozási célú támogatások államháztartáson belülről (4.1.+4.2.)</t>
  </si>
  <si>
    <t xml:space="preserve">  4.2.-ből EU-s támogatás</t>
  </si>
  <si>
    <t>KÖLTSÉGVETÉSI BEVÉTELEK ÖSSZESEN (1.+…+7.)</t>
  </si>
  <si>
    <t>Városi Kincstár</t>
  </si>
  <si>
    <t>Tiszavasvári Bölcsőde</t>
  </si>
  <si>
    <t>Jövedelemadó</t>
  </si>
  <si>
    <t>4.3</t>
  </si>
  <si>
    <t>4.5.</t>
  </si>
  <si>
    <t>Maradvány</t>
  </si>
  <si>
    <t>Intézményen kívüli gyermekétkeztetés</t>
  </si>
  <si>
    <t>Kamatbevételek és más nyereség jellegű bevételek</t>
  </si>
  <si>
    <t>Kamatbevételek és nyereség jellegű bevételek</t>
  </si>
  <si>
    <t xml:space="preserve">Kornisné Liptay Elza Szociális és Gyermekjóléti Központ </t>
  </si>
  <si>
    <t>Államháztartáson belüli megelőlegezés visszafizetése</t>
  </si>
  <si>
    <t xml:space="preserve">Kornisné Liptay Elza Központ </t>
  </si>
  <si>
    <t>Tiszavasvári Polgármesteri Hivatal</t>
  </si>
  <si>
    <t>4.6.</t>
  </si>
  <si>
    <t>4.7.</t>
  </si>
  <si>
    <t>Kamatbevételek és más nyereségjellegű bevételek</t>
  </si>
  <si>
    <t>Hitel-, kölcsönfelvétel államháztartáson kívülről  (10.1.+…+10.3.)</t>
  </si>
  <si>
    <t>Forintban</t>
  </si>
  <si>
    <t>Forintban !</t>
  </si>
  <si>
    <t xml:space="preserve"> Forintban !</t>
  </si>
  <si>
    <t>Olimpia Barátok Köre</t>
  </si>
  <si>
    <t>Gyermekek átmeneti ellátása</t>
  </si>
  <si>
    <t>Önk</t>
  </si>
  <si>
    <t>PH</t>
  </si>
  <si>
    <t>INT</t>
  </si>
  <si>
    <t>Forintban!</t>
  </si>
  <si>
    <t>Egyesített Közműv. Int. és Könyv.</t>
  </si>
  <si>
    <t>forintban !</t>
  </si>
  <si>
    <t>Kornisné Központ kazán felújítása, cseréje és a hozzá tartozó fűtésrendszer korszerüsítése projekt saját ereje</t>
  </si>
  <si>
    <t>Varázsceruza óvoda tetőfelújítási munkálatainak finanszírozása céljára felvett hitel</t>
  </si>
  <si>
    <t>TSE két TAO pályázata önereje felhalmozási részének biztosítása</t>
  </si>
  <si>
    <t>TSK TAO pályázata önereje felhalmozási részének a biztosítása</t>
  </si>
  <si>
    <t>Összesen
(8=4+5+6+7)</t>
  </si>
  <si>
    <t>TSE TAO hitel 2017</t>
  </si>
  <si>
    <t>II. Felhalmozási célú bevételek és kiadások mérlege                                                                                                                                                                                                                                                                                                                           
(Önkormányzati szinten)</t>
  </si>
  <si>
    <t>Tiszavasvári Egyesített Óvodai Intézmény Minimanó óvodájának részleges felújítása</t>
  </si>
  <si>
    <t>Talajterhelési díj bevétele</t>
  </si>
  <si>
    <t>Kornisné Központ kazán felújítása, cseréje és a hozzá tartozó fűtésrendszer korszerüsítése projekt saját ereje 2016</t>
  </si>
  <si>
    <t>Varázsceruza óvoda tetőfelújítási munkálatainak finanszírozása céljára felvett hitel 2016</t>
  </si>
  <si>
    <t>Tiszavasvári Egyesített Óvodai Intézmény Minimanó óvodájának részleges felújítása 2017</t>
  </si>
  <si>
    <t>Magiszter Alapítványi iskola tetőfelújítása</t>
  </si>
  <si>
    <t xml:space="preserve">Varázsceruza óvoda részl.felújítása III.ütem  </t>
  </si>
  <si>
    <t>Kornisné Központ végleges engedély miatti felújításhoz felveendő hitel</t>
  </si>
  <si>
    <t xml:space="preserve">TSK TAO felhalmozási célú hitel </t>
  </si>
  <si>
    <t>Tiva-Szolg feladatellátási szerződés alapján támogatás</t>
  </si>
  <si>
    <t>Megváltozott munkaképességű munkavállalók foglalkoztatása (fő)</t>
  </si>
  <si>
    <t>Tiva-Szolg köztemető üzemeltetési támogatás</t>
  </si>
  <si>
    <t>Tiszavasvári Város Önkormányzata saját bevételeinek részletezése az adósságot keletkeztető ügyletből származó tárgyévi fizetési kötelezettség megállapításához</t>
  </si>
  <si>
    <t>Bevételi jogcímek</t>
  </si>
  <si>
    <t>Az önkormányzati vagyon és az önkormányzatot megillető vagyoni értékű jog értékesítéséből és hasznosításából származó bevétel - tulajdonosi bevétel</t>
  </si>
  <si>
    <t>Osztalék, a koncessziós díj és a hozambevétel</t>
  </si>
  <si>
    <t>Tárgyi eszköz és az immateriális jószág, részvény, részesedés, vállalat értékesítéséből vagy privatizációból származó bevétel</t>
  </si>
  <si>
    <t>Kezesség- illetve garanciavállalással kapcsolatos megtérülés</t>
  </si>
  <si>
    <t>SAJÁT BEVÉTELEK ÖSSZESEN*</t>
  </si>
  <si>
    <t>*Az adósságot keletkeztető ügyletekhez történő hozzájárulás részletes szabályairól szóló 353/2011. (XII.31.) Korm. Rendelet 2.§ (1) bekezdése alapján.</t>
  </si>
  <si>
    <t>Források</t>
  </si>
  <si>
    <t>Saját erő</t>
  </si>
  <si>
    <t>- saját erőből központi támogatás</t>
  </si>
  <si>
    <t>EU-s forrás</t>
  </si>
  <si>
    <t>Társfinanszírozás</t>
  </si>
  <si>
    <t>Egyéb forrás</t>
  </si>
  <si>
    <t>Források összesen:</t>
  </si>
  <si>
    <t>Kiadások, költségek</t>
  </si>
  <si>
    <t>Személyi jellegű</t>
  </si>
  <si>
    <t>Beruházások, beszerzések</t>
  </si>
  <si>
    <t>Szolgáltatások igénybe vétele</t>
  </si>
  <si>
    <t>Adminisztratív költségek</t>
  </si>
  <si>
    <t>Beruházási tartalék</t>
  </si>
  <si>
    <t>Fordított ÁFA</t>
  </si>
  <si>
    <t>Vállalkozási tevékenység bevételei, kiadásai</t>
  </si>
  <si>
    <t>Az önkormányzat által adott közvetett támogatások
                                                  ( kedvezmények)            TÁJÉKOZTATÓ TÁBLA</t>
  </si>
  <si>
    <t>Kedvezmény nélkül elérhető bevétel</t>
  </si>
  <si>
    <t>Kedvezmények összege</t>
  </si>
  <si>
    <t>Ellátottak térítési díjának méltányosságból történő elengedése</t>
  </si>
  <si>
    <t>Ellátottak kártérítésének méltányosságból történő elengedése</t>
  </si>
  <si>
    <t>Lakosság részére lakásépítéshez nyújtott kölcsön elengedése</t>
  </si>
  <si>
    <t>Lakosság részére lakásfelújításhoz nyújtott kölcsön elengedése</t>
  </si>
  <si>
    <t>Helyi adóból biztosított kedvezmény, mentesség összesen</t>
  </si>
  <si>
    <t xml:space="preserve">-ebből:            Építményadó </t>
  </si>
  <si>
    <t xml:space="preserve">Telekadó </t>
  </si>
  <si>
    <t xml:space="preserve">Magánszemélyek kommunális adója </t>
  </si>
  <si>
    <t xml:space="preserve">Idegenforgalmi adó tartózkodás után </t>
  </si>
  <si>
    <t xml:space="preserve">Idegenforgalmi adó épület után </t>
  </si>
  <si>
    <t xml:space="preserve">Iparűzési adó állandó jelleggel végzett iparűzési tevékenység után </t>
  </si>
  <si>
    <t>Gépjárműadóból biztosított kedvezmény, mentesség</t>
  </si>
  <si>
    <t>Helyiségek hasznosítása utáni kedvezmény, mentesség</t>
  </si>
  <si>
    <t>Eszközök hasznosítása utáni kedvezmény, mentesség</t>
  </si>
  <si>
    <t>Egyéb kedvezmény</t>
  </si>
  <si>
    <t>Egyéb kölcsön elengedése</t>
  </si>
  <si>
    <t>2019. évi</t>
  </si>
  <si>
    <t>Önkormányzat működési támogatásai</t>
  </si>
  <si>
    <t xml:space="preserve">Működési bevételek </t>
  </si>
  <si>
    <t xml:space="preserve">Működési célú átvett pénzeszközök </t>
  </si>
  <si>
    <t xml:space="preserve">Felhalmozási célú átvett pénzeszközök </t>
  </si>
  <si>
    <t xml:space="preserve">FINANSZÍROZÁSI BEVÉTELEK ÖSSZESEN: </t>
  </si>
  <si>
    <t>KÖLTSÉGVETÉSI ÉS FINANSZÍROZÁSI BEVÉTELEK ÖSSZESEN: (9+10)</t>
  </si>
  <si>
    <t xml:space="preserve">   Működési költségvetés kiadásai </t>
  </si>
  <si>
    <t xml:space="preserve">   Felhalmozási költségvetés kiadásai (2.1.+2.2.+2.3.)</t>
  </si>
  <si>
    <t>FINANSZÍROZÁSI KIADÁSOK ÖSSZESEN:</t>
  </si>
  <si>
    <t>KIADÁSOK ÖSSZESEN: (3.+4.)</t>
  </si>
  <si>
    <t>Egyéb kiadói tevékenység</t>
  </si>
  <si>
    <t>- Értékesítési és forgalmi adók</t>
  </si>
  <si>
    <t>Helyi adók  (4.1.1.+4.1.2.)</t>
  </si>
  <si>
    <t>2022. évi</t>
  </si>
  <si>
    <t>Informatikai eszközök beszerzése</t>
  </si>
  <si>
    <t>Víziközmű rendszer éves felújítás</t>
  </si>
  <si>
    <t>Kossuth-Ifjúság utca kereszteződésében gyalogátkelőhely kialakítása</t>
  </si>
  <si>
    <t>Nyíri mezőség turisztikai kínálatának integrált fejlesztése</t>
  </si>
  <si>
    <t>Szennyvíz rákötés</t>
  </si>
  <si>
    <t>Közvilágítási hálózatfejlesztés</t>
  </si>
  <si>
    <t>Tervdokumentációk készítettése</t>
  </si>
  <si>
    <t>Kábítószer Ügyi Egyeztető Fórum eszközbeszerzés</t>
  </si>
  <si>
    <t>- Tiszavasvári Bölcsőde</t>
  </si>
  <si>
    <t>Intézmények összesen</t>
  </si>
  <si>
    <t>Intézmény összesen köz- és pályázat keretében fogl. nélkül</t>
  </si>
  <si>
    <t xml:space="preserve">Az önkormányzat és intézményeinek éves tervezett létszámából számolt álláshelyei  </t>
  </si>
  <si>
    <t>Normatíva visszafizetés miatti tartalék</t>
  </si>
  <si>
    <t>Lakásfelújítási Alap ( felhalmozási)</t>
  </si>
  <si>
    <t>VKT bevétel terhére kiadási tartalék</t>
  </si>
  <si>
    <t>Bírság-, pótlék-, díj-, és járulékbevétel</t>
  </si>
  <si>
    <t>Közúti jelzőtáblák</t>
  </si>
  <si>
    <t>Tiszavasvári Város Önkormányzata</t>
  </si>
  <si>
    <t>TSE két TAO pályázata önereje felhalmozási részének biztosítása 2016</t>
  </si>
  <si>
    <t>TSK TAO pályázata önereje felhalmozási részének a biztosítása 2016</t>
  </si>
  <si>
    <t xml:space="preserve">Varázsceruza óvoda részl.felújítása III.ütem 2018. </t>
  </si>
  <si>
    <t>Gépállomás út 3. szám tetőszig.+nyílászáró csere miatti hitel 2018</t>
  </si>
  <si>
    <t>Magiszter Alapítványi iskola tetőfelújítása 2018</t>
  </si>
  <si>
    <t>Kornisné Központ végleges engedély miatti felújításhoz felveendő hitel 2018</t>
  </si>
  <si>
    <t>TSK TAO felhalmozási célú hitel 2018</t>
  </si>
  <si>
    <t>TSE három TAO felhalmozási célú hitel 2018</t>
  </si>
  <si>
    <t>Ingatlanvásárlási hitel 2018</t>
  </si>
  <si>
    <t>TSE TAO hitel 2019</t>
  </si>
  <si>
    <t>Tv.Kossuth út és Ifjuság út gyalogátkelőhely kailakítása hitel 2019</t>
  </si>
  <si>
    <r>
      <rPr>
        <b/>
        <sz val="8"/>
        <rFont val="Times New Roman CE"/>
        <charset val="238"/>
      </rPr>
      <t>*:</t>
    </r>
    <r>
      <rPr>
        <sz val="8"/>
        <rFont val="Times New Roman CE"/>
        <family val="1"/>
        <charset val="238"/>
      </rPr>
      <t xml:space="preserve"> A folyószámlahitel-keret: 100.000eFt, a 4. oszlopban azért nem került feltüntetésre, mert törleszteni csak az igénybevett hitelkeret erejéig kell.</t>
    </r>
  </si>
  <si>
    <t xml:space="preserve">Gépállomás út 3. szám tetőszig.+nyílászáró csere miatti hitel </t>
  </si>
  <si>
    <t xml:space="preserve">TSE három TAO felhalmozási célú hitel </t>
  </si>
  <si>
    <t>Ingatlanvásárlási hitel</t>
  </si>
  <si>
    <t>TSE TAO hitel 2019 (új)</t>
  </si>
  <si>
    <t>Tv.Kossuth utca és Tv.Ifjúság utca gyalogátkelőhely kialakítása hitel 2019 (új)</t>
  </si>
  <si>
    <t>EU-s projekt neve, azonosítója: A Nyíri Mezőség turisztikai kínálatának integrált fejlesztése - Természeti és kulturális vonzerők, termékcsomagok fejlesztése a Nyíri Mezőségben, TOP-1.2.1-15-SB1-2016-00018</t>
  </si>
  <si>
    <t>2018-2021</t>
  </si>
  <si>
    <t>Esély és otthon - Minkettő lehetséges! Pályázat tárgyi eszköz beszerzés</t>
  </si>
  <si>
    <t>Esély és otthon - Minkettő lehetséges! Pályázat felújítás</t>
  </si>
  <si>
    <t>NEMLEGES</t>
  </si>
  <si>
    <t>Esély és otthon mindettő lehetséges pályázat</t>
  </si>
  <si>
    <t>Cofog száma</t>
  </si>
  <si>
    <t>1.    Általános közszolgáltatások</t>
  </si>
  <si>
    <t>011130</t>
  </si>
  <si>
    <t>013320</t>
  </si>
  <si>
    <t>013350</t>
  </si>
  <si>
    <t>016080</t>
  </si>
  <si>
    <t>018010</t>
  </si>
  <si>
    <t>018030</t>
  </si>
  <si>
    <t>Önkormányzatok és önkormányzati hivatalok jogalkotó és általános igazgatási tevékenysége</t>
  </si>
  <si>
    <t>Köztemető-fenntartás és -működtetés</t>
  </si>
  <si>
    <t> Az önkormányzati vagyonnal való gazdálkodással kapcsolatos feladatok</t>
  </si>
  <si>
    <t>Önkormányzatok elszámolásai a központi költségvetéssel</t>
  </si>
  <si>
    <t>5.    Környezetvédelem</t>
  </si>
  <si>
    <t>051030</t>
  </si>
  <si>
    <t>Nem veszélyes (települési) hulladék vegyes (ömlesztett) begyűjtése, szállítása, átrakása</t>
  </si>
  <si>
    <t>051040</t>
  </si>
  <si>
    <t>052080</t>
  </si>
  <si>
    <t>Szennyvízcsatorna építése, fenntartása, üzemeltetése</t>
  </si>
  <si>
    <t>064010</t>
  </si>
  <si>
    <t>066010</t>
  </si>
  <si>
    <t>Zöldterület-kezelés</t>
  </si>
  <si>
    <t>066020</t>
  </si>
  <si>
    <t>Város-, községgazdálkodási egyéb szolgáltatások</t>
  </si>
  <si>
    <t>6.    Lakásépítés és kommunális létesítmények</t>
  </si>
  <si>
    <t>7.    Egészségügy</t>
  </si>
  <si>
    <t>072210</t>
  </si>
  <si>
    <t>072450</t>
  </si>
  <si>
    <t>074052</t>
  </si>
  <si>
    <t>Kábítószer-megelőzés programjai, tevékenységei</t>
  </si>
  <si>
    <t>8.    Szabadidő, sport, kultúra és vallás</t>
  </si>
  <si>
    <t>083030</t>
  </si>
  <si>
    <t>084031</t>
  </si>
  <si>
    <t>084070</t>
  </si>
  <si>
    <t>A fiatalok társadalmi integrációját segítő struktúra, szakmai szolgáltatások fejlesztése, működtetése</t>
  </si>
  <si>
    <t>10. Szociális védelem</t>
  </si>
  <si>
    <t>104012</t>
  </si>
  <si>
    <t>104037</t>
  </si>
  <si>
    <t>106010</t>
  </si>
  <si>
    <t>Lakóingatlan szociális célú bérbeadása, üzemeltetése</t>
  </si>
  <si>
    <t>107060</t>
  </si>
  <si>
    <t> Egyéb szociális pénzbeli és természetbeni ellátások, támogatások</t>
  </si>
  <si>
    <t>90. Technikai funkciókódok</t>
  </si>
  <si>
    <t>900020</t>
  </si>
  <si>
    <t>Önkormányzatok funkcióra nem sorolható bevételei államháztartáson kívülről</t>
  </si>
  <si>
    <t>900060</t>
  </si>
  <si>
    <t>Forgatási és befektetési célú finanszírozási műveletek</t>
  </si>
  <si>
    <t>4.    Gazdasági ügyek</t>
  </si>
  <si>
    <t>041237</t>
  </si>
  <si>
    <t>Közfoglalkoztatási mintaprogram</t>
  </si>
  <si>
    <t>042130</t>
  </si>
  <si>
    <t>Növénytermesztés, állattenyésztés és kapcsolódó szolgáltatások</t>
  </si>
  <si>
    <t>045120</t>
  </si>
  <si>
    <t>Út, autópálya építése</t>
  </si>
  <si>
    <t>045160</t>
  </si>
  <si>
    <t>Közutak, hidak, alagutak üzemeltetése, fenntartása</t>
  </si>
  <si>
    <t>047320</t>
  </si>
  <si>
    <t>Turizmusfejlesztési támogatások és tevékenységek</t>
  </si>
  <si>
    <t>047410</t>
  </si>
  <si>
    <t>Ár- és belvízvédelemmel összefüggő tevékenységek</t>
  </si>
  <si>
    <t>Helyi adók  (4.1.1.+...+4.1.2.)</t>
  </si>
  <si>
    <t>Közhatalmi bevételek (4.1.+4.4.+4.5.+4.6.+.4.7)</t>
  </si>
  <si>
    <t>Képviselői informatikai eszköz</t>
  </si>
  <si>
    <t>Zöld városközpont kialakítása Tiszavasváriban</t>
  </si>
  <si>
    <t>Komplex felzárkóztató programok Tiszavasvári Külső-Szentmihály városrészen</t>
  </si>
  <si>
    <t>Térfigyelő kamerarendszer</t>
  </si>
  <si>
    <t>Iparterület kialakítása Tiszavasváriban</t>
  </si>
  <si>
    <t>Önkormányzat összesen:</t>
  </si>
  <si>
    <t>2023. évi</t>
  </si>
  <si>
    <t>Mindösszesen köz- és pályázat keretében foglalkoztatottak nélkül:</t>
  </si>
  <si>
    <t xml:space="preserve">      - pályázat keretében foglalkoztatható létszám (fő)</t>
  </si>
  <si>
    <t>Álláshelyek száma</t>
  </si>
  <si>
    <t>TOP pályázat keretében foglalkoztatható létszám</t>
  </si>
  <si>
    <t>TOP pályázat keretében foglalkoztatott létszám (fő)</t>
  </si>
  <si>
    <t>INTÉZMÉNYEK ÖSSZESEN:</t>
  </si>
  <si>
    <t>Egyéb tárgyi eszközök beszerzése</t>
  </si>
  <si>
    <t>Fülemüle Óvoda kerítés felújítás</t>
  </si>
  <si>
    <t>Könyvtári könyvek beszerzése (Könyvtár 10 % kötelező)</t>
  </si>
  <si>
    <t>EU-s projekt neve, azonosítója: Komplex felzárkóztató programok Tiszavasvári Külső-Szentmihály városrészen, TOP-5.2.1-15-SB1-2016-00011 (megvalósító: Önkormányzat)</t>
  </si>
  <si>
    <t>EU-s projekt neve, azonosítója: Komplex felzárkóztató programok Tiszavasvári Külső-Szentmihály városrészen, TOP-5.2.1-15-SB1-2016-00011 (megvalósító: Kornisné Központ)</t>
  </si>
  <si>
    <t>ALAPADATOK</t>
  </si>
  <si>
    <t>. évi</t>
  </si>
  <si>
    <t>Előterjesztéskor</t>
  </si>
  <si>
    <t>a</t>
  </si>
  <si>
    <t>/</t>
  </si>
  <si>
    <t>(</t>
  </si>
  <si>
    <t>)</t>
  </si>
  <si>
    <t>1. költségvetési szerv neve</t>
  </si>
  <si>
    <t>1 kvi név</t>
  </si>
  <si>
    <t>Tiszavasvári Város Önkormányzat</t>
  </si>
  <si>
    <t>2. költségvetési szerv neve</t>
  </si>
  <si>
    <t>3. költségvetési szerv neve</t>
  </si>
  <si>
    <t>4. költségvetési szerv neve</t>
  </si>
  <si>
    <t>ÖSSZEVONT MÉRLEGE</t>
  </si>
  <si>
    <t>KÖTELEZŐ FELADATOK MÉRLEGE</t>
  </si>
  <si>
    <t>ÖNKÉNT VÁLLALT FELADATOK MÉRLEGE</t>
  </si>
  <si>
    <t>VÁLLALKOZÁSI FELADATOK MÉRLEGE</t>
  </si>
  <si>
    <t>ÁLLAMIGAZGATÁSI FELADATOK MÉRLEGE</t>
  </si>
  <si>
    <t>Költségvetési rendelet űrlapjainak összefüggései:</t>
  </si>
  <si>
    <t>ELTÉRÉS</t>
  </si>
  <si>
    <t>1.1. sz. melléklet Bevételek táblázat C. oszlop 9 sora =</t>
  </si>
  <si>
    <t xml:space="preserve">2.1. számú melléklet C. oszlop 13. sor + 2.2. számú melléklet C. oszlop 12. sor </t>
  </si>
  <si>
    <t>1.1. sz. melléklet Bevételek táblázat C. oszlop 17 sora =</t>
  </si>
  <si>
    <t xml:space="preserve">2.1. számú melléklet C. oszlop 24. sor + 2.2. számú melléklet C. oszlop 25. sor </t>
  </si>
  <si>
    <t>1.1. sz. melléklet Bevételek táblázat C. oszlop 18 sora =</t>
  </si>
  <si>
    <t xml:space="preserve">2.1. számú melléklet C. oszlop 25. sor + 2.2. számú melléklet C. oszlop 26. sor </t>
  </si>
  <si>
    <t>1.1. sz. melléklet Kiadások táblázat C. oszlop 3 sora =</t>
  </si>
  <si>
    <t xml:space="preserve">2.1. számú melléklet E. oszlop 13. sor + 2.2. számú melléklet E. oszlop 12. sor </t>
  </si>
  <si>
    <t>1.1. sz. melléklet Kiadások táblázat C. oszlop 10 sora =</t>
  </si>
  <si>
    <t xml:space="preserve">2.1. számú melléklet E. oszlop 24. sor + 2.2. számú melléklet E. oszlop 25. sor </t>
  </si>
  <si>
    <t>1.1. sz. melléklet Kiadások táblázat C. oszlop 11 sora =</t>
  </si>
  <si>
    <t xml:space="preserve">2.1. számú melléklet E. oszlop 25. sor + 2.2. számú melléklet E. oszlop 26. sor </t>
  </si>
  <si>
    <t>Egyéb tárgyi eszköz beszerzés (Klíma, polc, szék, stb.)</t>
  </si>
  <si>
    <t>Sopron úti épület felújítása</t>
  </si>
  <si>
    <t>Tiszavasvári Polgármesteri Hivatal összesen:</t>
  </si>
  <si>
    <t>Városi Kincstár összesen:</t>
  </si>
  <si>
    <t>Tiszavasvári Egyesített Óvodai Intézmény összesen:</t>
  </si>
  <si>
    <t>Egyesített Közművelődési Intézmény és Könyvtár összesen:</t>
  </si>
  <si>
    <t>Tiszavasvári Bölcsőde összesen:</t>
  </si>
  <si>
    <t>Kornisné Liptay Elza Szociális és Gyermekjóléti Központ összesen:</t>
  </si>
  <si>
    <t>ÖNKORMÁNYZAT MINDÖSSZESEN:</t>
  </si>
  <si>
    <t>ösztönző támogatás</t>
  </si>
  <si>
    <t>Tiszavasvári SE TAO pályázat önerő-2019 kézilabda</t>
  </si>
  <si>
    <t>Tiszavasvári SE TAO pályázat önerő-2019 labdarúgás</t>
  </si>
  <si>
    <t>Jogcím/Megnevezés</t>
  </si>
  <si>
    <t>Elkülönítetten nyílvántartott záró pénzkészlet</t>
  </si>
  <si>
    <t>Iparterület kialakítása Tiszavasváriban pályázati tartalék</t>
  </si>
  <si>
    <t>Zöld városközpont kialakítása Tiszavasváriban pályázati tartalék</t>
  </si>
  <si>
    <t>Egyéb beruházási tartalék</t>
  </si>
  <si>
    <t>Lakáseladás tervezett bevétele</t>
  </si>
  <si>
    <t>Találkozások tere kialakítása Tiszavasváriban pályázati tartalék</t>
  </si>
  <si>
    <t>Működési célú finanszírozási kiadások
(hiteltörlesztés, értékpapír vásárlás, stb.)*</t>
  </si>
  <si>
    <t>TSE TAO hitel 2017.</t>
  </si>
  <si>
    <t>GINOP keretében foglalkoztatott (fő)</t>
  </si>
  <si>
    <t>Komplex környezetvédelmi programok támogatása</t>
  </si>
  <si>
    <t>056010</t>
  </si>
  <si>
    <t>062020</t>
  </si>
  <si>
    <t>Településfejlesztési projektek és támogatásuk</t>
  </si>
  <si>
    <t>Ifjúság-egészségügyi gondozás</t>
  </si>
  <si>
    <t>074032</t>
  </si>
  <si>
    <t>Sorszám</t>
  </si>
  <si>
    <t>Finanszírozási bevételek, kiadások egyenlege (finanszírozási bevételek 17. sor - finanszírozási kiadások 10. sor) (+/-)</t>
  </si>
  <si>
    <t>Finanszírozási bevételek, kiadások egyenlege (finanszírozási bevételek 17. sor - finanszírozási kiadások 10. sor)  (+/-)</t>
  </si>
  <si>
    <t>1.3.1</t>
  </si>
  <si>
    <t>1.3.2</t>
  </si>
  <si>
    <t>Önkormányzatok szociális, gyermekjóléti és étkeztetési feladatainak támogatása (1.3.=1.3.1.+1.3.2.)</t>
  </si>
  <si>
    <t xml:space="preserve">Települési önkormányzatok egyes szociális és gyermekjóléti feladatainak támogatása </t>
  </si>
  <si>
    <t xml:space="preserve">Települési önkormányzatok gyermekétkeztetési feladatainak támogatása </t>
  </si>
  <si>
    <t>A helyi adóból és a települési adóból származó bevétel</t>
  </si>
  <si>
    <t>* Adóságot keletkeztető ügylet</t>
  </si>
  <si>
    <t>046010</t>
  </si>
  <si>
    <t xml:space="preserve">Hírközlés és az információs társadalom fejlesztésének igazgatása és támogatása </t>
  </si>
  <si>
    <t>072112</t>
  </si>
  <si>
    <t xml:space="preserve">Háziorvosi ügyeleti ellátás </t>
  </si>
  <si>
    <t>074051</t>
  </si>
  <si>
    <t xml:space="preserve">Nem fertőző megbetegedések megelőzése </t>
  </si>
  <si>
    <t>Finanszírozási hiány:</t>
  </si>
  <si>
    <t>Finanszírozási többlet:</t>
  </si>
  <si>
    <t>29.</t>
  </si>
  <si>
    <t>önkormányzati rendelethez</t>
  </si>
  <si>
    <t>Játszótér kialakítása - Csónakázó tó</t>
  </si>
  <si>
    <t>tájékoztató tábla</t>
  </si>
  <si>
    <t>9.    Oktatás</t>
  </si>
  <si>
    <t>091140</t>
  </si>
  <si>
    <t>Óvodai nevelés, ellátás működtetési feladatai</t>
  </si>
  <si>
    <t>Tiszavasvári Fűvószenekari Alapítvány</t>
  </si>
  <si>
    <t>Minimanó Óvoda családbarát infrastrukturális fejlesztése</t>
  </si>
  <si>
    <t>7=(2-4-5-6)</t>
  </si>
  <si>
    <t xml:space="preserve">EU-s projekt neve, azonosítója: </t>
  </si>
  <si>
    <t>EU-s projekt neve, azonosítója: „A Tiszavasvári Minimanó Óvoda családbarát infrastrukturális fejlesztése” , TOP-1.4.1-15-SB1--2016-00077</t>
  </si>
  <si>
    <t>Sportcsarnok felújításával kapcsolatos amperbővítés</t>
  </si>
  <si>
    <t>072111</t>
  </si>
  <si>
    <t>Háziorvosi alapellátás</t>
  </si>
  <si>
    <t>081030</t>
  </si>
  <si>
    <t>Sportlétesítmények, edzőtáborok működtetése és fejlesztése</t>
  </si>
  <si>
    <t>2021. évi előirányzat</t>
  </si>
  <si>
    <t>2021.</t>
  </si>
  <si>
    <t>2021.évi előirányzat</t>
  </si>
  <si>
    <t>Tiszavasvári Város Önkormányzata 2021. évi adósságot keletkeztető fejlesztési céljai</t>
  </si>
  <si>
    <t>2021. évi fordított áfa előirányzata</t>
  </si>
  <si>
    <t xml:space="preserve">
2021. év utáni szükséglet
</t>
  </si>
  <si>
    <t>2019-2021</t>
  </si>
  <si>
    <t>2021-2021</t>
  </si>
  <si>
    <t>2021-2022</t>
  </si>
  <si>
    <t>2021. előtt</t>
  </si>
  <si>
    <t>2021. után</t>
  </si>
  <si>
    <t>Éven belüli lejáratú belföldi értékpapírok kibocsátása</t>
  </si>
  <si>
    <t>Éven túli lejáratú belföldi értékpapírok kibocsátása</t>
  </si>
  <si>
    <t>Lekötött betétek megszüntetése</t>
  </si>
  <si>
    <t>2020.12.31. -i hitelállomány</t>
  </si>
  <si>
    <t>Folyószámlahitel* (hitelkeret=100.000.000 Ft)</t>
  </si>
  <si>
    <t>Beruházások, beszerzések, felújítások</t>
  </si>
  <si>
    <t>Pályázati tartalék</t>
  </si>
  <si>
    <t>2021. évi előirányzat KIADÁSOK</t>
  </si>
  <si>
    <t>2021. évi előirányzat BEVÉTELEK</t>
  </si>
  <si>
    <t>Felhasználás
2020. XII.31-ig</t>
  </si>
  <si>
    <t xml:space="preserve">2021. évi költségvetése </t>
  </si>
  <si>
    <t xml:space="preserve">2021. évi költségvetésében rendelkezésre álló tartalékok </t>
  </si>
  <si>
    <t xml:space="preserve">"
Tiszavasvári Város Önkormányzata
2021. ÉVI KÖLTSÉGVETÉSÉNEK ÖSSZEVONT MÉRLEGE     
</t>
  </si>
  <si>
    <t>Jogcímszám</t>
  </si>
  <si>
    <t>1.1.1.1.</t>
  </si>
  <si>
    <t>1.1.1.2.</t>
  </si>
  <si>
    <t>Településüzemeltetés - zöldterület-gazdálkodás támogatása</t>
  </si>
  <si>
    <t>Településüzemeltetés - közvilágítás támogatása</t>
  </si>
  <si>
    <t>Településüzemeltetés - köztemető támogatása</t>
  </si>
  <si>
    <t>Településüzemeltetés - közutak támogatása</t>
  </si>
  <si>
    <t>Egyéb önkormányzati feladatok támogatása</t>
  </si>
  <si>
    <t>1.1.1.5.</t>
  </si>
  <si>
    <t>1.1.1.6.</t>
  </si>
  <si>
    <t>1.1.1.7.</t>
  </si>
  <si>
    <t>1.1.1.4.</t>
  </si>
  <si>
    <t>1.1.1.3.</t>
  </si>
  <si>
    <t>1.2.1.1.</t>
  </si>
  <si>
    <t>Óvodaműködtetési támogatás - óvoda napi nyitvatartási ideje eléri a nyolc órát</t>
  </si>
  <si>
    <t>1.2.2.1.</t>
  </si>
  <si>
    <t>pedagógusok átlagbéralapú támogatása</t>
  </si>
  <si>
    <t>pedagógus II. kategóriába sorolt pedagógusok, pedagógus szakképzettséggel rendelkező segítők kiegészítő támogatása</t>
  </si>
  <si>
    <t>mesterpedagógus, kutatótanár kategóriába sorolt pedagógusok kiegészítő támogatása</t>
  </si>
  <si>
    <t>pedagógus szakképzettséggel nem rendelkező segítők átlagbéralapú támogatása</t>
  </si>
  <si>
    <t>1.2.5.1.1.</t>
  </si>
  <si>
    <t>A települési önkormányzatok szociális és gyermekjóléti feladatainak egyéb támogatása</t>
  </si>
  <si>
    <t>1.3.1.</t>
  </si>
  <si>
    <t>Család- és gyermekjóléti szolgálat</t>
  </si>
  <si>
    <t>Család- és gyermekjóléti központ</t>
  </si>
  <si>
    <t>1.3.2.1.</t>
  </si>
  <si>
    <t>1.3.2.2.</t>
  </si>
  <si>
    <t>Szociális étkeztetés - önálló feladatellátás</t>
  </si>
  <si>
    <t>1.3.2.3.1.</t>
  </si>
  <si>
    <t>Szociális segítés</t>
  </si>
  <si>
    <t>Személyi gondozás - önálló feladatellátás</t>
  </si>
  <si>
    <t>1.3.2.4.1.</t>
  </si>
  <si>
    <t>1.3.2.4.2.</t>
  </si>
  <si>
    <t>Időskorúak nappali intézményi ellátása - önálló feladatellátás</t>
  </si>
  <si>
    <t>1.3.2.6.1.</t>
  </si>
  <si>
    <t>1.3.2.14.1.</t>
  </si>
  <si>
    <t>1.3.2.14.2.</t>
  </si>
  <si>
    <t>Felsőfokú végzettségű kisgyermeknevelők, szaktanácsadók bértámogatása</t>
  </si>
  <si>
    <t>Bölcsődei dajkák, középfokú végzettségű kisgyermeknevelők, szaktanácsadók bértámogatása</t>
  </si>
  <si>
    <t>Bölcsődei üzemeltetési támogatás</t>
  </si>
  <si>
    <t>1.3.3.1.1.</t>
  </si>
  <si>
    <t>1.3.3.1.2.</t>
  </si>
  <si>
    <t>1.3.3.2.</t>
  </si>
  <si>
    <t>1.3.3.</t>
  </si>
  <si>
    <t xml:space="preserve">Bölcsőde, mini bölcsőde támogatása </t>
  </si>
  <si>
    <t>Támogató szolgáltatás Alaptámogatás</t>
  </si>
  <si>
    <t>Támogató szolgáltatás Teljesítménytámogatás</t>
  </si>
  <si>
    <t>1.3.4.1.</t>
  </si>
  <si>
    <t>1.3.4.2.</t>
  </si>
  <si>
    <t>1.3.4.</t>
  </si>
  <si>
    <t>Intézményüzemeltetési támogatás</t>
  </si>
  <si>
    <t>Bértámogatás</t>
  </si>
  <si>
    <t>1.3</t>
  </si>
  <si>
    <t>A települési önkormányzatok által biztosított egyes szociális szakosított ellátások, valamint a gyermekek átmeneti gondozásával kapcsolatos feladatok támogatása 1.3.4.=(29+30)</t>
  </si>
  <si>
    <t>30.</t>
  </si>
  <si>
    <t>31.</t>
  </si>
  <si>
    <t>32.</t>
  </si>
  <si>
    <t>1.4.1.1.</t>
  </si>
  <si>
    <t>1.4.1.2.</t>
  </si>
  <si>
    <t>1.4.2.</t>
  </si>
  <si>
    <t>Szünidei étkeztetés támogatása</t>
  </si>
  <si>
    <t>Intézményi gyermekétkeztetés - üzemeltetési támogatás</t>
  </si>
  <si>
    <t xml:space="preserve">Intézményi gyermekétkeztetés - bértámogatás </t>
  </si>
  <si>
    <t>33.</t>
  </si>
  <si>
    <t>34.</t>
  </si>
  <si>
    <t>35.</t>
  </si>
  <si>
    <t>36.</t>
  </si>
  <si>
    <t>1.5.2.</t>
  </si>
  <si>
    <t>37.</t>
  </si>
  <si>
    <t>38.</t>
  </si>
  <si>
    <t>Települési önkormányzatok nyilvános könyvtári és a közművelődési feladatainak támogatása</t>
  </si>
  <si>
    <t>39.</t>
  </si>
  <si>
    <t>42.5.5.</t>
  </si>
  <si>
    <t>Önkormányzati szolidaritási hozzájárulás</t>
  </si>
  <si>
    <t>Szociális ágazati összevont pótlék és egészségügyi kiegészítő pótlék</t>
  </si>
  <si>
    <t>2.2.2.</t>
  </si>
  <si>
    <t>2.3.2.3.</t>
  </si>
  <si>
    <t>A települési önkormányzatok muzeális intézményi feladatainak támogatása</t>
  </si>
  <si>
    <t>2.2.3.</t>
  </si>
  <si>
    <t>Óvodai és iskolai szociális segítő tevékenység támogatása</t>
  </si>
  <si>
    <t>2021. évi tervezett támogatás összesen</t>
  </si>
  <si>
    <t>Bérkompenzáció támogatása</t>
  </si>
  <si>
    <t>40.</t>
  </si>
  <si>
    <t>41.</t>
  </si>
  <si>
    <t>43.</t>
  </si>
  <si>
    <t>44.</t>
  </si>
  <si>
    <t>Tiszavasvári Gyógyfűrdő Fejlesztése projektfejlesztési szakasz</t>
  </si>
  <si>
    <t>Mezőőrség 2021. évi eszközbeszerzés</t>
  </si>
  <si>
    <t>Nem fertőző megbetegedések megelőzésével kapcsolatos tárgyi eszközök beszerzése</t>
  </si>
  <si>
    <t>Közterület felügyelő (Munka, védőruha, tárgyi eszköz beszerzés stb.)</t>
  </si>
  <si>
    <t>Buszmegállók felújítása</t>
  </si>
  <si>
    <t>2020-2021</t>
  </si>
  <si>
    <t>2020-2022</t>
  </si>
  <si>
    <t>Vasvári P. u. 6. lépcsőházi ablakcsere két lépcsőházban</t>
  </si>
  <si>
    <t>Pályázati önerő: közművelődés: 400 eFt, könyvtári: 250 eFt</t>
  </si>
  <si>
    <t>Komplex felzárkóztató maradvány</t>
  </si>
  <si>
    <t>Helyi klímastratégia maradvány</t>
  </si>
  <si>
    <t>Minimanó maradvány</t>
  </si>
  <si>
    <t>Polgárőrség 2020 évi támogatás fel nem használt része</t>
  </si>
  <si>
    <t>Civil alap</t>
  </si>
  <si>
    <t>civilek vállalkozói felajánlások</t>
  </si>
  <si>
    <t>Bérlakás alszámla tartalék</t>
  </si>
  <si>
    <t>2019. évi tény</t>
  </si>
  <si>
    <t>2020. évi várható adat</t>
  </si>
  <si>
    <t>2021. előtti kifizetés</t>
  </si>
  <si>
    <t>2023 után</t>
  </si>
  <si>
    <t>Folyószámla-hitel 2021. (100.000.000 Ft)</t>
  </si>
  <si>
    <t>2020. évi fejlesztési pályázat (BM út és járda építés)</t>
  </si>
  <si>
    <r>
      <t xml:space="preserve">*: </t>
    </r>
    <r>
      <rPr>
        <sz val="9"/>
        <rFont val="Times New Roman CE"/>
        <charset val="238"/>
      </rPr>
      <t>A likviditási hitelkeret azért nem került feltüntetésre az 5.oszlopban, mert csak a ténylegesen igénybevett hitelösszeg kerül majd törlesztésre.</t>
    </r>
  </si>
  <si>
    <t>2020. évi Képviselői felajánlások</t>
  </si>
  <si>
    <t>Tiszavasvári SE TAO pályázat önerő-2020 labdarúgás</t>
  </si>
  <si>
    <t>Tiszavasvári SE TAO pályázat önerő-2020 kézilabda</t>
  </si>
  <si>
    <t>BURSA támogatás</t>
  </si>
  <si>
    <t>Az önkormányzat 2021. évi költségvetésének</t>
  </si>
  <si>
    <t>018020</t>
  </si>
  <si>
    <t>Központi költségvetési befizetések</t>
  </si>
  <si>
    <t>Előirányzat-felhasználási terv
2021. évre</t>
  </si>
  <si>
    <t>Egyéb tárgyi eszközök beszerzése (Művelődési Központ)</t>
  </si>
  <si>
    <t>TOP pályázat - rekortánpálya, közösségi pihenőépületek kialakítása</t>
  </si>
  <si>
    <t>TOP pályázat - tervezett eszközök beszerzése (Könyvtár)</t>
  </si>
  <si>
    <t>TOP pályázat - tervezett eszközök beszerzése (Művelődési Központ)</t>
  </si>
  <si>
    <t>2021</t>
  </si>
  <si>
    <t xml:space="preserve"> TOP pályázat informatikai és egyéb tárgyi eszközök beszerzése</t>
  </si>
  <si>
    <t>Gyakorlati oktatás informatikai és egyéb  tárgyi eszközök beszerzése</t>
  </si>
  <si>
    <t>Windows 10 licensz beszerzése</t>
  </si>
  <si>
    <t xml:space="preserve">Egyéb tárgyi eszközök beszerzése </t>
  </si>
  <si>
    <t>TOP pályázat keretében közvilágítást biztosító lámpatestek cseréje</t>
  </si>
  <si>
    <t>Egyesített Közművelődési Intézmény és Könyvtár</t>
  </si>
  <si>
    <t>EU-s projekt neve, azonosítója: "Kulturális és sportcélú infrastruktúra fejlesztése Tiszavasváriban, TOP-7.1.1-16-H-029-2 (megvalósító: Egyesített Közművelődési Intézmény és Könyvtár)</t>
  </si>
  <si>
    <t>EU-s projekt neve, azonosítója: "EGYÜTT KÖNNYEBB -  Társadalmi integrációt elősegítő programok megvalósítása Tiszavasváriban a Városi Könyvtárban, TOP-7.1.1-16-H-029-4 (megvalósító: Egyesített Közművelődési Intézmény és Könyvtár)</t>
  </si>
  <si>
    <t>EU-s projekt neve, azonosítója: "Együtt egy másért -  Társadalmi integrációt elősegítő programok megvalósítása Tiszavasváriban a Találkozások Házában, TOP-7.1.1-16-H-029-4 (megvalósító: Egyesített Közművelődési Intézmény és Könyvtár)</t>
  </si>
  <si>
    <t>EU-s projekt neve, azonosítója: "GYERE A TÉRRE -  Helyi közösségi programok megvalósítása Tiszavasváriban, TOP-7.1.1-16-H-029-3 (megvalósító: Egyesített Közművelődési Intézmény és Könyvtár)</t>
  </si>
  <si>
    <t xml:space="preserve">Pályázati forrás terhére foglalkoztatható létszám </t>
  </si>
  <si>
    <t>Gyakorlati képzésben résztvevők átlaglétszáma (fő)</t>
  </si>
  <si>
    <t xml:space="preserve">      - GINOP pályázat keretében fogl. létszáma (fő)</t>
  </si>
  <si>
    <t xml:space="preserve">      - Gyakorlati képzésben résztvevők átlaglétszáma (fő)</t>
  </si>
  <si>
    <t xml:space="preserve">     -  TOP pályázat keretében foglalkoztatott létszám </t>
  </si>
  <si>
    <t>Tiszavasvári Város Önkormányzata
2021. ÉVI KÖLTSÉGVETÉSI ÉVET KÖVETŐ 3 ÉV TERVEZETT BEVÉTELEI, KIADÁSAI</t>
  </si>
  <si>
    <t xml:space="preserve">EU-s projekt neve, azonosítója: Esély és otthon - mindkettő lehetséges! Komplex beavatkozások megvalósítása a fiatalok elvándorlásának csökkentése érdekében Tiszavasváriban, EFOP-1.2.11-16-2017-00009 </t>
  </si>
  <si>
    <t>Nemleges</t>
  </si>
  <si>
    <t>A 2021. évi általános működés és ágazati feladatok támogatásának alakulása jogcímenként</t>
  </si>
  <si>
    <t>K I M U T A T Á S
a 2021. évben céljelleggel juttatandó támogatásokról</t>
  </si>
  <si>
    <t>2024. évi</t>
  </si>
  <si>
    <t>2020. évi fejlesztési pályázat (szerződéskötés 2020 évben megtörtént)</t>
  </si>
  <si>
    <t>2020. évi fejlesztési pályázat (BM út és járda)</t>
  </si>
  <si>
    <t>2021. évi fejlesztési pályázat (Varázsceruza Óvoda)</t>
  </si>
  <si>
    <t>2021. évi fejlesztési pályázat</t>
  </si>
  <si>
    <t>Egyéb tárgyi eszközök beszerzése alapítványi támogatásból</t>
  </si>
  <si>
    <t>,</t>
  </si>
  <si>
    <t>- Kornisné LE Központ április 1-jétől</t>
  </si>
  <si>
    <t>- Egyesített Óvodai Intézmény április 1-jétől</t>
  </si>
  <si>
    <t>- Városi Kincstár április 1-jétől</t>
  </si>
  <si>
    <t>Tiszavasvári Polgármesteri Hivatal  április 1-jétől</t>
  </si>
  <si>
    <t>082091</t>
  </si>
  <si>
    <t xml:space="preserve">Közművelődés - közösségi és társadalmi részvétel fejlesztése </t>
  </si>
  <si>
    <t xml:space="preserve">Fogyatékossággal élők tartós bentlakásos ellátása </t>
  </si>
  <si>
    <t xml:space="preserve">Időskorúak tartós bentlakásos ellátása </t>
  </si>
  <si>
    <t xml:space="preserve">Demens betegek tartós bentlakásos ellátása </t>
  </si>
  <si>
    <t xml:space="preserve">Gyermekek bölcsődében és mini bölcsődében történő ellátása </t>
  </si>
  <si>
    <t>Támogató szolgáltatás fogyatékos személyek részére</t>
  </si>
  <si>
    <t>Könytári érdekeltségnövelő támogatásból eszközök beszerzése</t>
  </si>
  <si>
    <t>- Egyesített Közművelődési Központ és Könyvtár június 1-jétől</t>
  </si>
  <si>
    <t>Légkondicionáló</t>
  </si>
  <si>
    <t>45.</t>
  </si>
  <si>
    <t>2.3.2.4.</t>
  </si>
  <si>
    <t>A települési önkormányzatok könyvtári célú érdekeltségnövelő támogatása</t>
  </si>
  <si>
    <t xml:space="preserve">Mikrobusz a Kornisné Liptay Elza Szociális és Gyermekjóléti Központ Támogató Szolgálatának </t>
  </si>
  <si>
    <t>2021. ÉVI KÖLTSÉGVETÉS</t>
  </si>
  <si>
    <t>Önkormányzati bérlakás felújítás</t>
  </si>
  <si>
    <t>- Városi Kincstár július 1-jétől</t>
  </si>
  <si>
    <t>- Kornisné LE Központ július 1-jétől</t>
  </si>
  <si>
    <t>Tiszavasvári Polgármesteri Hivatal  július 1-jétől</t>
  </si>
  <si>
    <t>Intézmények összesen július 1-jétől</t>
  </si>
  <si>
    <t xml:space="preserve">      - nyári diákmunka létszám (fő)</t>
  </si>
  <si>
    <t>Intézmény összesen köz- és pályázat keretében fogl. nélkül július 1-jétől</t>
  </si>
  <si>
    <t>Intézmények megnevezése (adatok: Ft-ban)</t>
  </si>
  <si>
    <t>Infrastrukturális fejlesztések megvalósítása Tiszavasváriban - Gyepmesteri telep</t>
  </si>
  <si>
    <t>Háziorvosi feladatok ellátásához szükséges eszközbeszerzés (számítógép, szoftver, egyéb eszközök)</t>
  </si>
  <si>
    <t>Infrastrukturális fejlesztések megvalósítása Tiszavasváriban - út, padka, járdafelújítás</t>
  </si>
  <si>
    <t>Infrastrukturális fejlesztések megvalósítása Tiszavasváriban - Központi orvosi rendelő felújítása</t>
  </si>
  <si>
    <t>Infrastrukturális fejlesztések megvalósítása Tiszavasváriban - Járóbeteg szakrendelő felújítása</t>
  </si>
  <si>
    <t>Infrastrukturális fejlesztések megvalósítása Tiszavasváriban - belterületi vízrendezés</t>
  </si>
  <si>
    <t>2021. év utáni szükséglet
(7=2-4-5-6)</t>
  </si>
  <si>
    <t>2020. évi fejlesztési pályázat (út és járda felújítás)</t>
  </si>
  <si>
    <t>2021. évi fejlesztési pályázat (Varázsceruza Óvoda felújítása)</t>
  </si>
  <si>
    <t>2019-2022</t>
  </si>
  <si>
    <t>1.2.3…...1.</t>
  </si>
  <si>
    <t>1.2.3…...2.</t>
  </si>
  <si>
    <t>1.3.2.5.</t>
  </si>
  <si>
    <t>Falugondnoki vagy tanyagondnoki szolgáltatás összesen</t>
  </si>
  <si>
    <t>46.</t>
  </si>
  <si>
    <t>1.3.2.+2.2</t>
  </si>
  <si>
    <t>Egyes szociális és gyermekjóléti feladatok támogatása 1.3.2+2.2=(17.+…+27.)</t>
  </si>
  <si>
    <t>A települési önkormányzatok szociális és gyermekjóléti feladatainak támogatása 1.3.=(16.+28.+32.+35.)</t>
  </si>
  <si>
    <t>A települési önkormányzatok gyermekétkeztetési feladatainak támogatása 1.4.=(37.+38.+39.)</t>
  </si>
  <si>
    <t>A települési önkormányzatok kulturális feladatainak támogatása 1.5.=(41.+42.+43.)</t>
  </si>
  <si>
    <t>42.</t>
  </si>
  <si>
    <t>A települési önkormányzatok egyes köznevelési feladatainak támogatása 1.2. = (10.+...+14.)</t>
  </si>
  <si>
    <t>A települési önkormányzatok működésének általános támogatása 1.1. = (1.+….+8.)</t>
  </si>
  <si>
    <t>2021. I. félévi Képviselői felajánlások</t>
  </si>
  <si>
    <t>082030</t>
  </si>
  <si>
    <t>Művészeti tevékenységek (kivéve: színház)</t>
  </si>
  <si>
    <t>042180</t>
  </si>
  <si>
    <t xml:space="preserve">Állat-egészségügy </t>
  </si>
  <si>
    <t>Beruházás  megnevezése (táblázat  Forintban !)</t>
  </si>
  <si>
    <t>Felújítás  megnevezése ( Forintban !)</t>
  </si>
  <si>
    <t>EU-s projekt neve, azonosítója: Zöld városközpont kialakítása Tiszavasváriban, TOP-2.1.2-15-SB1-2017-00028 (Forintban!)</t>
  </si>
  <si>
    <t>Találkozások tere kialakítása Tiszavasváriban és Zöld városközpont kialakítása Tiszavasváriban</t>
  </si>
  <si>
    <t>EU-s projekt neve, azonosítója: Találkozások tere kialakítása Tiszavasváriban, TOP-7.1.1-16-H-ERFA-2018-00028 (Forintban)</t>
  </si>
  <si>
    <t>Helyi klímastratégia kidolgozása, valamint a klímatudatosságot erősítő szemléletformálás megvalósítása Tiszavasváriban és Iparterület kialakítása Tiszavasváriban</t>
  </si>
  <si>
    <t>EU-s projekt neve, azonosítója: Helyi klímastratégia kidolgozása, valamint a klímatudatosságot erősítő szemléletformálás megvalósítása Tiszavasváriban, KEHOP-1.2.1-18-2018-00048 (Forintban!)</t>
  </si>
  <si>
    <t>EU-s projekt neve, azonosítója: Iparterület kialakítása Tiszavasváriban, TOP-1.1.1-15-SB1-2016-00005 (Forintban!)</t>
  </si>
  <si>
    <t>Önkormányzat összes bevétele és kiadása</t>
  </si>
  <si>
    <t>Előirányzat (forintban)</t>
  </si>
  <si>
    <t>Önkormányzat kötelező feladatainak bevétele és kiadása</t>
  </si>
  <si>
    <t>Önkormányzat önként vállalt feladatainak bevétele és kiadása</t>
  </si>
  <si>
    <t>Tiszavasvári Polgármesteri Hivatal összes bevétele és kiadása</t>
  </si>
  <si>
    <t>Tiszavasvári Polgármesteri Hivatal kötelező feladatainak bevétele és kiadása</t>
  </si>
  <si>
    <t>Tiszavasvári Polgármesteri Hivatal államigazgatási feladatainak bevétele és kiadása</t>
  </si>
  <si>
    <t>Tiszavasvári Egyesített Óvodai Intézmény összes bevétele és kiadása</t>
  </si>
  <si>
    <t>Tiszavasvári Egyesített Óvodai Intézmény kötelező feladatainak bevétele és kiadása</t>
  </si>
  <si>
    <t>Városi Kincstár Tiszavasvári összes bevétele és kiadása</t>
  </si>
  <si>
    <t>Városi Kincstár Tiszavasvári kötelező feladatainak bevétele és kiadása</t>
  </si>
  <si>
    <t>Kornisné Liptay Elza Szociális és Gyermekjóléti Központ  összes bevétele és kiadása</t>
  </si>
  <si>
    <t>Kornisné Liptay Elza Szociális és Gyermekjóléti Központ  kötelező feladatainak bevétele és kiadása</t>
  </si>
  <si>
    <t>Kornisné Liptay Elza Szociális és Gyermekjóléti Központ önként vállalt feladatainak bevétele és kiadása</t>
  </si>
  <si>
    <t>Saját bevételek</t>
  </si>
  <si>
    <t>Személyi juttatás</t>
  </si>
  <si>
    <t>Dologi kiadások</t>
  </si>
  <si>
    <t>Felhalmozási kiadások</t>
  </si>
  <si>
    <t>Támogatás, pénzeszköz átadás</t>
  </si>
  <si>
    <t>Előirányzat összesen</t>
  </si>
  <si>
    <t>Önkormányzatifinanszírozás</t>
  </si>
  <si>
    <t>Személyi juttatás Járulékai</t>
  </si>
  <si>
    <t>Előirányzat (adatok: Ft-ban)</t>
  </si>
  <si>
    <t>B E V É T E L E K (adatok: Ft-ban)</t>
  </si>
  <si>
    <t>Augusztus</t>
  </si>
  <si>
    <t>Szeptember</t>
  </si>
  <si>
    <t>Október</t>
  </si>
  <si>
    <t>November</t>
  </si>
  <si>
    <t>December</t>
  </si>
  <si>
    <t>Bevételek (adatok: Ft-ban)</t>
  </si>
  <si>
    <t>Kiadások (adatok: Ft-ban)</t>
  </si>
  <si>
    <t>Összesen: 46.=(9.+15.+36.+40.+44.+45.)</t>
  </si>
  <si>
    <t>Összesen: 23.=1.+…+22.</t>
  </si>
  <si>
    <t>2021. év bevételei</t>
  </si>
  <si>
    <t>2021. év kiadásai</t>
  </si>
  <si>
    <t>Értékpapír, hitel, kölcsön</t>
  </si>
  <si>
    <t>Működési kiadások</t>
  </si>
  <si>
    <t>Intézményfinanszírozás</t>
  </si>
  <si>
    <t>Könyvtári könyvek beszerzése</t>
  </si>
  <si>
    <t>Konténer beszerzés (iroda, raktár)</t>
  </si>
  <si>
    <t>Zöld Liget áramkiépítés</t>
  </si>
  <si>
    <t>Sportcsarnok új vízvételezési rendszer kialakítása</t>
  </si>
  <si>
    <t>Komplex felzárkóztató programok Tiszavasvári Külső-Szentmihály városrészen  (megvalósító: Önkormányzat és Kornisné)</t>
  </si>
  <si>
    <t>Kulturális és sportcélú infrastruktúra fejlesztése Tiszavasváriban és "EGYÜTT KÖNNYEBB -  Társadalmi integrációt elősegítő programok megvalósítása Tiszavasváriban a Városi Könyvtárban</t>
  </si>
  <si>
    <t>A Tiszavasvári Minimanó Óvoda családbarát infrastrukturális fejlesztése és  Együtt egy másért -  Társadalmi integrációt elősegítő programok megvalósítása Tiszavasváriban a Találkozások Házában</t>
  </si>
  <si>
    <t>Egyesített Közművelődési Intézmény és Könyvtár összes bevétele és kiadása</t>
  </si>
  <si>
    <t>Egyesített Közművelődési Intézmény és Könyvtár kötelező feladatainak bevétele és kiadása</t>
  </si>
  <si>
    <t>Egyesített Közművelődési Intézmény és Könyvtár önként vállalt feladatainak bevétele és kiadása</t>
  </si>
  <si>
    <t>Tiszavasvári Bölcsőde összes bevétele és kiadása</t>
  </si>
  <si>
    <t>Tiszavasvári Bölcsőde kötelező feladatainak bevétele és kiadása</t>
  </si>
  <si>
    <t>Támogatás összege</t>
  </si>
  <si>
    <t>Tiszavasvári Város közvilágításának ledes technológiával történő fejlesztése</t>
  </si>
  <si>
    <t>2021-2023</t>
  </si>
  <si>
    <t>Játszótéri eszközök</t>
  </si>
  <si>
    <t xml:space="preserve">Tiszavasvári Komplex felzárkózási program </t>
  </si>
  <si>
    <t>Tiszavasvári Komplex felzárkózási program</t>
  </si>
  <si>
    <t>047450</t>
  </si>
  <si>
    <t>Szektorhoz nem köthető komplex gazdaságfejlesztési projektek támogatása</t>
  </si>
  <si>
    <t>XI.29.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</si>
</sst>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3" formatCode="_-* #,##0.00\ _H_U_F_-;\-* #,##0.00\ _H_U_F_-;_-* &quot;-&quot;??\ _H_U_F_-;_-@_-"/>
    <numFmt numFmtId="164" formatCode="_-* #,##0.00\ _F_t_-;\-* #,##0.00\ _F_t_-;_-* &quot;-&quot;??\ _F_t_-;_-@_-"/>
    <numFmt numFmtId="165" formatCode="#,###"/>
    <numFmt numFmtId="166" formatCode="_-* #,##0\ _F_t_-;\-* #,##0\ _F_t_-;_-* &quot;-&quot;??\ _F_t_-;_-@_-"/>
    <numFmt numFmtId="167" formatCode="#,##0.0_ ;\-#,##0.0\ "/>
    <numFmt numFmtId="168" formatCode="#,##0.0"/>
    <numFmt numFmtId="169" formatCode="#,##0\ [$Ft-40E]"/>
    <numFmt numFmtId="170" formatCode="#,##0.000"/>
  </numFmts>
  <fonts count="126" x14ac:knownFonts="1">
    <font>
      <sz val="10"/>
      <name val="Times New Roman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Times New Roman CE"/>
      <charset val="238"/>
    </font>
    <font>
      <sz val="11"/>
      <name val="Times New Roman CE"/>
      <family val="1"/>
      <charset val="238"/>
    </font>
    <font>
      <sz val="12"/>
      <name val="Times New Roman CE"/>
      <family val="1"/>
      <charset val="238"/>
    </font>
    <font>
      <b/>
      <sz val="10"/>
      <name val="Times New Roman CE"/>
      <family val="1"/>
      <charset val="238"/>
    </font>
    <font>
      <b/>
      <sz val="11"/>
      <name val="Times New Roman CE"/>
      <family val="1"/>
      <charset val="238"/>
    </font>
    <font>
      <b/>
      <i/>
      <sz val="10"/>
      <name val="Times New Roman CE"/>
      <family val="1"/>
      <charset val="238"/>
    </font>
    <font>
      <b/>
      <sz val="12"/>
      <name val="Times New Roman CE"/>
      <family val="1"/>
      <charset val="238"/>
    </font>
    <font>
      <b/>
      <sz val="9"/>
      <name val="Times New Roman CE"/>
      <family val="1"/>
      <charset val="238"/>
    </font>
    <font>
      <i/>
      <sz val="10"/>
      <name val="Times New Roman CE"/>
      <family val="1"/>
      <charset val="238"/>
    </font>
    <font>
      <i/>
      <sz val="11"/>
      <name val="Times New Roman CE"/>
      <family val="1"/>
      <charset val="238"/>
    </font>
    <font>
      <b/>
      <i/>
      <sz val="11"/>
      <name val="Times New Roman CE"/>
      <family val="1"/>
      <charset val="238"/>
    </font>
    <font>
      <sz val="12"/>
      <name val="Times New Roman CE"/>
      <charset val="238"/>
    </font>
    <font>
      <u/>
      <sz val="12"/>
      <color indexed="12"/>
      <name val="Times New Roman CE"/>
      <charset val="238"/>
    </font>
    <font>
      <u/>
      <sz val="12"/>
      <color indexed="36"/>
      <name val="Times New Roman CE"/>
      <charset val="238"/>
    </font>
    <font>
      <sz val="10"/>
      <name val="Times New Roman CE"/>
      <family val="1"/>
      <charset val="238"/>
    </font>
    <font>
      <b/>
      <sz val="12"/>
      <name val="Times New Roman"/>
      <family val="1"/>
      <charset val="238"/>
    </font>
    <font>
      <sz val="10"/>
      <name val="Times New Roman CE"/>
      <charset val="238"/>
    </font>
    <font>
      <sz val="9"/>
      <name val="Times New Roman CE"/>
      <family val="1"/>
      <charset val="238"/>
    </font>
    <font>
      <b/>
      <sz val="8"/>
      <name val="Times New Roman CE"/>
      <family val="1"/>
      <charset val="238"/>
    </font>
    <font>
      <b/>
      <i/>
      <sz val="9"/>
      <name val="Times New Roman CE"/>
      <family val="1"/>
      <charset val="238"/>
    </font>
    <font>
      <sz val="8"/>
      <name val="Times New Roman CE"/>
      <family val="1"/>
      <charset val="238"/>
    </font>
    <font>
      <b/>
      <i/>
      <sz val="8"/>
      <name val="Times New Roman CE"/>
      <family val="1"/>
      <charset val="238"/>
    </font>
    <font>
      <b/>
      <sz val="12"/>
      <name val="Times New Roman CE"/>
      <charset val="238"/>
    </font>
    <font>
      <b/>
      <sz val="9"/>
      <name val="Times New Roman"/>
      <family val="1"/>
      <charset val="238"/>
    </font>
    <font>
      <sz val="8"/>
      <name val="Times New Roman"/>
      <family val="1"/>
      <charset val="238"/>
    </font>
    <font>
      <b/>
      <sz val="8"/>
      <name val="Times New Roman"/>
      <family val="1"/>
      <charset val="238"/>
    </font>
    <font>
      <b/>
      <sz val="8"/>
      <name val="Times New Roman CE"/>
      <charset val="238"/>
    </font>
    <font>
      <sz val="8"/>
      <name val="Times New Roman CE"/>
      <charset val="238"/>
    </font>
    <font>
      <b/>
      <sz val="9"/>
      <name val="Times New Roman CE"/>
      <charset val="238"/>
    </font>
    <font>
      <b/>
      <sz val="10"/>
      <name val="Times New Roman CE"/>
      <charset val="238"/>
    </font>
    <font>
      <b/>
      <i/>
      <sz val="10"/>
      <name val="Times New Roman CE"/>
      <charset val="238"/>
    </font>
    <font>
      <i/>
      <sz val="8"/>
      <name val="Times New Roman CE"/>
      <charset val="238"/>
    </font>
    <font>
      <b/>
      <sz val="11"/>
      <name val="Times New Roman CE"/>
      <charset val="238"/>
    </font>
    <font>
      <b/>
      <i/>
      <sz val="9"/>
      <name val="Times New Roman CE"/>
      <charset val="238"/>
    </font>
    <font>
      <sz val="9"/>
      <name val="Times New Roman CE"/>
      <charset val="238"/>
    </font>
    <font>
      <b/>
      <sz val="9"/>
      <color indexed="8"/>
      <name val="Times New Roman"/>
      <family val="1"/>
      <charset val="238"/>
    </font>
    <font>
      <sz val="9"/>
      <name val="Times New Roman"/>
      <family val="1"/>
      <charset val="238"/>
    </font>
    <font>
      <b/>
      <sz val="10"/>
      <name val="Times New Roman"/>
      <family val="1"/>
      <charset val="238"/>
    </font>
    <font>
      <sz val="11"/>
      <color indexed="9"/>
      <name val="Calibri"/>
      <family val="2"/>
      <charset val="238"/>
    </font>
    <font>
      <b/>
      <sz val="14"/>
      <color indexed="10"/>
      <name val="Times New Roman CE"/>
      <charset val="238"/>
    </font>
    <font>
      <sz val="10"/>
      <name val="Arial"/>
      <family val="2"/>
      <charset val="238"/>
    </font>
    <font>
      <sz val="10"/>
      <name val="MS Sans Serif"/>
      <family val="2"/>
      <charset val="238"/>
    </font>
    <font>
      <sz val="8"/>
      <name val="MS Sans Serif"/>
      <family val="2"/>
      <charset val="238"/>
    </font>
    <font>
      <b/>
      <i/>
      <sz val="14"/>
      <name val="Times New Roman CE"/>
      <family val="1"/>
      <charset val="238"/>
    </font>
    <font>
      <sz val="10"/>
      <color indexed="10"/>
      <name val="Times New Roman CE"/>
      <charset val="238"/>
    </font>
    <font>
      <sz val="10"/>
      <name val="Arial CE"/>
      <charset val="238"/>
    </font>
    <font>
      <i/>
      <sz val="8"/>
      <name val="Times New Roman CE"/>
      <family val="1"/>
      <charset val="238"/>
    </font>
    <font>
      <b/>
      <i/>
      <sz val="12"/>
      <name val="Times New Roman CE"/>
      <charset val="238"/>
    </font>
    <font>
      <b/>
      <i/>
      <sz val="13"/>
      <name val="Times New Roman CE"/>
      <family val="1"/>
      <charset val="238"/>
    </font>
    <font>
      <i/>
      <sz val="9"/>
      <name val="Times New Roman CE"/>
      <family val="1"/>
      <charset val="238"/>
    </font>
    <font>
      <sz val="9"/>
      <color indexed="10"/>
      <name val="Times New Roman CE"/>
      <family val="1"/>
      <charset val="238"/>
    </font>
    <font>
      <i/>
      <sz val="9"/>
      <name val="Times New Roman CE"/>
      <charset val="238"/>
    </font>
    <font>
      <b/>
      <sz val="10"/>
      <color indexed="10"/>
      <name val="Times New Roman CE"/>
      <charset val="238"/>
    </font>
    <font>
      <i/>
      <sz val="11"/>
      <color indexed="10"/>
      <name val="Times New Roman CE"/>
      <charset val="238"/>
    </font>
    <font>
      <b/>
      <sz val="10"/>
      <color indexed="10"/>
      <name val="Times New Roman CE"/>
      <family val="1"/>
      <charset val="238"/>
    </font>
    <font>
      <sz val="10"/>
      <name val="MS Sans Serif"/>
      <family val="2"/>
      <charset val="238"/>
    </font>
    <font>
      <b/>
      <sz val="10"/>
      <name val="MS Sans Serif"/>
      <family val="2"/>
      <charset val="238"/>
    </font>
    <font>
      <b/>
      <sz val="8"/>
      <color rgb="FFFF0000"/>
      <name val="Times New Roman CE"/>
      <charset val="238"/>
    </font>
    <font>
      <b/>
      <sz val="10"/>
      <color rgb="FFFF0000"/>
      <name val="Times New Roman CE"/>
      <charset val="238"/>
    </font>
    <font>
      <sz val="8"/>
      <color theme="1"/>
      <name val="Times New Roman CE"/>
      <charset val="238"/>
    </font>
    <font>
      <b/>
      <sz val="8"/>
      <color theme="1"/>
      <name val="Times New Roman CE"/>
      <charset val="238"/>
    </font>
    <font>
      <sz val="10"/>
      <color theme="1"/>
      <name val="Times New Roman CE"/>
      <charset val="238"/>
    </font>
    <font>
      <sz val="8"/>
      <color theme="1"/>
      <name val="Times New Roman CE"/>
      <family val="1"/>
      <charset val="238"/>
    </font>
    <font>
      <b/>
      <sz val="10"/>
      <color theme="1"/>
      <name val="Times New Roman CE"/>
      <charset val="238"/>
    </font>
    <font>
      <b/>
      <sz val="8"/>
      <color theme="1"/>
      <name val="Times New Roman CE"/>
      <family val="1"/>
      <charset val="238"/>
    </font>
    <font>
      <b/>
      <sz val="9"/>
      <color rgb="FFFF0000"/>
      <name val="Times New Roman CE"/>
      <charset val="238"/>
    </font>
    <font>
      <sz val="10"/>
      <color rgb="FFFF0000"/>
      <name val="Times New Roman CE"/>
      <charset val="238"/>
    </font>
    <font>
      <sz val="9"/>
      <color theme="1"/>
      <name val="Times New Roman"/>
      <family val="1"/>
      <charset val="238"/>
    </font>
    <font>
      <b/>
      <sz val="9"/>
      <color theme="1"/>
      <name val="Times New Roman CE"/>
      <family val="1"/>
      <charset val="238"/>
    </font>
    <font>
      <b/>
      <i/>
      <sz val="10"/>
      <color theme="1"/>
      <name val="Times New Roman CE"/>
      <family val="1"/>
      <charset val="238"/>
    </font>
    <font>
      <sz val="10"/>
      <color theme="1"/>
      <name val="Times New Roman CE"/>
      <family val="1"/>
      <charset val="238"/>
    </font>
    <font>
      <b/>
      <sz val="10"/>
      <color rgb="FFFF0000"/>
      <name val="MS Sans Serif"/>
      <family val="2"/>
      <charset val="238"/>
    </font>
    <font>
      <b/>
      <sz val="10"/>
      <color theme="1"/>
      <name val="Times New Roman"/>
      <family val="1"/>
      <charset val="238"/>
    </font>
    <font>
      <b/>
      <i/>
      <sz val="9"/>
      <color rgb="FFFF0000"/>
      <name val="Times New Roman CE"/>
      <charset val="238"/>
    </font>
    <font>
      <b/>
      <sz val="12"/>
      <color theme="1"/>
      <name val="Times New Roman CE"/>
      <charset val="238"/>
    </font>
    <font>
      <b/>
      <i/>
      <sz val="11"/>
      <color indexed="10"/>
      <name val="Times New Roman CE"/>
      <family val="1"/>
      <charset val="238"/>
    </font>
    <font>
      <b/>
      <i/>
      <sz val="8"/>
      <name val="Times New Roman CE"/>
      <charset val="238"/>
    </font>
    <font>
      <sz val="11"/>
      <color rgb="FFFF0000"/>
      <name val="Times New Roman CE"/>
      <family val="1"/>
      <charset val="238"/>
    </font>
    <font>
      <b/>
      <i/>
      <sz val="11"/>
      <name val="Times New Roman CE"/>
      <charset val="238"/>
    </font>
    <font>
      <b/>
      <u/>
      <sz val="10"/>
      <name val="Times New Roman"/>
      <family val="1"/>
      <charset val="238"/>
    </font>
    <font>
      <b/>
      <sz val="10"/>
      <color theme="1"/>
      <name val="Times New Roman CE"/>
      <family val="1"/>
      <charset val="238"/>
    </font>
    <font>
      <sz val="10"/>
      <color theme="1"/>
      <name val="MS Sans Serif"/>
      <family val="2"/>
      <charset val="238"/>
    </font>
    <font>
      <b/>
      <i/>
      <sz val="8"/>
      <color theme="1"/>
      <name val="Times New Roman CE"/>
      <charset val="238"/>
    </font>
    <font>
      <i/>
      <sz val="8"/>
      <color theme="1"/>
      <name val="Times New Roman CE"/>
      <family val="1"/>
      <charset val="238"/>
    </font>
    <font>
      <b/>
      <i/>
      <sz val="8"/>
      <color theme="1"/>
      <name val="Times New Roman CE"/>
      <family val="1"/>
      <charset val="238"/>
    </font>
    <font>
      <b/>
      <i/>
      <sz val="14"/>
      <color theme="1"/>
      <name val="Times New Roman CE"/>
      <family val="1"/>
      <charset val="238"/>
    </font>
    <font>
      <b/>
      <i/>
      <sz val="9"/>
      <color theme="1"/>
      <name val="Times New Roman CE"/>
      <charset val="238"/>
    </font>
    <font>
      <sz val="8"/>
      <color theme="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b/>
      <sz val="10"/>
      <color theme="1"/>
      <name val="MS Sans Serif"/>
      <family val="2"/>
      <charset val="238"/>
    </font>
    <font>
      <sz val="10"/>
      <color rgb="FFFF0000"/>
      <name val="Times New Roman CE"/>
      <family val="1"/>
      <charset val="238"/>
    </font>
    <font>
      <b/>
      <u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i/>
      <sz val="10"/>
      <color theme="1"/>
      <name val="Times New Roman CE"/>
      <charset val="238"/>
    </font>
    <font>
      <b/>
      <i/>
      <sz val="10"/>
      <color theme="1"/>
      <name val="Times New Roman CE"/>
      <charset val="238"/>
    </font>
    <font>
      <b/>
      <sz val="9"/>
      <color theme="1"/>
      <name val="Times New Roman CE"/>
      <charset val="238"/>
    </font>
    <font>
      <b/>
      <sz val="10"/>
      <color theme="8" tint="-0.249977111117893"/>
      <name val="Times New Roman CE"/>
      <charset val="238"/>
    </font>
    <font>
      <i/>
      <sz val="11"/>
      <name val="Times New Roman CE"/>
      <charset val="238"/>
    </font>
    <font>
      <b/>
      <sz val="14"/>
      <name val="Times New Roman CE"/>
      <charset val="238"/>
    </font>
    <font>
      <sz val="10"/>
      <color theme="0"/>
      <name val="Times New Roman CE"/>
      <charset val="238"/>
    </font>
    <font>
      <b/>
      <sz val="12"/>
      <color indexed="10"/>
      <name val="Times New Roman CE"/>
      <charset val="238"/>
    </font>
    <font>
      <sz val="9"/>
      <color indexed="17"/>
      <name val="Times New Roman CE"/>
      <charset val="238"/>
    </font>
    <font>
      <sz val="10"/>
      <name val="Times New Roman"/>
      <family val="1"/>
      <charset val="238"/>
    </font>
    <font>
      <b/>
      <u/>
      <sz val="10"/>
      <name val="Times New Roman CE"/>
      <charset val="238"/>
    </font>
    <font>
      <sz val="12"/>
      <name val="MS Sans Serif"/>
      <family val="2"/>
      <charset val="238"/>
    </font>
    <font>
      <b/>
      <sz val="12"/>
      <color rgb="FFFF0000"/>
      <name val="Times New Roman CE"/>
      <charset val="238"/>
    </font>
    <font>
      <b/>
      <sz val="10"/>
      <color rgb="FFFF0000"/>
      <name val="Times New Roman"/>
      <family val="1"/>
      <charset val="238"/>
    </font>
    <font>
      <sz val="9"/>
      <color rgb="FFFF0000"/>
      <name val="Times New Roman CE"/>
      <charset val="238"/>
    </font>
    <font>
      <sz val="8"/>
      <color rgb="FFFF0000"/>
      <name val="Times New Roman CE"/>
      <charset val="238"/>
    </font>
    <font>
      <sz val="10"/>
      <name val="Arial"/>
      <family val="2"/>
      <charset val="238"/>
    </font>
    <font>
      <b/>
      <sz val="12"/>
      <name val="Cambria"/>
      <family val="1"/>
      <charset val="238"/>
      <scheme val="major"/>
    </font>
    <font>
      <sz val="12"/>
      <name val="Cambria"/>
      <family val="1"/>
      <charset val="238"/>
      <scheme val="major"/>
    </font>
    <font>
      <b/>
      <i/>
      <sz val="12"/>
      <name val="Cambria"/>
      <family val="1"/>
      <charset val="238"/>
      <scheme val="major"/>
    </font>
    <font>
      <sz val="11"/>
      <color rgb="FF474747"/>
      <name val="Arial"/>
      <family val="2"/>
      <charset val="238"/>
    </font>
    <font>
      <sz val="11"/>
      <name val="Times New Roman CE"/>
      <charset val="238"/>
    </font>
    <font>
      <b/>
      <sz val="14"/>
      <name val="Times New Roman"/>
      <family val="1"/>
      <charset val="238"/>
    </font>
    <font>
      <b/>
      <sz val="12"/>
      <color rgb="FFFF0000"/>
      <name val="Cambria"/>
      <family val="1"/>
      <charset val="238"/>
      <scheme val="major"/>
    </font>
    <font>
      <b/>
      <sz val="8"/>
      <color rgb="FFFF0000"/>
      <name val="Times New Roman"/>
      <family val="1"/>
      <charset val="238"/>
    </font>
  </fonts>
  <fills count="11">
    <fill>
      <patternFill patternType="none"/>
    </fill>
    <fill>
      <patternFill patternType="gray125"/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53"/>
      </patternFill>
    </fill>
    <fill>
      <patternFill patternType="lightHorizontal"/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FF"/>
        <bgColor indexed="64"/>
      </patternFill>
    </fill>
  </fills>
  <borders count="8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/>
      <diagonal/>
    </border>
    <border>
      <left style="medium">
        <color rgb="FFB1B1B1"/>
      </left>
      <right style="medium">
        <color rgb="FFB1B1B1"/>
      </right>
      <top style="medium">
        <color rgb="FFB1B1B1"/>
      </top>
      <bottom style="medium">
        <color rgb="FFB1B1B1"/>
      </bottom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102">
    <xf numFmtId="0" fontId="0" fillId="0" borderId="0"/>
    <xf numFmtId="0" fontId="46" fillId="2" borderId="0" applyNumberFormat="0" applyBorder="0" applyAlignment="0" applyProtection="0"/>
    <xf numFmtId="0" fontId="46" fillId="3" borderId="0" applyNumberFormat="0" applyBorder="0" applyAlignment="0" applyProtection="0"/>
    <xf numFmtId="0" fontId="46" fillId="4" borderId="0" applyNumberFormat="0" applyBorder="0" applyAlignment="0" applyProtection="0"/>
    <xf numFmtId="0" fontId="46" fillId="5" borderId="0" applyNumberFormat="0" applyBorder="0" applyAlignment="0" applyProtection="0"/>
    <xf numFmtId="0" fontId="46" fillId="2" borderId="0" applyNumberFormat="0" applyBorder="0" applyAlignment="0" applyProtection="0"/>
    <xf numFmtId="0" fontId="46" fillId="6" borderId="0" applyNumberFormat="0" applyBorder="0" applyAlignment="0" applyProtection="0"/>
    <xf numFmtId="164" fontId="63" fillId="0" borderId="0" applyFont="0" applyFill="0" applyBorder="0" applyAlignment="0" applyProtection="0"/>
    <xf numFmtId="164" fontId="63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24" fillId="0" borderId="0" applyFont="0" applyFill="0" applyBorder="0" applyAlignment="0" applyProtection="0"/>
    <xf numFmtId="0" fontId="48" fillId="0" borderId="0"/>
    <xf numFmtId="0" fontId="20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>
      <alignment vertical="top"/>
      <protection locked="0"/>
    </xf>
    <xf numFmtId="0" fontId="63" fillId="0" borderId="0"/>
    <xf numFmtId="0" fontId="49" fillId="0" borderId="0"/>
    <xf numFmtId="0" fontId="63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19" fillId="0" borderId="0"/>
    <xf numFmtId="0" fontId="49" fillId="0" borderId="0"/>
    <xf numFmtId="0" fontId="19" fillId="0" borderId="0"/>
    <xf numFmtId="0" fontId="53" fillId="0" borderId="0"/>
    <xf numFmtId="0" fontId="49" fillId="0" borderId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0" fontId="49" fillId="0" borderId="0"/>
    <xf numFmtId="164" fontId="49" fillId="0" borderId="0" applyFont="0" applyFill="0" applyBorder="0" applyAlignment="0" applyProtection="0"/>
    <xf numFmtId="164" fontId="49" fillId="0" borderId="0" applyFont="0" applyFill="0" applyBorder="0" applyAlignment="0" applyProtection="0"/>
    <xf numFmtId="164" fontId="49" fillId="0" borderId="0" applyFont="0" applyFill="0" applyBorder="0" applyAlignment="0" applyProtection="0"/>
    <xf numFmtId="164" fontId="49" fillId="0" borderId="0" applyFont="0" applyFill="0" applyBorder="0" applyAlignment="0" applyProtection="0"/>
    <xf numFmtId="0" fontId="7" fillId="0" borderId="0"/>
    <xf numFmtId="43" fontId="7" fillId="0" borderId="0" applyFont="0" applyFill="0" applyBorder="0" applyAlignment="0" applyProtection="0"/>
    <xf numFmtId="164" fontId="8" fillId="0" borderId="0" applyFont="0" applyFill="0" applyBorder="0" applyAlignment="0" applyProtection="0"/>
    <xf numFmtId="0" fontId="8" fillId="0" borderId="0"/>
    <xf numFmtId="9" fontId="8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117" fillId="0" borderId="0"/>
    <xf numFmtId="0" fontId="48" fillId="0" borderId="0"/>
    <xf numFmtId="0" fontId="8" fillId="0" borderId="0"/>
    <xf numFmtId="164" fontId="8" fillId="0" borderId="0" applyFont="0" applyFill="0" applyBorder="0" applyAlignment="0" applyProtection="0"/>
    <xf numFmtId="9" fontId="49" fillId="0" borderId="0" applyFont="0" applyFill="0" applyBorder="0" applyAlignment="0" applyProtection="0"/>
    <xf numFmtId="0" fontId="48" fillId="0" borderId="0"/>
    <xf numFmtId="164" fontId="48" fillId="0" borderId="0" applyFont="0" applyFill="0" applyBorder="0" applyAlignment="0" applyProtection="0"/>
    <xf numFmtId="0" fontId="49" fillId="0" borderId="0"/>
    <xf numFmtId="164" fontId="49" fillId="0" borderId="0" applyFont="0" applyFill="0" applyBorder="0" applyAlignment="0" applyProtection="0"/>
    <xf numFmtId="9" fontId="49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48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</cellStyleXfs>
  <cellXfs count="1582">
    <xf numFmtId="0" fontId="0" fillId="0" borderId="0" xfId="0"/>
    <xf numFmtId="165" fontId="10" fillId="0" borderId="0" xfId="0" applyNumberFormat="1" applyFont="1" applyFill="1" applyAlignment="1">
      <alignment vertical="center" wrapText="1"/>
    </xf>
    <xf numFmtId="0" fontId="14" fillId="0" borderId="0" xfId="21" applyFont="1" applyFill="1" applyBorder="1" applyAlignment="1" applyProtection="1">
      <alignment horizontal="center" vertical="center" wrapText="1"/>
    </xf>
    <xf numFmtId="0" fontId="14" fillId="0" borderId="0" xfId="21" applyFont="1" applyFill="1" applyBorder="1" applyAlignment="1" applyProtection="1">
      <alignment vertical="center" wrapText="1"/>
    </xf>
    <xf numFmtId="0" fontId="28" fillId="0" borderId="1" xfId="21" applyFont="1" applyFill="1" applyBorder="1" applyAlignment="1" applyProtection="1">
      <alignment horizontal="left" vertical="center" wrapText="1" indent="1"/>
    </xf>
    <xf numFmtId="0" fontId="28" fillId="0" borderId="2" xfId="21" applyFont="1" applyFill="1" applyBorder="1" applyAlignment="1" applyProtection="1">
      <alignment horizontal="left" vertical="center" wrapText="1" indent="1"/>
    </xf>
    <xf numFmtId="0" fontId="28" fillId="0" borderId="3" xfId="21" applyFont="1" applyFill="1" applyBorder="1" applyAlignment="1" applyProtection="1">
      <alignment horizontal="left" vertical="center" wrapText="1" indent="1"/>
    </xf>
    <xf numFmtId="0" fontId="28" fillId="0" borderId="4" xfId="21" applyFont="1" applyFill="1" applyBorder="1" applyAlignment="1" applyProtection="1">
      <alignment horizontal="left" vertical="center" wrapText="1" indent="1"/>
    </xf>
    <xf numFmtId="0" fontId="28" fillId="0" borderId="5" xfId="21" applyFont="1" applyFill="1" applyBorder="1" applyAlignment="1" applyProtection="1">
      <alignment horizontal="left" vertical="center" wrapText="1" indent="1"/>
    </xf>
    <xf numFmtId="0" fontId="28" fillId="0" borderId="6" xfId="21" applyFont="1" applyFill="1" applyBorder="1" applyAlignment="1" applyProtection="1">
      <alignment horizontal="left" vertical="center" wrapText="1" indent="1"/>
    </xf>
    <xf numFmtId="49" fontId="28" fillId="0" borderId="7" xfId="21" applyNumberFormat="1" applyFont="1" applyFill="1" applyBorder="1" applyAlignment="1" applyProtection="1">
      <alignment horizontal="left" vertical="center" wrapText="1" indent="1"/>
    </xf>
    <xf numFmtId="49" fontId="28" fillId="0" borderId="8" xfId="21" applyNumberFormat="1" applyFont="1" applyFill="1" applyBorder="1" applyAlignment="1" applyProtection="1">
      <alignment horizontal="left" vertical="center" wrapText="1" indent="1"/>
    </xf>
    <xf numFmtId="49" fontId="28" fillId="0" borderId="9" xfId="21" applyNumberFormat="1" applyFont="1" applyFill="1" applyBorder="1" applyAlignment="1" applyProtection="1">
      <alignment horizontal="left" vertical="center" wrapText="1" indent="1"/>
    </xf>
    <xf numFmtId="49" fontId="28" fillId="0" borderId="10" xfId="21" applyNumberFormat="1" applyFont="1" applyFill="1" applyBorder="1" applyAlignment="1" applyProtection="1">
      <alignment horizontal="left" vertical="center" wrapText="1" indent="1"/>
    </xf>
    <xf numFmtId="49" fontId="28" fillId="0" borderId="11" xfId="21" applyNumberFormat="1" applyFont="1" applyFill="1" applyBorder="1" applyAlignment="1" applyProtection="1">
      <alignment horizontal="left" vertical="center" wrapText="1" indent="1"/>
    </xf>
    <xf numFmtId="49" fontId="28" fillId="0" borderId="12" xfId="21" applyNumberFormat="1" applyFont="1" applyFill="1" applyBorder="1" applyAlignment="1" applyProtection="1">
      <alignment horizontal="left" vertical="center" wrapText="1" indent="1"/>
    </xf>
    <xf numFmtId="0" fontId="28" fillId="0" borderId="0" xfId="21" applyFont="1" applyFill="1" applyBorder="1" applyAlignment="1" applyProtection="1">
      <alignment horizontal="left" vertical="center" wrapText="1" indent="1"/>
    </xf>
    <xf numFmtId="0" fontId="26" fillId="0" borderId="13" xfId="21" applyFont="1" applyFill="1" applyBorder="1" applyAlignment="1" applyProtection="1">
      <alignment horizontal="left" vertical="center" wrapText="1" indent="1"/>
    </xf>
    <xf numFmtId="0" fontId="26" fillId="0" borderId="14" xfId="21" applyFont="1" applyFill="1" applyBorder="1" applyAlignment="1" applyProtection="1">
      <alignment horizontal="left" vertical="center" wrapText="1" indent="1"/>
    </xf>
    <xf numFmtId="0" fontId="26" fillId="0" borderId="15" xfId="21" applyFont="1" applyFill="1" applyBorder="1" applyAlignment="1" applyProtection="1">
      <alignment horizontal="left" vertical="center" wrapText="1" indent="1"/>
    </xf>
    <xf numFmtId="0" fontId="15" fillId="0" borderId="13" xfId="21" applyFont="1" applyFill="1" applyBorder="1" applyAlignment="1" applyProtection="1">
      <alignment horizontal="center" vertical="center" wrapText="1"/>
    </xf>
    <xf numFmtId="0" fontId="15" fillId="0" borderId="14" xfId="21" applyFont="1" applyFill="1" applyBorder="1" applyAlignment="1" applyProtection="1">
      <alignment horizontal="center" vertical="center" wrapText="1"/>
    </xf>
    <xf numFmtId="0" fontId="26" fillId="0" borderId="14" xfId="21" applyFont="1" applyFill="1" applyBorder="1" applyAlignment="1" applyProtection="1">
      <alignment vertical="center" wrapText="1"/>
    </xf>
    <xf numFmtId="0" fontId="26" fillId="0" borderId="16" xfId="21" applyFont="1" applyFill="1" applyBorder="1" applyAlignment="1" applyProtection="1">
      <alignment vertical="center" wrapText="1"/>
    </xf>
    <xf numFmtId="0" fontId="35" fillId="0" borderId="6" xfId="0" applyFont="1" applyBorder="1" applyAlignment="1" applyProtection="1">
      <alignment horizontal="left" vertical="center" indent="1"/>
      <protection locked="0"/>
    </xf>
    <xf numFmtId="0" fontId="26" fillId="0" borderId="13" xfId="21" applyFont="1" applyFill="1" applyBorder="1" applyAlignment="1" applyProtection="1">
      <alignment horizontal="center" vertical="center" wrapText="1"/>
    </xf>
    <xf numFmtId="0" fontId="26" fillId="0" borderId="14" xfId="21" applyFont="1" applyFill="1" applyBorder="1" applyAlignment="1" applyProtection="1">
      <alignment horizontal="center" vertical="center" wrapText="1"/>
    </xf>
    <xf numFmtId="0" fontId="26" fillId="0" borderId="19" xfId="21" applyFont="1" applyFill="1" applyBorder="1" applyAlignment="1" applyProtection="1">
      <alignment horizontal="center" vertical="center" wrapText="1"/>
    </xf>
    <xf numFmtId="0" fontId="15" fillId="0" borderId="14" xfId="23" applyFont="1" applyFill="1" applyBorder="1" applyAlignment="1" applyProtection="1">
      <alignment horizontal="left" vertical="center" indent="1"/>
    </xf>
    <xf numFmtId="0" fontId="15" fillId="0" borderId="19" xfId="21" applyFont="1" applyFill="1" applyBorder="1" applyAlignment="1" applyProtection="1">
      <alignment horizontal="center" vertical="center" wrapText="1"/>
    </xf>
    <xf numFmtId="165" fontId="28" fillId="0" borderId="8" xfId="0" applyNumberFormat="1" applyFont="1" applyFill="1" applyBorder="1" applyAlignment="1" applyProtection="1">
      <alignment horizontal="left" vertical="center" wrapText="1" indent="1"/>
      <protection locked="0"/>
    </xf>
    <xf numFmtId="165" fontId="0" fillId="0" borderId="0" xfId="0" applyNumberFormat="1" applyFill="1" applyAlignment="1" applyProtection="1">
      <alignment vertical="center" wrapText="1"/>
    </xf>
    <xf numFmtId="0" fontId="14" fillId="0" borderId="0" xfId="0" applyFont="1" applyFill="1" applyAlignment="1">
      <alignment horizontal="center" vertical="center" wrapText="1"/>
    </xf>
    <xf numFmtId="165" fontId="17" fillId="0" borderId="0" xfId="0" applyNumberFormat="1" applyFont="1" applyFill="1" applyAlignment="1">
      <alignment vertical="center" wrapText="1"/>
    </xf>
    <xf numFmtId="165" fontId="35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5" fontId="35" fillId="0" borderId="2" xfId="0" applyNumberFormat="1" applyFont="1" applyFill="1" applyBorder="1" applyAlignment="1" applyProtection="1">
      <alignment horizontal="right" vertical="center" wrapText="1" indent="1"/>
      <protection locked="0"/>
    </xf>
    <xf numFmtId="165" fontId="35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0" fontId="14" fillId="0" borderId="0" xfId="0" applyFont="1" applyFill="1" applyAlignment="1">
      <alignment vertical="center"/>
    </xf>
    <xf numFmtId="0" fontId="17" fillId="0" borderId="0" xfId="0" applyFont="1" applyFill="1" applyAlignment="1">
      <alignment vertical="center" wrapText="1"/>
    </xf>
    <xf numFmtId="0" fontId="9" fillId="0" borderId="0" xfId="0" applyFont="1" applyFill="1" applyAlignment="1">
      <alignment vertical="center" wrapText="1"/>
    </xf>
    <xf numFmtId="0" fontId="19" fillId="0" borderId="0" xfId="23" applyFill="1" applyProtection="1"/>
    <xf numFmtId="0" fontId="28" fillId="0" borderId="13" xfId="23" applyFont="1" applyFill="1" applyBorder="1" applyAlignment="1" applyProtection="1">
      <alignment horizontal="left" vertical="center" indent="1"/>
    </xf>
    <xf numFmtId="0" fontId="19" fillId="0" borderId="0" xfId="23" applyFill="1" applyAlignment="1" applyProtection="1">
      <alignment vertical="center"/>
    </xf>
    <xf numFmtId="0" fontId="28" fillId="0" borderId="7" xfId="23" applyFont="1" applyFill="1" applyBorder="1" applyAlignment="1" applyProtection="1">
      <alignment horizontal="left" vertical="center" indent="1"/>
    </xf>
    <xf numFmtId="0" fontId="28" fillId="0" borderId="8" xfId="23" applyFont="1" applyFill="1" applyBorder="1" applyAlignment="1" applyProtection="1">
      <alignment horizontal="left" vertical="center" indent="1"/>
    </xf>
    <xf numFmtId="165" fontId="28" fillId="0" borderId="2" xfId="23" applyNumberFormat="1" applyFont="1" applyFill="1" applyBorder="1" applyAlignment="1" applyProtection="1">
      <alignment vertical="center"/>
      <protection locked="0"/>
    </xf>
    <xf numFmtId="0" fontId="19" fillId="0" borderId="0" xfId="23" applyFill="1" applyAlignment="1" applyProtection="1">
      <alignment vertical="center"/>
      <protection locked="0"/>
    </xf>
    <xf numFmtId="165" fontId="26" fillId="0" borderId="14" xfId="23" applyNumberFormat="1" applyFont="1" applyFill="1" applyBorder="1" applyAlignment="1" applyProtection="1">
      <alignment vertical="center"/>
    </xf>
    <xf numFmtId="0" fontId="26" fillId="0" borderId="13" xfId="23" applyFont="1" applyFill="1" applyBorder="1" applyAlignment="1" applyProtection="1">
      <alignment horizontal="left" vertical="center" indent="1"/>
    </xf>
    <xf numFmtId="165" fontId="26" fillId="0" borderId="14" xfId="23" applyNumberFormat="1" applyFont="1" applyFill="1" applyBorder="1" applyProtection="1"/>
    <xf numFmtId="0" fontId="22" fillId="0" borderId="0" xfId="23" applyFont="1" applyFill="1" applyProtection="1"/>
    <xf numFmtId="0" fontId="40" fillId="0" borderId="0" xfId="23" applyFont="1" applyFill="1" applyProtection="1">
      <protection locked="0"/>
    </xf>
    <xf numFmtId="0" fontId="30" fillId="0" borderId="0" xfId="23" applyFont="1" applyFill="1" applyProtection="1">
      <protection locked="0"/>
    </xf>
    <xf numFmtId="3" fontId="11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0" fontId="34" fillId="0" borderId="14" xfId="21" applyFont="1" applyFill="1" applyBorder="1" applyAlignment="1" applyProtection="1">
      <alignment horizontal="left" vertical="center" wrapText="1" indent="1"/>
    </xf>
    <xf numFmtId="165" fontId="34" fillId="0" borderId="13" xfId="0" applyNumberFormat="1" applyFont="1" applyFill="1" applyBorder="1" applyAlignment="1" applyProtection="1">
      <alignment horizontal="left" vertical="center" wrapText="1" indent="1"/>
    </xf>
    <xf numFmtId="0" fontId="13" fillId="0" borderId="24" xfId="0" applyFont="1" applyFill="1" applyBorder="1" applyAlignment="1" applyProtection="1">
      <alignment horizontal="right"/>
    </xf>
    <xf numFmtId="0" fontId="35" fillId="0" borderId="25" xfId="21" applyFont="1" applyFill="1" applyBorder="1" applyAlignment="1" applyProtection="1">
      <alignment horizontal="left" vertical="center" wrapText="1" indent="1"/>
    </xf>
    <xf numFmtId="0" fontId="28" fillId="0" borderId="2" xfId="21" applyFont="1" applyFill="1" applyBorder="1" applyAlignment="1" applyProtection="1">
      <alignment horizontal="left" indent="6"/>
    </xf>
    <xf numFmtId="0" fontId="28" fillId="0" borderId="2" xfId="21" applyFont="1" applyFill="1" applyBorder="1" applyAlignment="1" applyProtection="1">
      <alignment horizontal="left" vertical="center" wrapText="1" indent="6"/>
    </xf>
    <xf numFmtId="0" fontId="28" fillId="0" borderId="6" xfId="21" applyFont="1" applyFill="1" applyBorder="1" applyAlignment="1" applyProtection="1">
      <alignment horizontal="left" vertical="center" wrapText="1" indent="6"/>
    </xf>
    <xf numFmtId="0" fontId="28" fillId="0" borderId="21" xfId="21" applyFont="1" applyFill="1" applyBorder="1" applyAlignment="1" applyProtection="1">
      <alignment horizontal="left" vertical="center" wrapText="1" indent="6"/>
    </xf>
    <xf numFmtId="0" fontId="18" fillId="0" borderId="0" xfId="0" applyFont="1" applyFill="1" applyBorder="1" applyAlignment="1" applyProtection="1"/>
    <xf numFmtId="0" fontId="29" fillId="0" borderId="0" xfId="0" applyFont="1" applyFill="1" applyBorder="1" applyAlignment="1" applyProtection="1">
      <alignment horizontal="right"/>
    </xf>
    <xf numFmtId="0" fontId="34" fillId="0" borderId="11" xfId="21" applyFont="1" applyFill="1" applyBorder="1" applyAlignment="1" applyProtection="1">
      <alignment horizontal="center" vertical="center" wrapText="1"/>
    </xf>
    <xf numFmtId="0" fontId="34" fillId="0" borderId="4" xfId="21" applyFont="1" applyFill="1" applyBorder="1" applyAlignment="1" applyProtection="1">
      <alignment horizontal="center" vertical="center" wrapText="1"/>
    </xf>
    <xf numFmtId="0" fontId="34" fillId="0" borderId="17" xfId="21" applyFont="1" applyFill="1" applyBorder="1" applyAlignment="1" applyProtection="1">
      <alignment horizontal="center" vertical="center" wrapText="1"/>
    </xf>
    <xf numFmtId="0" fontId="35" fillId="0" borderId="11" xfId="21" applyFont="1" applyFill="1" applyBorder="1" applyAlignment="1" applyProtection="1">
      <alignment horizontal="center" vertical="center"/>
    </xf>
    <xf numFmtId="0" fontId="35" fillId="0" borderId="8" xfId="21" applyFont="1" applyFill="1" applyBorder="1" applyAlignment="1" applyProtection="1">
      <alignment horizontal="center" vertical="center"/>
    </xf>
    <xf numFmtId="165" fontId="0" fillId="0" borderId="0" xfId="0" applyNumberFormat="1" applyFill="1" applyAlignment="1" applyProtection="1">
      <alignment horizontal="center" vertical="center" wrapText="1"/>
    </xf>
    <xf numFmtId="165" fontId="15" fillId="0" borderId="13" xfId="0" applyNumberFormat="1" applyFont="1" applyFill="1" applyBorder="1" applyAlignment="1" applyProtection="1">
      <alignment horizontal="center" vertical="center" wrapText="1"/>
    </xf>
    <xf numFmtId="0" fontId="26" fillId="0" borderId="13" xfId="0" applyFont="1" applyFill="1" applyBorder="1" applyAlignment="1" applyProtection="1">
      <alignment horizontal="center" vertical="center" wrapText="1"/>
    </xf>
    <xf numFmtId="0" fontId="26" fillId="0" borderId="14" xfId="0" applyFont="1" applyFill="1" applyBorder="1" applyAlignment="1" applyProtection="1">
      <alignment horizontal="center" vertical="center" wrapText="1"/>
    </xf>
    <xf numFmtId="0" fontId="26" fillId="0" borderId="19" xfId="0" applyFont="1" applyFill="1" applyBorder="1" applyAlignment="1" applyProtection="1">
      <alignment horizontal="center" vertical="center" wrapText="1"/>
    </xf>
    <xf numFmtId="0" fontId="34" fillId="0" borderId="13" xfId="0" applyFont="1" applyFill="1" applyBorder="1" applyAlignment="1" applyProtection="1">
      <alignment horizontal="center" vertical="center" wrapText="1"/>
    </xf>
    <xf numFmtId="0" fontId="0" fillId="0" borderId="0" xfId="0" applyProtection="1"/>
    <xf numFmtId="165" fontId="10" fillId="0" borderId="0" xfId="0" applyNumberFormat="1" applyFont="1" applyFill="1" applyAlignment="1" applyProtection="1">
      <alignment horizontal="left" vertical="center" wrapText="1"/>
    </xf>
    <xf numFmtId="165" fontId="10" fillId="0" borderId="0" xfId="0" applyNumberFormat="1" applyFont="1" applyFill="1" applyAlignment="1" applyProtection="1">
      <alignment vertical="center" wrapText="1"/>
    </xf>
    <xf numFmtId="165" fontId="25" fillId="0" borderId="0" xfId="0" applyNumberFormat="1" applyFont="1" applyFill="1" applyAlignment="1" applyProtection="1">
      <alignment vertical="center" wrapText="1"/>
    </xf>
    <xf numFmtId="0" fontId="15" fillId="0" borderId="0" xfId="0" applyFont="1" applyFill="1" applyAlignment="1" applyProtection="1">
      <alignment vertical="center"/>
    </xf>
    <xf numFmtId="0" fontId="13" fillId="0" borderId="0" xfId="0" applyFont="1" applyFill="1" applyAlignment="1" applyProtection="1">
      <alignment horizontal="right"/>
    </xf>
    <xf numFmtId="0" fontId="15" fillId="0" borderId="16" xfId="0" applyFont="1" applyFill="1" applyBorder="1" applyAlignment="1" applyProtection="1">
      <alignment horizontal="center" vertical="center" wrapText="1"/>
    </xf>
    <xf numFmtId="0" fontId="15" fillId="0" borderId="28" xfId="0" applyFont="1" applyFill="1" applyBorder="1" applyAlignment="1" applyProtection="1">
      <alignment horizontal="center" vertical="center" wrapText="1"/>
    </xf>
    <xf numFmtId="0" fontId="15" fillId="0" borderId="30" xfId="0" applyFont="1" applyFill="1" applyBorder="1" applyAlignment="1" applyProtection="1">
      <alignment horizontal="center" vertical="center" wrapText="1"/>
    </xf>
    <xf numFmtId="0" fontId="15" fillId="0" borderId="31" xfId="0" applyFont="1" applyFill="1" applyBorder="1" applyAlignment="1" applyProtection="1">
      <alignment horizontal="center" vertical="center" wrapText="1"/>
    </xf>
    <xf numFmtId="165" fontId="15" fillId="0" borderId="32" xfId="0" applyNumberFormat="1" applyFont="1" applyFill="1" applyBorder="1" applyAlignment="1" applyProtection="1">
      <alignment horizontal="center" vertical="center" wrapText="1"/>
    </xf>
    <xf numFmtId="0" fontId="34" fillId="0" borderId="14" xfId="0" applyFont="1" applyFill="1" applyBorder="1" applyAlignment="1" applyProtection="1">
      <alignment horizontal="left" vertical="center" wrapText="1" indent="1"/>
    </xf>
    <xf numFmtId="0" fontId="33" fillId="0" borderId="13" xfId="0" applyFont="1" applyBorder="1" applyAlignment="1" applyProtection="1">
      <alignment horizontal="center" vertical="center" wrapText="1"/>
    </xf>
    <xf numFmtId="0" fontId="43" fillId="0" borderId="33" xfId="0" applyFont="1" applyBorder="1" applyAlignment="1" applyProtection="1">
      <alignment horizontal="left" wrapText="1" indent="1"/>
    </xf>
    <xf numFmtId="0" fontId="28" fillId="0" borderId="0" xfId="0" applyFont="1" applyFill="1" applyBorder="1" applyAlignment="1" applyProtection="1">
      <alignment horizontal="center" vertical="center" wrapText="1"/>
    </xf>
    <xf numFmtId="0" fontId="15" fillId="0" borderId="0" xfId="0" applyFont="1" applyFill="1" applyBorder="1" applyAlignment="1" applyProtection="1">
      <alignment horizontal="left" vertical="center" wrapText="1" indent="1"/>
    </xf>
    <xf numFmtId="0" fontId="28" fillId="0" borderId="0" xfId="0" applyFont="1" applyFill="1" applyAlignment="1" applyProtection="1">
      <alignment horizontal="left" vertical="center" wrapText="1"/>
    </xf>
    <xf numFmtId="0" fontId="28" fillId="0" borderId="0" xfId="0" applyFont="1" applyFill="1" applyAlignment="1" applyProtection="1">
      <alignment vertical="center" wrapText="1"/>
    </xf>
    <xf numFmtId="0" fontId="26" fillId="0" borderId="34" xfId="0" applyFont="1" applyFill="1" applyBorder="1" applyAlignment="1" applyProtection="1">
      <alignment horizontal="center" vertical="center" wrapText="1"/>
    </xf>
    <xf numFmtId="0" fontId="15" fillId="0" borderId="35" xfId="0" applyFont="1" applyFill="1" applyBorder="1" applyAlignment="1" applyProtection="1">
      <alignment horizontal="center" vertical="center" wrapText="1"/>
    </xf>
    <xf numFmtId="0" fontId="15" fillId="0" borderId="14" xfId="0" applyFont="1" applyFill="1" applyBorder="1" applyAlignment="1" applyProtection="1">
      <alignment horizontal="left" vertical="center" wrapText="1" indent="1"/>
    </xf>
    <xf numFmtId="0" fontId="0" fillId="0" borderId="0" xfId="0" applyFill="1" applyAlignment="1" applyProtection="1">
      <alignment horizontal="left" vertical="center" wrapText="1"/>
    </xf>
    <xf numFmtId="0" fontId="11" fillId="0" borderId="13" xfId="0" applyFont="1" applyFill="1" applyBorder="1" applyAlignment="1" applyProtection="1">
      <alignment horizontal="left" vertical="center"/>
    </xf>
    <xf numFmtId="0" fontId="11" fillId="0" borderId="33" xfId="0" applyFont="1" applyFill="1" applyBorder="1" applyAlignment="1" applyProtection="1">
      <alignment vertical="center" wrapText="1"/>
    </xf>
    <xf numFmtId="0" fontId="44" fillId="0" borderId="0" xfId="0" applyFont="1" applyAlignment="1" applyProtection="1">
      <alignment horizontal="right" vertical="top"/>
      <protection locked="0"/>
    </xf>
    <xf numFmtId="16" fontId="0" fillId="0" borderId="0" xfId="0" applyNumberFormat="1" applyFill="1" applyAlignment="1">
      <alignment vertical="center" wrapText="1"/>
    </xf>
    <xf numFmtId="165" fontId="28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165" fontId="28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0" fontId="28" fillId="0" borderId="2" xfId="23" applyFont="1" applyFill="1" applyBorder="1" applyAlignment="1" applyProtection="1">
      <alignment horizontal="left" vertical="center" indent="1"/>
    </xf>
    <xf numFmtId="0" fontId="28" fillId="0" borderId="3" xfId="23" applyFont="1" applyFill="1" applyBorder="1" applyAlignment="1" applyProtection="1">
      <alignment horizontal="left" vertical="center" wrapText="1" indent="1"/>
    </xf>
    <xf numFmtId="0" fontId="28" fillId="0" borderId="2" xfId="23" applyFont="1" applyFill="1" applyBorder="1" applyAlignment="1" applyProtection="1">
      <alignment horizontal="left" vertical="center" wrapText="1" indent="1"/>
    </xf>
    <xf numFmtId="0" fontId="15" fillId="0" borderId="14" xfId="23" applyFont="1" applyFill="1" applyBorder="1" applyAlignment="1" applyProtection="1">
      <alignment horizontal="left" indent="1"/>
    </xf>
    <xf numFmtId="0" fontId="33" fillId="0" borderId="14" xfId="0" applyFont="1" applyBorder="1" applyAlignment="1" applyProtection="1">
      <alignment horizontal="left" vertical="center" wrapText="1" indent="1"/>
    </xf>
    <xf numFmtId="0" fontId="32" fillId="0" borderId="2" xfId="0" applyFont="1" applyBorder="1" applyAlignment="1" applyProtection="1">
      <alignment horizontal="left" vertical="center" wrapText="1" indent="1"/>
    </xf>
    <xf numFmtId="0" fontId="32" fillId="0" borderId="6" xfId="0" applyFont="1" applyBorder="1" applyAlignment="1" applyProtection="1">
      <alignment horizontal="left" vertical="center" wrapText="1" indent="1"/>
    </xf>
    <xf numFmtId="0" fontId="33" fillId="0" borderId="39" xfId="0" applyFont="1" applyBorder="1" applyAlignment="1" applyProtection="1">
      <alignment horizontal="left" vertical="center" wrapText="1" indent="1"/>
    </xf>
    <xf numFmtId="165" fontId="26" fillId="0" borderId="28" xfId="21" applyNumberFormat="1" applyFont="1" applyFill="1" applyBorder="1" applyAlignment="1" applyProtection="1">
      <alignment horizontal="right" vertical="center" wrapText="1" indent="1"/>
    </xf>
    <xf numFmtId="165" fontId="26" fillId="0" borderId="19" xfId="21" applyNumberFormat="1" applyFont="1" applyFill="1" applyBorder="1" applyAlignment="1" applyProtection="1">
      <alignment horizontal="right" vertical="center" wrapText="1" indent="1"/>
    </xf>
    <xf numFmtId="165" fontId="28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165" fontId="28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165" fontId="28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165" fontId="35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165" fontId="34" fillId="0" borderId="19" xfId="21" applyNumberFormat="1" applyFont="1" applyFill="1" applyBorder="1" applyAlignment="1" applyProtection="1">
      <alignment horizontal="right" vertical="center" wrapText="1" indent="1"/>
    </xf>
    <xf numFmtId="165" fontId="14" fillId="0" borderId="0" xfId="21" applyNumberFormat="1" applyFont="1" applyFill="1" applyBorder="1" applyAlignment="1" applyProtection="1">
      <alignment horizontal="right" vertical="center" wrapText="1" indent="1"/>
    </xf>
    <xf numFmtId="165" fontId="28" fillId="0" borderId="22" xfId="21" applyNumberFormat="1" applyFont="1" applyFill="1" applyBorder="1" applyAlignment="1" applyProtection="1">
      <alignment horizontal="right" vertical="center" wrapText="1" indent="1"/>
      <protection locked="0"/>
    </xf>
    <xf numFmtId="165" fontId="33" fillId="0" borderId="19" xfId="0" applyNumberFormat="1" applyFont="1" applyBorder="1" applyAlignment="1" applyProtection="1">
      <alignment horizontal="right" vertical="center" wrapText="1" indent="1"/>
    </xf>
    <xf numFmtId="0" fontId="13" fillId="0" borderId="24" xfId="0" applyFont="1" applyFill="1" applyBorder="1" applyAlignment="1" applyProtection="1">
      <alignment horizontal="right" vertical="center"/>
    </xf>
    <xf numFmtId="165" fontId="34" fillId="0" borderId="14" xfId="0" applyNumberFormat="1" applyFont="1" applyFill="1" applyBorder="1" applyAlignment="1" applyProtection="1">
      <alignment horizontal="right" vertical="center" wrapText="1" indent="1"/>
    </xf>
    <xf numFmtId="165" fontId="35" fillId="0" borderId="1" xfId="0" applyNumberFormat="1" applyFont="1" applyFill="1" applyBorder="1" applyAlignment="1" applyProtection="1">
      <alignment horizontal="right" vertical="center" wrapText="1" indent="1"/>
      <protection locked="0"/>
    </xf>
    <xf numFmtId="165" fontId="28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28" fillId="0" borderId="23" xfId="0" applyNumberFormat="1" applyFont="1" applyFill="1" applyBorder="1" applyAlignment="1" applyProtection="1">
      <alignment horizontal="right" vertical="center" wrapText="1" indent="1"/>
      <protection locked="0"/>
    </xf>
    <xf numFmtId="165" fontId="34" fillId="0" borderId="19" xfId="0" applyNumberFormat="1" applyFont="1" applyFill="1" applyBorder="1" applyAlignment="1" applyProtection="1">
      <alignment horizontal="right" vertical="center" wrapText="1" indent="1"/>
    </xf>
    <xf numFmtId="165" fontId="35" fillId="0" borderId="40" xfId="0" applyNumberFormat="1" applyFont="1" applyFill="1" applyBorder="1" applyAlignment="1" applyProtection="1">
      <alignment horizontal="right" vertical="center" wrapText="1" indent="1"/>
      <protection locked="0"/>
    </xf>
    <xf numFmtId="165" fontId="11" fillId="0" borderId="0" xfId="0" applyNumberFormat="1" applyFont="1" applyFill="1" applyAlignment="1" applyProtection="1">
      <alignment horizontal="center" vertical="center" wrapText="1"/>
    </xf>
    <xf numFmtId="165" fontId="34" fillId="0" borderId="27" xfId="0" applyNumberFormat="1" applyFont="1" applyFill="1" applyBorder="1" applyAlignment="1" applyProtection="1">
      <alignment horizontal="center" vertical="center" wrapText="1"/>
    </xf>
    <xf numFmtId="165" fontId="34" fillId="0" borderId="13" xfId="0" applyNumberFormat="1" applyFont="1" applyFill="1" applyBorder="1" applyAlignment="1" applyProtection="1">
      <alignment horizontal="center" vertical="center" wrapText="1"/>
    </xf>
    <xf numFmtId="165" fontId="34" fillId="0" borderId="14" xfId="0" applyNumberFormat="1" applyFont="1" applyFill="1" applyBorder="1" applyAlignment="1" applyProtection="1">
      <alignment horizontal="center" vertical="center" wrapText="1"/>
    </xf>
    <xf numFmtId="165" fontId="34" fillId="0" borderId="19" xfId="0" applyNumberFormat="1" applyFont="1" applyFill="1" applyBorder="1" applyAlignment="1" applyProtection="1">
      <alignment horizontal="center" vertical="center" wrapText="1"/>
    </xf>
    <xf numFmtId="165" fontId="34" fillId="0" borderId="0" xfId="0" applyNumberFormat="1" applyFont="1" applyFill="1" applyAlignment="1" applyProtection="1">
      <alignment horizontal="center" vertical="center" wrapText="1"/>
    </xf>
    <xf numFmtId="165" fontId="0" fillId="0" borderId="41" xfId="0" applyNumberFormat="1" applyFill="1" applyBorder="1" applyAlignment="1" applyProtection="1">
      <alignment horizontal="left" vertical="center" wrapText="1" indent="1"/>
    </xf>
    <xf numFmtId="165" fontId="28" fillId="0" borderId="9" xfId="0" applyNumberFormat="1" applyFont="1" applyFill="1" applyBorder="1" applyAlignment="1" applyProtection="1">
      <alignment horizontal="left" vertical="center" wrapText="1" indent="1"/>
    </xf>
    <xf numFmtId="165" fontId="0" fillId="0" borderId="42" xfId="0" applyNumberFormat="1" applyFill="1" applyBorder="1" applyAlignment="1" applyProtection="1">
      <alignment horizontal="left" vertical="center" wrapText="1" indent="1"/>
    </xf>
    <xf numFmtId="165" fontId="28" fillId="0" borderId="8" xfId="0" applyNumberFormat="1" applyFont="1" applyFill="1" applyBorder="1" applyAlignment="1" applyProtection="1">
      <alignment horizontal="left" vertical="center" wrapText="1" indent="1"/>
    </xf>
    <xf numFmtId="165" fontId="37" fillId="0" borderId="27" xfId="0" applyNumberFormat="1" applyFont="1" applyFill="1" applyBorder="1" applyAlignment="1" applyProtection="1">
      <alignment horizontal="left" vertical="center" wrapText="1" indent="1"/>
    </xf>
    <xf numFmtId="165" fontId="35" fillId="0" borderId="7" xfId="0" applyNumberFormat="1" applyFont="1" applyFill="1" applyBorder="1" applyAlignment="1" applyProtection="1">
      <alignment horizontal="left" vertical="center" wrapText="1" indent="1"/>
    </xf>
    <xf numFmtId="165" fontId="35" fillId="0" borderId="8" xfId="0" applyNumberFormat="1" applyFont="1" applyFill="1" applyBorder="1" applyAlignment="1" applyProtection="1">
      <alignment horizontal="left" vertical="center" wrapText="1" indent="1"/>
    </xf>
    <xf numFmtId="165" fontId="39" fillId="0" borderId="2" xfId="0" applyNumberFormat="1" applyFont="1" applyFill="1" applyBorder="1" applyAlignment="1" applyProtection="1">
      <alignment horizontal="right" vertical="center" wrapText="1" indent="1"/>
    </xf>
    <xf numFmtId="165" fontId="37" fillId="0" borderId="13" xfId="0" applyNumberFormat="1" applyFont="1" applyFill="1" applyBorder="1" applyAlignment="1" applyProtection="1">
      <alignment horizontal="left" vertical="center" wrapText="1" indent="1"/>
    </xf>
    <xf numFmtId="165" fontId="37" fillId="0" borderId="44" xfId="0" applyNumberFormat="1" applyFont="1" applyFill="1" applyBorder="1" applyAlignment="1" applyProtection="1">
      <alignment horizontal="right" vertical="center" wrapText="1" indent="1"/>
    </xf>
    <xf numFmtId="165" fontId="34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165" fontId="35" fillId="0" borderId="9" xfId="0" applyNumberFormat="1" applyFont="1" applyFill="1" applyBorder="1" applyAlignment="1" applyProtection="1">
      <alignment horizontal="left" vertical="center" wrapText="1" indent="1"/>
      <protection locked="0"/>
    </xf>
    <xf numFmtId="165" fontId="39" fillId="0" borderId="7" xfId="0" applyNumberFormat="1" applyFont="1" applyFill="1" applyBorder="1" applyAlignment="1" applyProtection="1">
      <alignment horizontal="left" vertical="center" wrapText="1" indent="1"/>
    </xf>
    <xf numFmtId="165" fontId="35" fillId="0" borderId="8" xfId="0" applyNumberFormat="1" applyFont="1" applyFill="1" applyBorder="1" applyAlignment="1" applyProtection="1">
      <alignment horizontal="left" vertical="center" wrapText="1" indent="2"/>
    </xf>
    <xf numFmtId="165" fontId="35" fillId="0" borderId="2" xfId="0" applyNumberFormat="1" applyFont="1" applyFill="1" applyBorder="1" applyAlignment="1" applyProtection="1">
      <alignment horizontal="left" vertical="center" wrapText="1" indent="2"/>
    </xf>
    <xf numFmtId="165" fontId="39" fillId="0" borderId="2" xfId="0" applyNumberFormat="1" applyFont="1" applyFill="1" applyBorder="1" applyAlignment="1" applyProtection="1">
      <alignment horizontal="left" vertical="center" wrapText="1" indent="1"/>
    </xf>
    <xf numFmtId="165" fontId="35" fillId="0" borderId="9" xfId="0" applyNumberFormat="1" applyFont="1" applyFill="1" applyBorder="1" applyAlignment="1" applyProtection="1">
      <alignment horizontal="left" vertical="center" wrapText="1" indent="1"/>
    </xf>
    <xf numFmtId="165" fontId="28" fillId="0" borderId="9" xfId="0" applyNumberFormat="1" applyFont="1" applyFill="1" applyBorder="1" applyAlignment="1" applyProtection="1">
      <alignment horizontal="left" vertical="center" wrapText="1" indent="2"/>
    </xf>
    <xf numFmtId="165" fontId="28" fillId="0" borderId="10" xfId="0" applyNumberFormat="1" applyFont="1" applyFill="1" applyBorder="1" applyAlignment="1" applyProtection="1">
      <alignment horizontal="left" vertical="center" wrapText="1" indent="2"/>
    </xf>
    <xf numFmtId="165" fontId="39" fillId="0" borderId="3" xfId="0" applyNumberFormat="1" applyFont="1" applyFill="1" applyBorder="1" applyAlignment="1" applyProtection="1">
      <alignment horizontal="right" vertical="center" wrapText="1" indent="1"/>
    </xf>
    <xf numFmtId="0" fontId="15" fillId="0" borderId="4" xfId="0" applyFont="1" applyFill="1" applyBorder="1" applyAlignment="1" applyProtection="1">
      <alignment horizontal="center" vertical="center"/>
    </xf>
    <xf numFmtId="0" fontId="15" fillId="0" borderId="21" xfId="0" applyFont="1" applyFill="1" applyBorder="1" applyAlignment="1" applyProtection="1">
      <alignment horizontal="center" vertical="center"/>
    </xf>
    <xf numFmtId="0" fontId="15" fillId="0" borderId="28" xfId="0" applyFont="1" applyFill="1" applyBorder="1" applyAlignment="1" applyProtection="1">
      <alignment horizontal="right" vertical="center" wrapText="1" indent="1"/>
    </xf>
    <xf numFmtId="165" fontId="15" fillId="0" borderId="32" xfId="0" applyNumberFormat="1" applyFont="1" applyFill="1" applyBorder="1" applyAlignment="1" applyProtection="1">
      <alignment horizontal="right" vertical="center" wrapText="1" indent="1"/>
    </xf>
    <xf numFmtId="165" fontId="28" fillId="0" borderId="17" xfId="0" applyNumberFormat="1" applyFont="1" applyFill="1" applyBorder="1" applyAlignment="1" applyProtection="1">
      <alignment horizontal="right" vertical="center" wrapText="1" indent="1"/>
      <protection locked="0"/>
    </xf>
    <xf numFmtId="165" fontId="28" fillId="0" borderId="40" xfId="0" applyNumberFormat="1" applyFont="1" applyFill="1" applyBorder="1" applyAlignment="1" applyProtection="1">
      <alignment horizontal="right" vertical="center" wrapText="1" indent="1"/>
      <protection locked="0"/>
    </xf>
    <xf numFmtId="165" fontId="34" fillId="0" borderId="44" xfId="0" applyNumberFormat="1" applyFont="1" applyFill="1" applyBorder="1" applyAlignment="1" applyProtection="1">
      <alignment horizontal="right" vertical="center" wrapText="1" indent="1"/>
      <protection locked="0"/>
    </xf>
    <xf numFmtId="165" fontId="26" fillId="0" borderId="0" xfId="0" applyNumberFormat="1" applyFont="1" applyFill="1" applyBorder="1" applyAlignment="1" applyProtection="1">
      <alignment horizontal="right" vertical="center" wrapText="1" indent="1"/>
    </xf>
    <xf numFmtId="0" fontId="28" fillId="0" borderId="0" xfId="0" applyFont="1" applyFill="1" applyAlignment="1" applyProtection="1">
      <alignment horizontal="right" vertical="center" wrapText="1" indent="1"/>
    </xf>
    <xf numFmtId="165" fontId="26" fillId="0" borderId="44" xfId="0" applyNumberFormat="1" applyFont="1" applyFill="1" applyBorder="1" applyAlignment="1" applyProtection="1">
      <alignment horizontal="right" vertical="center" wrapText="1" indent="1"/>
    </xf>
    <xf numFmtId="165" fontId="26" fillId="0" borderId="19" xfId="0" applyNumberFormat="1" applyFont="1" applyFill="1" applyBorder="1" applyAlignment="1" applyProtection="1">
      <alignment horizontal="right" vertical="center" wrapText="1" indent="1"/>
    </xf>
    <xf numFmtId="0" fontId="0" fillId="0" borderId="0" xfId="0" applyFill="1" applyAlignment="1" applyProtection="1">
      <alignment horizontal="right" vertical="center" wrapText="1" indent="1"/>
    </xf>
    <xf numFmtId="49" fontId="15" fillId="0" borderId="17" xfId="0" applyNumberFormat="1" applyFont="1" applyFill="1" applyBorder="1" applyAlignment="1" applyProtection="1">
      <alignment horizontal="right" vertical="center"/>
    </xf>
    <xf numFmtId="49" fontId="15" fillId="0" borderId="45" xfId="0" applyNumberFormat="1" applyFont="1" applyFill="1" applyBorder="1" applyAlignment="1" applyProtection="1">
      <alignment horizontal="right" vertical="center"/>
    </xf>
    <xf numFmtId="0" fontId="17" fillId="0" borderId="0" xfId="0" applyFont="1" applyFill="1" applyAlignment="1" applyProtection="1">
      <alignment vertical="center" wrapText="1"/>
    </xf>
    <xf numFmtId="0" fontId="31" fillId="0" borderId="25" xfId="0" applyFont="1" applyBorder="1" applyAlignment="1" applyProtection="1">
      <alignment horizontal="left" vertical="center" wrapText="1" indent="1"/>
    </xf>
    <xf numFmtId="0" fontId="19" fillId="0" borderId="0" xfId="21" applyFont="1" applyFill="1" applyProtection="1"/>
    <xf numFmtId="0" fontId="19" fillId="0" borderId="0" xfId="21" applyFont="1" applyFill="1" applyAlignment="1" applyProtection="1">
      <alignment horizontal="right" vertical="center" indent="1"/>
    </xf>
    <xf numFmtId="165" fontId="0" fillId="0" borderId="38" xfId="0" applyNumberFormat="1" applyFill="1" applyBorder="1" applyAlignment="1" applyProtection="1">
      <alignment horizontal="left" vertical="center" wrapText="1" indent="1"/>
    </xf>
    <xf numFmtId="165" fontId="35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0" fontId="15" fillId="0" borderId="46" xfId="0" applyFont="1" applyFill="1" applyBorder="1" applyAlignment="1" applyProtection="1">
      <alignment horizontal="center" vertical="center" wrapText="1"/>
    </xf>
    <xf numFmtId="0" fontId="15" fillId="0" borderId="34" xfId="0" applyFont="1" applyFill="1" applyBorder="1" applyAlignment="1" applyProtection="1">
      <alignment horizontal="center" vertical="center" wrapText="1"/>
    </xf>
    <xf numFmtId="0" fontId="26" fillId="0" borderId="15" xfId="21" applyFont="1" applyFill="1" applyBorder="1" applyAlignment="1" applyProtection="1">
      <alignment horizontal="center" vertical="center" wrapText="1"/>
    </xf>
    <xf numFmtId="0" fontId="26" fillId="0" borderId="16" xfId="21" applyFont="1" applyFill="1" applyBorder="1" applyAlignment="1" applyProtection="1">
      <alignment horizontal="center" vertical="center" wrapText="1"/>
    </xf>
    <xf numFmtId="0" fontId="26" fillId="0" borderId="28" xfId="21" applyFont="1" applyFill="1" applyBorder="1" applyAlignment="1" applyProtection="1">
      <alignment horizontal="center" vertical="center" wrapText="1"/>
    </xf>
    <xf numFmtId="165" fontId="28" fillId="0" borderId="20" xfId="21" applyNumberFormat="1" applyFont="1" applyFill="1" applyBorder="1" applyAlignment="1" applyProtection="1">
      <alignment horizontal="right" vertical="center" wrapText="1" indent="1"/>
    </xf>
    <xf numFmtId="0" fontId="28" fillId="0" borderId="3" xfId="21" applyFont="1" applyFill="1" applyBorder="1" applyAlignment="1" applyProtection="1">
      <alignment horizontal="left" vertical="center" wrapText="1" indent="6"/>
    </xf>
    <xf numFmtId="0" fontId="19" fillId="0" borderId="0" xfId="21" applyFill="1" applyProtection="1"/>
    <xf numFmtId="0" fontId="28" fillId="0" borderId="0" xfId="21" applyFont="1" applyFill="1" applyProtection="1"/>
    <xf numFmtId="0" fontId="22" fillId="0" borderId="0" xfId="21" applyFont="1" applyFill="1" applyProtection="1"/>
    <xf numFmtId="0" fontId="32" fillId="0" borderId="3" xfId="0" applyFont="1" applyBorder="1" applyAlignment="1" applyProtection="1">
      <alignment horizontal="left" wrapText="1" indent="1"/>
    </xf>
    <xf numFmtId="0" fontId="32" fillId="0" borderId="2" xfId="0" applyFont="1" applyBorder="1" applyAlignment="1" applyProtection="1">
      <alignment horizontal="left" wrapText="1" indent="1"/>
    </xf>
    <xf numFmtId="0" fontId="32" fillId="0" borderId="6" xfId="0" applyFont="1" applyBorder="1" applyAlignment="1" applyProtection="1">
      <alignment horizontal="left" wrapText="1" indent="1"/>
    </xf>
    <xf numFmtId="0" fontId="32" fillId="0" borderId="6" xfId="0" applyFont="1" applyBorder="1" applyAlignment="1" applyProtection="1">
      <alignment wrapText="1"/>
    </xf>
    <xf numFmtId="0" fontId="32" fillId="0" borderId="9" xfId="0" applyFont="1" applyBorder="1" applyAlignment="1" applyProtection="1">
      <alignment wrapText="1"/>
    </xf>
    <xf numFmtId="0" fontId="32" fillId="0" borderId="8" xfId="0" applyFont="1" applyBorder="1" applyAlignment="1" applyProtection="1">
      <alignment wrapText="1"/>
    </xf>
    <xf numFmtId="0" fontId="32" fillId="0" borderId="10" xfId="0" applyFont="1" applyBorder="1" applyAlignment="1" applyProtection="1">
      <alignment wrapText="1"/>
    </xf>
    <xf numFmtId="0" fontId="33" fillId="0" borderId="14" xfId="0" applyFont="1" applyBorder="1" applyAlignment="1" applyProtection="1">
      <alignment wrapText="1"/>
    </xf>
    <xf numFmtId="0" fontId="33" fillId="0" borderId="25" xfId="0" applyFont="1" applyBorder="1" applyAlignment="1" applyProtection="1">
      <alignment wrapText="1"/>
    </xf>
    <xf numFmtId="0" fontId="19" fillId="0" borderId="0" xfId="21" applyFill="1" applyAlignment="1" applyProtection="1"/>
    <xf numFmtId="165" fontId="31" fillId="0" borderId="19" xfId="0" quotePrefix="1" applyNumberFormat="1" applyFont="1" applyBorder="1" applyAlignment="1" applyProtection="1">
      <alignment horizontal="right" vertical="center" wrapText="1" indent="1"/>
    </xf>
    <xf numFmtId="0" fontId="30" fillId="0" borderId="0" xfId="21" applyFont="1" applyFill="1" applyProtection="1"/>
    <xf numFmtId="165" fontId="35" fillId="0" borderId="0" xfId="0" applyNumberFormat="1" applyFont="1" applyFill="1" applyBorder="1" applyAlignment="1" applyProtection="1">
      <alignment horizontal="left" vertical="center" wrapText="1" indent="1"/>
      <protection locked="0"/>
    </xf>
    <xf numFmtId="165" fontId="28" fillId="0" borderId="7" xfId="0" applyNumberFormat="1" applyFont="1" applyFill="1" applyBorder="1" applyAlignment="1" applyProtection="1">
      <alignment horizontal="left" vertical="center" wrapText="1" indent="1"/>
      <protection locked="0"/>
    </xf>
    <xf numFmtId="49" fontId="28" fillId="0" borderId="9" xfId="21" applyNumberFormat="1" applyFont="1" applyFill="1" applyBorder="1" applyAlignment="1" applyProtection="1">
      <alignment horizontal="center" vertical="center" wrapText="1"/>
    </xf>
    <xf numFmtId="49" fontId="28" fillId="0" borderId="8" xfId="21" applyNumberFormat="1" applyFont="1" applyFill="1" applyBorder="1" applyAlignment="1" applyProtection="1">
      <alignment horizontal="center" vertical="center" wrapText="1"/>
    </xf>
    <xf numFmtId="49" fontId="28" fillId="0" borderId="10" xfId="21" applyNumberFormat="1" applyFont="1" applyFill="1" applyBorder="1" applyAlignment="1" applyProtection="1">
      <alignment horizontal="center" vertical="center" wrapText="1"/>
    </xf>
    <xf numFmtId="0" fontId="33" fillId="0" borderId="13" xfId="0" applyFont="1" applyBorder="1" applyAlignment="1" applyProtection="1">
      <alignment horizontal="center" wrapText="1"/>
    </xf>
    <xf numFmtId="0" fontId="32" fillId="0" borderId="9" xfId="0" applyFont="1" applyBorder="1" applyAlignment="1" applyProtection="1">
      <alignment horizontal="center" wrapText="1"/>
    </xf>
    <xf numFmtId="0" fontId="32" fillId="0" borderId="8" xfId="0" applyFont="1" applyBorder="1" applyAlignment="1" applyProtection="1">
      <alignment horizontal="center" wrapText="1"/>
    </xf>
    <xf numFmtId="0" fontId="32" fillId="0" borderId="10" xfId="0" applyFont="1" applyBorder="1" applyAlignment="1" applyProtection="1">
      <alignment horizontal="center" wrapText="1"/>
    </xf>
    <xf numFmtId="0" fontId="33" fillId="0" borderId="39" xfId="0" applyFont="1" applyBorder="1" applyAlignment="1" applyProtection="1">
      <alignment horizontal="center" wrapText="1"/>
    </xf>
    <xf numFmtId="49" fontId="28" fillId="0" borderId="11" xfId="21" applyNumberFormat="1" applyFont="1" applyFill="1" applyBorder="1" applyAlignment="1" applyProtection="1">
      <alignment horizontal="center" vertical="center" wrapText="1"/>
    </xf>
    <xf numFmtId="49" fontId="28" fillId="0" borderId="7" xfId="21" applyNumberFormat="1" applyFont="1" applyFill="1" applyBorder="1" applyAlignment="1" applyProtection="1">
      <alignment horizontal="center" vertical="center" wrapText="1"/>
    </xf>
    <xf numFmtId="49" fontId="28" fillId="0" borderId="12" xfId="21" applyNumberFormat="1" applyFont="1" applyFill="1" applyBorder="1" applyAlignment="1" applyProtection="1">
      <alignment horizontal="center" vertical="center" wrapText="1"/>
    </xf>
    <xf numFmtId="0" fontId="33" fillId="0" borderId="39" xfId="0" applyFont="1" applyBorder="1" applyAlignment="1" applyProtection="1">
      <alignment horizontal="center" vertical="center" wrapText="1"/>
    </xf>
    <xf numFmtId="0" fontId="15" fillId="0" borderId="29" xfId="0" applyFont="1" applyFill="1" applyBorder="1" applyAlignment="1" applyProtection="1">
      <alignment horizontal="center" vertical="center" wrapText="1"/>
    </xf>
    <xf numFmtId="49" fontId="35" fillId="0" borderId="11" xfId="0" applyNumberFormat="1" applyFont="1" applyFill="1" applyBorder="1" applyAlignment="1" applyProtection="1">
      <alignment horizontal="center" vertical="center" wrapText="1"/>
    </xf>
    <xf numFmtId="49" fontId="35" fillId="0" borderId="8" xfId="0" applyNumberFormat="1" applyFont="1" applyFill="1" applyBorder="1" applyAlignment="1" applyProtection="1">
      <alignment horizontal="center" vertical="center" wrapText="1"/>
    </xf>
    <xf numFmtId="49" fontId="35" fillId="0" borderId="9" xfId="0" applyNumberFormat="1" applyFont="1" applyFill="1" applyBorder="1" applyAlignment="1" applyProtection="1">
      <alignment horizontal="center" vertical="center" wrapText="1"/>
    </xf>
    <xf numFmtId="0" fontId="35" fillId="0" borderId="3" xfId="21" applyFont="1" applyFill="1" applyBorder="1" applyAlignment="1" applyProtection="1">
      <alignment horizontal="left" vertical="center" wrapText="1" indent="1"/>
    </xf>
    <xf numFmtId="0" fontId="35" fillId="0" borderId="2" xfId="21" applyFont="1" applyFill="1" applyBorder="1" applyAlignment="1" applyProtection="1">
      <alignment horizontal="left" vertical="center" wrapText="1" indent="1"/>
    </xf>
    <xf numFmtId="0" fontId="44" fillId="0" borderId="0" xfId="0" applyFont="1" applyAlignment="1" applyProtection="1">
      <alignment horizontal="right" vertical="top"/>
    </xf>
    <xf numFmtId="0" fontId="14" fillId="0" borderId="0" xfId="0" applyFont="1" applyFill="1" applyAlignment="1" applyProtection="1">
      <alignment vertical="center"/>
    </xf>
    <xf numFmtId="0" fontId="11" fillId="0" borderId="0" xfId="0" applyFont="1" applyFill="1" applyAlignment="1" applyProtection="1">
      <alignment vertical="center"/>
    </xf>
    <xf numFmtId="0" fontId="14" fillId="0" borderId="0" xfId="0" applyFont="1" applyFill="1" applyAlignment="1" applyProtection="1">
      <alignment horizontal="center" vertical="center" wrapText="1"/>
    </xf>
    <xf numFmtId="0" fontId="9" fillId="0" borderId="0" xfId="0" applyFont="1" applyFill="1" applyAlignment="1" applyProtection="1">
      <alignment vertical="center" wrapText="1"/>
    </xf>
    <xf numFmtId="0" fontId="16" fillId="0" borderId="0" xfId="0" applyFont="1" applyFill="1" applyAlignment="1" applyProtection="1">
      <alignment vertical="center" wrapText="1"/>
    </xf>
    <xf numFmtId="165" fontId="35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165" fontId="26" fillId="0" borderId="19" xfId="21" applyNumberFormat="1" applyFont="1" applyFill="1" applyBorder="1" applyAlignment="1" applyProtection="1">
      <alignment horizontal="right" vertical="center" wrapText="1" indent="1"/>
      <protection locked="0"/>
    </xf>
    <xf numFmtId="0" fontId="28" fillId="0" borderId="1" xfId="23" applyFont="1" applyFill="1" applyBorder="1" applyAlignment="1" applyProtection="1">
      <alignment horizontal="left" vertical="center" wrapText="1" indent="1"/>
    </xf>
    <xf numFmtId="165" fontId="39" fillId="0" borderId="1" xfId="0" applyNumberFormat="1" applyFont="1" applyFill="1" applyBorder="1" applyAlignment="1" applyProtection="1">
      <alignment horizontal="right" vertical="center" wrapText="1" indent="1"/>
    </xf>
    <xf numFmtId="165" fontId="40" fillId="0" borderId="0" xfId="0" applyNumberFormat="1" applyFont="1" applyFill="1" applyAlignment="1">
      <alignment vertical="center" wrapText="1"/>
    </xf>
    <xf numFmtId="165" fontId="13" fillId="0" borderId="0" xfId="0" applyNumberFormat="1" applyFont="1" applyFill="1" applyAlignment="1">
      <alignment horizontal="right"/>
    </xf>
    <xf numFmtId="165" fontId="12" fillId="0" borderId="0" xfId="0" applyNumberFormat="1" applyFont="1" applyFill="1" applyAlignment="1">
      <alignment vertical="center"/>
    </xf>
    <xf numFmtId="165" fontId="12" fillId="0" borderId="0" xfId="0" applyNumberFormat="1" applyFont="1" applyFill="1" applyAlignment="1">
      <alignment horizontal="center" vertical="center"/>
    </xf>
    <xf numFmtId="165" fontId="12" fillId="0" borderId="0" xfId="0" applyNumberFormat="1" applyFont="1" applyFill="1" applyAlignment="1">
      <alignment horizontal="center" vertical="center" wrapText="1"/>
    </xf>
    <xf numFmtId="165" fontId="0" fillId="0" borderId="0" xfId="0" applyNumberFormat="1" applyFill="1" applyAlignment="1" applyProtection="1">
      <alignment vertical="center" wrapText="1"/>
      <protection locked="0"/>
    </xf>
    <xf numFmtId="165" fontId="37" fillId="0" borderId="0" xfId="0" applyNumberFormat="1" applyFont="1" applyFill="1" applyAlignment="1">
      <alignment vertical="center" wrapText="1"/>
    </xf>
    <xf numFmtId="165" fontId="30" fillId="0" borderId="0" xfId="0" applyNumberFormat="1" applyFont="1" applyFill="1" applyAlignment="1">
      <alignment vertical="center" wrapText="1"/>
    </xf>
    <xf numFmtId="165" fontId="37" fillId="0" borderId="0" xfId="0" applyNumberFormat="1" applyFont="1" applyFill="1" applyAlignment="1">
      <alignment horizontal="left" vertical="center" wrapText="1"/>
    </xf>
    <xf numFmtId="0" fontId="22" fillId="0" borderId="0" xfId="18" applyFont="1"/>
    <xf numFmtId="0" fontId="55" fillId="0" borderId="0" xfId="18" applyFont="1" applyAlignment="1">
      <alignment horizontal="centerContinuous"/>
    </xf>
    <xf numFmtId="0" fontId="49" fillId="0" borderId="0" xfId="18" applyFont="1"/>
    <xf numFmtId="0" fontId="35" fillId="0" borderId="3" xfId="0" applyFont="1" applyBorder="1" applyAlignment="1" applyProtection="1">
      <alignment horizontal="left" vertical="center" indent="1"/>
      <protection locked="0"/>
    </xf>
    <xf numFmtId="0" fontId="35" fillId="0" borderId="1" xfId="0" applyFont="1" applyBorder="1" applyAlignment="1" applyProtection="1">
      <alignment horizontal="left" vertical="center" indent="1"/>
      <protection locked="0"/>
    </xf>
    <xf numFmtId="165" fontId="35" fillId="0" borderId="2" xfId="23" applyNumberFormat="1" applyFont="1" applyFill="1" applyBorder="1" applyAlignment="1" applyProtection="1">
      <alignment vertical="center"/>
      <protection locked="0"/>
    </xf>
    <xf numFmtId="165" fontId="35" fillId="0" borderId="3" xfId="23" applyNumberFormat="1" applyFont="1" applyFill="1" applyBorder="1" applyAlignment="1" applyProtection="1">
      <alignment vertical="center"/>
      <protection locked="0"/>
    </xf>
    <xf numFmtId="0" fontId="32" fillId="0" borderId="2" xfId="0" quotePrefix="1" applyFont="1" applyBorder="1" applyAlignment="1" applyProtection="1">
      <alignment horizontal="left" wrapText="1" indent="1"/>
    </xf>
    <xf numFmtId="0" fontId="26" fillId="0" borderId="13" xfId="21" applyFont="1" applyFill="1" applyBorder="1" applyAlignment="1" applyProtection="1">
      <alignment horizontal="left" vertical="center" wrapText="1"/>
    </xf>
    <xf numFmtId="0" fontId="33" fillId="0" borderId="13" xfId="0" applyFont="1" applyBorder="1" applyAlignment="1" applyProtection="1">
      <alignment vertical="center" wrapText="1"/>
    </xf>
    <xf numFmtId="0" fontId="32" fillId="0" borderId="6" xfId="0" applyFont="1" applyBorder="1" applyAlignment="1" applyProtection="1">
      <alignment vertical="center" wrapText="1"/>
    </xf>
    <xf numFmtId="0" fontId="33" fillId="0" borderId="39" xfId="0" applyFont="1" applyBorder="1" applyAlignment="1" applyProtection="1">
      <alignment vertical="center" wrapText="1"/>
    </xf>
    <xf numFmtId="0" fontId="28" fillId="0" borderId="21" xfId="21" applyFont="1" applyFill="1" applyBorder="1" applyAlignment="1" applyProtection="1">
      <alignment horizontal="left" vertical="center" wrapText="1" indent="7"/>
    </xf>
    <xf numFmtId="0" fontId="26" fillId="0" borderId="39" xfId="21" applyFont="1" applyFill="1" applyBorder="1" applyAlignment="1" applyProtection="1">
      <alignment horizontal="left" vertical="center" wrapText="1" indent="1"/>
    </xf>
    <xf numFmtId="0" fontId="26" fillId="0" borderId="25" xfId="21" applyFont="1" applyFill="1" applyBorder="1" applyAlignment="1" applyProtection="1">
      <alignment vertical="center" wrapText="1"/>
    </xf>
    <xf numFmtId="165" fontId="26" fillId="0" borderId="26" xfId="21" applyNumberFormat="1" applyFont="1" applyFill="1" applyBorder="1" applyAlignment="1" applyProtection="1">
      <alignment horizontal="right" vertical="center" wrapText="1" indent="1"/>
    </xf>
    <xf numFmtId="165" fontId="33" fillId="0" borderId="19" xfId="0" applyNumberFormat="1" applyFont="1" applyBorder="1" applyAlignment="1" applyProtection="1">
      <alignment horizontal="right" vertical="center" wrapText="1" indent="1"/>
      <protection locked="0"/>
    </xf>
    <xf numFmtId="165" fontId="35" fillId="0" borderId="8" xfId="0" quotePrefix="1" applyNumberFormat="1" applyFont="1" applyFill="1" applyBorder="1" applyAlignment="1" applyProtection="1">
      <alignment horizontal="left" vertical="center" wrapText="1" indent="6"/>
      <protection locked="0"/>
    </xf>
    <xf numFmtId="165" fontId="28" fillId="0" borderId="8" xfId="0" quotePrefix="1" applyNumberFormat="1" applyFont="1" applyFill="1" applyBorder="1" applyAlignment="1" applyProtection="1">
      <alignment horizontal="left" vertical="center" wrapText="1" indent="3"/>
      <protection locked="0"/>
    </xf>
    <xf numFmtId="49" fontId="34" fillId="0" borderId="13" xfId="21" applyNumberFormat="1" applyFont="1" applyFill="1" applyBorder="1" applyAlignment="1" applyProtection="1">
      <alignment horizontal="center" vertical="center" wrapText="1"/>
    </xf>
    <xf numFmtId="166" fontId="49" fillId="0" borderId="0" xfId="18" applyNumberFormat="1" applyFont="1"/>
    <xf numFmtId="165" fontId="35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165" fontId="35" fillId="0" borderId="19" xfId="21" applyNumberFormat="1" applyFont="1" applyFill="1" applyBorder="1" applyAlignment="1" applyProtection="1">
      <alignment horizontal="right" vertical="center" wrapText="1" indent="1"/>
    </xf>
    <xf numFmtId="165" fontId="35" fillId="0" borderId="1" xfId="23" applyNumberFormat="1" applyFont="1" applyFill="1" applyBorder="1" applyAlignment="1" applyProtection="1">
      <alignment vertical="center"/>
      <protection locked="0"/>
    </xf>
    <xf numFmtId="165" fontId="35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0" fontId="60" fillId="0" borderId="0" xfId="0" applyFont="1" applyFill="1" applyAlignment="1">
      <alignment vertical="center" wrapText="1"/>
    </xf>
    <xf numFmtId="165" fontId="35" fillId="0" borderId="17" xfId="21" applyNumberFormat="1" applyFont="1" applyFill="1" applyBorder="1" applyAlignment="1" applyProtection="1">
      <alignment horizontal="right" vertical="center" wrapText="1" indent="1"/>
      <protection locked="0"/>
    </xf>
    <xf numFmtId="165" fontId="35" fillId="0" borderId="49" xfId="0" applyNumberFormat="1" applyFont="1" applyFill="1" applyBorder="1" applyAlignment="1" applyProtection="1">
      <alignment horizontal="right" vertical="center" wrapText="1" indent="1"/>
      <protection locked="0"/>
    </xf>
    <xf numFmtId="0" fontId="61" fillId="0" borderId="0" xfId="0" applyFont="1" applyFill="1" applyAlignment="1" applyProtection="1">
      <alignment vertical="center" wrapText="1"/>
    </xf>
    <xf numFmtId="165" fontId="34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165" fontId="35" fillId="0" borderId="22" xfId="21" applyNumberFormat="1" applyFont="1" applyFill="1" applyBorder="1" applyAlignment="1" applyProtection="1">
      <alignment horizontal="right" vertical="center" wrapText="1" indent="1"/>
      <protection locked="0"/>
    </xf>
    <xf numFmtId="0" fontId="28" fillId="0" borderId="0" xfId="21" applyFont="1" applyFill="1"/>
    <xf numFmtId="165" fontId="26" fillId="0" borderId="44" xfId="21" applyNumberFormat="1" applyFont="1" applyFill="1" applyBorder="1" applyAlignment="1" applyProtection="1">
      <alignment horizontal="right" vertical="center" wrapText="1" indent="1"/>
    </xf>
    <xf numFmtId="0" fontId="22" fillId="0" borderId="0" xfId="21" applyFont="1" applyFill="1"/>
    <xf numFmtId="165" fontId="28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165" fontId="34" fillId="0" borderId="44" xfId="21" applyNumberFormat="1" applyFont="1" applyFill="1" applyBorder="1" applyAlignment="1" applyProtection="1">
      <alignment horizontal="right" vertical="center" wrapText="1" indent="1"/>
    </xf>
    <xf numFmtId="165" fontId="35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165" fontId="26" fillId="0" borderId="44" xfId="21" applyNumberFormat="1" applyFont="1" applyFill="1" applyBorder="1" applyAlignment="1" applyProtection="1">
      <alignment horizontal="right" vertical="center" wrapText="1" indent="1"/>
      <protection locked="0"/>
    </xf>
    <xf numFmtId="0" fontId="14" fillId="0" borderId="51" xfId="21" applyFont="1" applyFill="1" applyBorder="1" applyAlignment="1" applyProtection="1">
      <alignment horizontal="center" vertical="center" wrapText="1"/>
    </xf>
    <xf numFmtId="0" fontId="14" fillId="0" borderId="51" xfId="21" applyFont="1" applyFill="1" applyBorder="1" applyAlignment="1" applyProtection="1">
      <alignment vertical="center" wrapText="1"/>
    </xf>
    <xf numFmtId="165" fontId="26" fillId="0" borderId="52" xfId="21" applyNumberFormat="1" applyFont="1" applyFill="1" applyBorder="1" applyAlignment="1" applyProtection="1">
      <alignment horizontal="right" vertical="center" wrapText="1" indent="1"/>
    </xf>
    <xf numFmtId="165" fontId="28" fillId="0" borderId="53" xfId="21" applyNumberFormat="1" applyFont="1" applyFill="1" applyBorder="1" applyAlignment="1" applyProtection="1">
      <alignment horizontal="right" vertical="center" wrapText="1" indent="1"/>
      <protection locked="0"/>
    </xf>
    <xf numFmtId="165" fontId="33" fillId="0" borderId="44" xfId="0" applyNumberFormat="1" applyFont="1" applyBorder="1" applyAlignment="1" applyProtection="1">
      <alignment horizontal="right" vertical="center" wrapText="1" indent="1"/>
    </xf>
    <xf numFmtId="165" fontId="31" fillId="0" borderId="44" xfId="0" quotePrefix="1" applyNumberFormat="1" applyFont="1" applyBorder="1" applyAlignment="1" applyProtection="1">
      <alignment horizontal="right" vertical="center" wrapText="1" indent="1"/>
    </xf>
    <xf numFmtId="165" fontId="62" fillId="0" borderId="0" xfId="0" applyNumberFormat="1" applyFont="1" applyFill="1" applyAlignment="1">
      <alignment horizontal="center" vertical="center" wrapText="1"/>
    </xf>
    <xf numFmtId="165" fontId="26" fillId="0" borderId="27" xfId="21" applyNumberFormat="1" applyFont="1" applyFill="1" applyBorder="1" applyAlignment="1" applyProtection="1">
      <alignment horizontal="right" vertical="center" wrapText="1" indent="1"/>
    </xf>
    <xf numFmtId="0" fontId="32" fillId="0" borderId="64" xfId="0" applyFont="1" applyBorder="1" applyAlignment="1" applyProtection="1">
      <alignment horizontal="left" wrapText="1" indent="1"/>
    </xf>
    <xf numFmtId="0" fontId="32" fillId="0" borderId="49" xfId="0" applyFont="1" applyBorder="1" applyAlignment="1" applyProtection="1">
      <alignment horizontal="left" wrapText="1" indent="1"/>
    </xf>
    <xf numFmtId="0" fontId="32" fillId="0" borderId="65" xfId="0" applyFont="1" applyBorder="1" applyAlignment="1" applyProtection="1">
      <alignment horizontal="left" wrapText="1" indent="1"/>
    </xf>
    <xf numFmtId="165" fontId="28" fillId="0" borderId="50" xfId="21" applyNumberFormat="1" applyFont="1" applyFill="1" applyBorder="1" applyAlignment="1" applyProtection="1">
      <alignment horizontal="right" vertical="center" wrapText="1" indent="1"/>
    </xf>
    <xf numFmtId="165" fontId="35" fillId="0" borderId="57" xfId="21" applyNumberFormat="1" applyFont="1" applyFill="1" applyBorder="1" applyAlignment="1" applyProtection="1">
      <alignment horizontal="right" vertical="center" wrapText="1" indent="1"/>
      <protection locked="0"/>
    </xf>
    <xf numFmtId="165" fontId="35" fillId="0" borderId="53" xfId="21" applyNumberFormat="1" applyFont="1" applyFill="1" applyBorder="1" applyAlignment="1" applyProtection="1">
      <alignment horizontal="right" vertical="center" wrapText="1" indent="1"/>
      <protection locked="0"/>
    </xf>
    <xf numFmtId="165" fontId="35" fillId="0" borderId="8" xfId="0" applyNumberFormat="1" applyFont="1" applyFill="1" applyBorder="1" applyAlignment="1" applyProtection="1">
      <alignment horizontal="left" vertical="center" wrapText="1" indent="1"/>
      <protection locked="0"/>
    </xf>
    <xf numFmtId="165" fontId="35" fillId="0" borderId="66" xfId="0" applyNumberFormat="1" applyFont="1" applyFill="1" applyBorder="1" applyAlignment="1" applyProtection="1">
      <alignment horizontal="right" vertical="center" wrapText="1" indent="1"/>
      <protection locked="0"/>
    </xf>
    <xf numFmtId="165" fontId="35" fillId="0" borderId="20" xfId="21" applyNumberFormat="1" applyFont="1" applyFill="1" applyBorder="1" applyAlignment="1" applyProtection="1">
      <alignment horizontal="right" vertical="center" wrapText="1" indent="1"/>
    </xf>
    <xf numFmtId="165" fontId="35" fillId="0" borderId="18" xfId="21" applyNumberFormat="1" applyFont="1" applyFill="1" applyBorder="1" applyAlignment="1" applyProtection="1">
      <alignment horizontal="right" vertical="center" wrapText="1" indent="1"/>
    </xf>
    <xf numFmtId="0" fontId="26" fillId="0" borderId="68" xfId="21" applyFont="1" applyFill="1" applyBorder="1" applyAlignment="1" applyProtection="1">
      <alignment horizontal="center" vertical="center" wrapText="1"/>
    </xf>
    <xf numFmtId="165" fontId="36" fillId="0" borderId="44" xfId="0" applyNumberFormat="1" applyFont="1" applyFill="1" applyBorder="1" applyAlignment="1" applyProtection="1">
      <alignment horizontal="right" vertical="center" wrapText="1" indent="1"/>
    </xf>
    <xf numFmtId="165" fontId="28" fillId="0" borderId="18" xfId="21" applyNumberFormat="1" applyFont="1" applyFill="1" applyBorder="1" applyAlignment="1" applyProtection="1">
      <alignment horizontal="right" vertical="center" wrapText="1" indent="1"/>
    </xf>
    <xf numFmtId="165" fontId="28" fillId="0" borderId="23" xfId="21" applyNumberFormat="1" applyFont="1" applyFill="1" applyBorder="1" applyAlignment="1" applyProtection="1">
      <alignment horizontal="right" vertical="center" wrapText="1" indent="1"/>
    </xf>
    <xf numFmtId="165" fontId="28" fillId="0" borderId="19" xfId="21" applyNumberFormat="1" applyFont="1" applyFill="1" applyBorder="1" applyAlignment="1" applyProtection="1">
      <alignment horizontal="right" vertical="center" wrapText="1" indent="1"/>
    </xf>
    <xf numFmtId="0" fontId="10" fillId="0" borderId="0" xfId="21" applyFont="1" applyFill="1" applyAlignment="1" applyProtection="1">
      <alignment horizontal="right" vertical="center" indent="1"/>
    </xf>
    <xf numFmtId="165" fontId="19" fillId="0" borderId="0" xfId="21" applyNumberFormat="1" applyFill="1" applyProtection="1"/>
    <xf numFmtId="0" fontId="22" fillId="0" borderId="0" xfId="25" applyFont="1"/>
    <xf numFmtId="0" fontId="51" fillId="0" borderId="0" xfId="25" applyFont="1" applyAlignment="1">
      <alignment horizontal="centerContinuous"/>
    </xf>
    <xf numFmtId="0" fontId="49" fillId="0" borderId="0" xfId="25" applyFont="1"/>
    <xf numFmtId="0" fontId="10" fillId="0" borderId="0" xfId="20" applyFont="1"/>
    <xf numFmtId="0" fontId="16" fillId="0" borderId="0" xfId="20" applyFont="1" applyAlignment="1">
      <alignment horizontal="center"/>
    </xf>
    <xf numFmtId="0" fontId="28" fillId="0" borderId="0" xfId="19" applyFont="1"/>
    <xf numFmtId="0" fontId="64" fillId="0" borderId="0" xfId="19" applyFont="1"/>
    <xf numFmtId="0" fontId="22" fillId="0" borderId="0" xfId="19" applyFont="1"/>
    <xf numFmtId="0" fontId="35" fillId="0" borderId="0" xfId="19" applyFont="1"/>
    <xf numFmtId="0" fontId="27" fillId="0" borderId="0" xfId="19" applyFont="1" applyAlignment="1">
      <alignment horizontal="right"/>
    </xf>
    <xf numFmtId="0" fontId="28" fillId="0" borderId="0" xfId="19" applyFont="1" applyAlignment="1">
      <alignment horizontal="centerContinuous"/>
    </xf>
    <xf numFmtId="0" fontId="22" fillId="0" borderId="0" xfId="19" applyFont="1" applyAlignment="1">
      <alignment horizontal="centerContinuous"/>
    </xf>
    <xf numFmtId="0" fontId="56" fillId="0" borderId="0" xfId="19" applyFont="1" applyAlignment="1">
      <alignment horizontal="centerContinuous"/>
    </xf>
    <xf numFmtId="0" fontId="50" fillId="0" borderId="0" xfId="19" applyFont="1"/>
    <xf numFmtId="0" fontId="57" fillId="0" borderId="0" xfId="19" quotePrefix="1" applyFont="1" applyBorder="1"/>
    <xf numFmtId="3" fontId="27" fillId="0" borderId="0" xfId="19" applyNumberFormat="1" applyFont="1" applyBorder="1"/>
    <xf numFmtId="3" fontId="25" fillId="0" borderId="0" xfId="19" applyNumberFormat="1" applyFont="1" applyFill="1" applyBorder="1"/>
    <xf numFmtId="3" fontId="57" fillId="0" borderId="0" xfId="19" applyNumberFormat="1" applyFont="1" applyFill="1" applyBorder="1"/>
    <xf numFmtId="3" fontId="57" fillId="0" borderId="0" xfId="19" applyNumberFormat="1" applyFont="1" applyBorder="1"/>
    <xf numFmtId="3" fontId="58" fillId="0" borderId="0" xfId="19" applyNumberFormat="1" applyFont="1" applyBorder="1"/>
    <xf numFmtId="165" fontId="60" fillId="0" borderId="0" xfId="0" applyNumberFormat="1" applyFont="1" applyFill="1" applyAlignment="1">
      <alignment vertical="center" wrapText="1"/>
    </xf>
    <xf numFmtId="0" fontId="0" fillId="0" borderId="0" xfId="0" applyFont="1" applyFill="1" applyAlignment="1" applyProtection="1">
      <alignment horizontal="right" vertical="center" wrapText="1" indent="1"/>
    </xf>
    <xf numFmtId="0" fontId="0" fillId="0" borderId="0" xfId="0" applyFont="1" applyFill="1" applyAlignment="1" applyProtection="1">
      <alignment vertical="center" wrapText="1"/>
    </xf>
    <xf numFmtId="0" fontId="52" fillId="0" borderId="0" xfId="0" applyFont="1" applyFill="1" applyAlignment="1" applyProtection="1">
      <alignment vertical="center" wrapText="1"/>
    </xf>
    <xf numFmtId="0" fontId="36" fillId="0" borderId="15" xfId="23" applyFont="1" applyFill="1" applyBorder="1" applyAlignment="1" applyProtection="1">
      <alignment horizontal="center" vertical="center" wrapText="1"/>
      <protection locked="0"/>
    </xf>
    <xf numFmtId="0" fontId="36" fillId="0" borderId="16" xfId="23" applyFont="1" applyFill="1" applyBorder="1" applyAlignment="1" applyProtection="1">
      <alignment horizontal="center" vertical="center"/>
      <protection locked="0"/>
    </xf>
    <xf numFmtId="0" fontId="36" fillId="0" borderId="28" xfId="23" applyFont="1" applyFill="1" applyBorder="1" applyAlignment="1" applyProtection="1">
      <alignment horizontal="center" vertical="center"/>
      <protection locked="0"/>
    </xf>
    <xf numFmtId="165" fontId="28" fillId="0" borderId="28" xfId="21" applyNumberFormat="1" applyFont="1" applyFill="1" applyBorder="1" applyAlignment="1" applyProtection="1">
      <alignment horizontal="right" vertical="center" wrapText="1" indent="1"/>
    </xf>
    <xf numFmtId="0" fontId="75" fillId="0" borderId="0" xfId="0" applyFont="1" applyAlignment="1" applyProtection="1">
      <alignment horizontal="right" vertical="top"/>
    </xf>
    <xf numFmtId="49" fontId="76" fillId="0" borderId="17" xfId="0" applyNumberFormat="1" applyFont="1" applyFill="1" applyBorder="1" applyAlignment="1" applyProtection="1">
      <alignment horizontal="right" vertical="center"/>
    </xf>
    <xf numFmtId="49" fontId="76" fillId="0" borderId="45" xfId="0" applyNumberFormat="1" applyFont="1" applyFill="1" applyBorder="1" applyAlignment="1" applyProtection="1">
      <alignment horizontal="right" vertical="center"/>
    </xf>
    <xf numFmtId="0" fontId="77" fillId="0" borderId="0" xfId="0" applyFont="1" applyFill="1" applyAlignment="1" applyProtection="1">
      <alignment horizontal="right"/>
    </xf>
    <xf numFmtId="0" fontId="76" fillId="0" borderId="28" xfId="0" applyFont="1" applyFill="1" applyBorder="1" applyAlignment="1" applyProtection="1">
      <alignment horizontal="center" vertical="center" wrapText="1"/>
    </xf>
    <xf numFmtId="0" fontId="72" fillId="0" borderId="19" xfId="0" applyFont="1" applyFill="1" applyBorder="1" applyAlignment="1" applyProtection="1">
      <alignment horizontal="center" vertical="center" wrapText="1"/>
    </xf>
    <xf numFmtId="165" fontId="76" fillId="0" borderId="32" xfId="0" applyNumberFormat="1" applyFont="1" applyFill="1" applyBorder="1" applyAlignment="1" applyProtection="1">
      <alignment horizontal="center" vertical="center" wrapText="1"/>
    </xf>
    <xf numFmtId="0" fontId="69" fillId="0" borderId="0" xfId="0" applyFont="1" applyFill="1" applyAlignment="1" applyProtection="1">
      <alignment vertical="center" wrapText="1"/>
    </xf>
    <xf numFmtId="3" fontId="35" fillId="0" borderId="0" xfId="21" applyNumberFormat="1" applyFont="1" applyFill="1" applyProtection="1"/>
    <xf numFmtId="0" fontId="35" fillId="0" borderId="0" xfId="21" applyFont="1" applyFill="1" applyProtection="1"/>
    <xf numFmtId="3" fontId="34" fillId="0" borderId="27" xfId="21" applyNumberFormat="1" applyFont="1" applyFill="1" applyBorder="1" applyProtection="1"/>
    <xf numFmtId="3" fontId="35" fillId="0" borderId="20" xfId="21" applyNumberFormat="1" applyFont="1" applyFill="1" applyBorder="1" applyProtection="1"/>
    <xf numFmtId="3" fontId="35" fillId="0" borderId="18" xfId="21" applyNumberFormat="1" applyFont="1" applyFill="1" applyBorder="1" applyProtection="1"/>
    <xf numFmtId="3" fontId="35" fillId="0" borderId="23" xfId="21" applyNumberFormat="1" applyFont="1" applyFill="1" applyBorder="1" applyProtection="1"/>
    <xf numFmtId="165" fontId="8" fillId="0" borderId="0" xfId="0" applyNumberFormat="1" applyFont="1" applyFill="1" applyAlignment="1" applyProtection="1">
      <alignment vertical="center" wrapText="1"/>
    </xf>
    <xf numFmtId="3" fontId="26" fillId="0" borderId="0" xfId="0" applyNumberFormat="1" applyFont="1" applyFill="1" applyAlignment="1">
      <alignment horizontal="center" vertical="center" wrapText="1"/>
    </xf>
    <xf numFmtId="3" fontId="26" fillId="0" borderId="27" xfId="0" applyNumberFormat="1" applyFont="1" applyFill="1" applyBorder="1" applyAlignment="1">
      <alignment horizontal="right" vertical="center" wrapText="1"/>
    </xf>
    <xf numFmtId="3" fontId="28" fillId="0" borderId="20" xfId="0" applyNumberFormat="1" applyFont="1" applyFill="1" applyBorder="1" applyAlignment="1">
      <alignment horizontal="right" vertical="center" wrapText="1"/>
    </xf>
    <xf numFmtId="3" fontId="28" fillId="0" borderId="18" xfId="0" applyNumberFormat="1" applyFont="1" applyFill="1" applyBorder="1" applyAlignment="1">
      <alignment horizontal="right" vertical="center" wrapText="1"/>
    </xf>
    <xf numFmtId="3" fontId="28" fillId="0" borderId="23" xfId="0" applyNumberFormat="1" applyFont="1" applyFill="1" applyBorder="1" applyAlignment="1">
      <alignment horizontal="right" vertical="center" wrapText="1"/>
    </xf>
    <xf numFmtId="3" fontId="28" fillId="0" borderId="27" xfId="0" applyNumberFormat="1" applyFont="1" applyFill="1" applyBorder="1" applyAlignment="1">
      <alignment horizontal="right" vertical="center" wrapText="1"/>
    </xf>
    <xf numFmtId="0" fontId="8" fillId="0" borderId="0" xfId="0" applyFont="1" applyFill="1" applyAlignment="1" applyProtection="1">
      <alignment horizontal="left" vertical="center" wrapText="1"/>
    </xf>
    <xf numFmtId="0" fontId="8" fillId="0" borderId="0" xfId="0" applyFont="1" applyFill="1" applyAlignment="1" applyProtection="1">
      <alignment vertical="center" wrapText="1"/>
    </xf>
    <xf numFmtId="0" fontId="8" fillId="0" borderId="0" xfId="0" applyFont="1" applyFill="1" applyAlignment="1" applyProtection="1">
      <alignment horizontal="right" vertical="center" wrapText="1" indent="1"/>
    </xf>
    <xf numFmtId="3" fontId="26" fillId="0" borderId="0" xfId="0" applyNumberFormat="1" applyFont="1" applyFill="1" applyAlignment="1" applyProtection="1">
      <alignment horizontal="center" vertical="center" wrapText="1"/>
    </xf>
    <xf numFmtId="3" fontId="54" fillId="0" borderId="2" xfId="0" applyNumberFormat="1" applyFont="1" applyFill="1" applyBorder="1" applyAlignment="1" applyProtection="1">
      <alignment vertical="center" wrapText="1"/>
    </xf>
    <xf numFmtId="3" fontId="54" fillId="0" borderId="0" xfId="0" applyNumberFormat="1" applyFont="1" applyFill="1" applyAlignment="1" applyProtection="1">
      <alignment vertical="center" wrapText="1"/>
    </xf>
    <xf numFmtId="166" fontId="16" fillId="0" borderId="0" xfId="26" applyNumberFormat="1" applyFont="1" applyAlignment="1">
      <alignment horizontal="center"/>
    </xf>
    <xf numFmtId="166" fontId="22" fillId="0" borderId="0" xfId="26" applyNumberFormat="1" applyFont="1"/>
    <xf numFmtId="166" fontId="10" fillId="0" borderId="0" xfId="26" applyNumberFormat="1" applyFont="1"/>
    <xf numFmtId="166" fontId="22" fillId="0" borderId="0" xfId="26" applyNumberFormat="1" applyFont="1" applyBorder="1" applyAlignment="1"/>
    <xf numFmtId="166" fontId="22" fillId="0" borderId="0" xfId="26" applyNumberFormat="1" applyFont="1" applyBorder="1"/>
    <xf numFmtId="3" fontId="35" fillId="0" borderId="0" xfId="23" applyNumberFormat="1" applyFont="1" applyFill="1" applyAlignment="1" applyProtection="1">
      <alignment vertical="center"/>
    </xf>
    <xf numFmtId="3" fontId="35" fillId="0" borderId="11" xfId="23" applyNumberFormat="1" applyFont="1" applyFill="1" applyBorder="1" applyAlignment="1" applyProtection="1">
      <alignment vertical="center"/>
    </xf>
    <xf numFmtId="3" fontId="35" fillId="0" borderId="17" xfId="23" applyNumberFormat="1" applyFont="1" applyFill="1" applyBorder="1" applyAlignment="1" applyProtection="1">
      <alignment vertical="center"/>
      <protection locked="0"/>
    </xf>
    <xf numFmtId="165" fontId="34" fillId="0" borderId="18" xfId="23" applyNumberFormat="1" applyFont="1" applyFill="1" applyBorder="1" applyAlignment="1" applyProtection="1">
      <alignment vertical="center"/>
    </xf>
    <xf numFmtId="3" fontId="35" fillId="0" borderId="8" xfId="23" applyNumberFormat="1" applyFont="1" applyFill="1" applyBorder="1" applyAlignment="1" applyProtection="1">
      <alignment vertical="center"/>
      <protection locked="0"/>
    </xf>
    <xf numFmtId="3" fontId="35" fillId="0" borderId="18" xfId="23" applyNumberFormat="1" applyFont="1" applyFill="1" applyBorder="1" applyAlignment="1" applyProtection="1">
      <alignment vertical="center"/>
      <protection locked="0"/>
    </xf>
    <xf numFmtId="3" fontId="35" fillId="0" borderId="10" xfId="23" applyNumberFormat="1" applyFont="1" applyFill="1" applyBorder="1" applyAlignment="1" applyProtection="1">
      <alignment vertical="center"/>
      <protection locked="0"/>
    </xf>
    <xf numFmtId="3" fontId="35" fillId="0" borderId="23" xfId="23" applyNumberFormat="1" applyFont="1" applyFill="1" applyBorder="1" applyAlignment="1" applyProtection="1">
      <alignment vertical="center"/>
      <protection locked="0"/>
    </xf>
    <xf numFmtId="3" fontId="35" fillId="0" borderId="27" xfId="23" applyNumberFormat="1" applyFont="1" applyFill="1" applyBorder="1" applyAlignment="1" applyProtection="1">
      <alignment vertical="center"/>
    </xf>
    <xf numFmtId="3" fontId="35" fillId="0" borderId="27" xfId="23" applyNumberFormat="1" applyFont="1" applyFill="1" applyBorder="1" applyAlignment="1" applyProtection="1">
      <alignment vertical="center"/>
      <protection locked="0"/>
    </xf>
    <xf numFmtId="3" fontId="35" fillId="0" borderId="0" xfId="23" applyNumberFormat="1" applyFont="1" applyFill="1" applyAlignment="1" applyProtection="1">
      <alignment vertical="center"/>
      <protection locked="0"/>
    </xf>
    <xf numFmtId="0" fontId="28" fillId="0" borderId="11" xfId="23" applyFont="1" applyFill="1" applyBorder="1" applyAlignment="1" applyProtection="1">
      <alignment horizontal="left" vertical="center" indent="1"/>
    </xf>
    <xf numFmtId="0" fontId="28" fillId="0" borderId="4" xfId="23" applyFont="1" applyFill="1" applyBorder="1" applyAlignment="1" applyProtection="1">
      <alignment horizontal="left" vertical="center" indent="1"/>
    </xf>
    <xf numFmtId="165" fontId="35" fillId="0" borderId="4" xfId="23" applyNumberFormat="1" applyFont="1" applyFill="1" applyBorder="1" applyAlignment="1" applyProtection="1">
      <alignment vertical="center"/>
      <protection locked="0"/>
    </xf>
    <xf numFmtId="3" fontId="32" fillId="0" borderId="0" xfId="25" applyNumberFormat="1" applyFont="1"/>
    <xf numFmtId="165" fontId="35" fillId="0" borderId="20" xfId="21" applyNumberFormat="1" applyFont="1" applyFill="1" applyBorder="1" applyAlignment="1" applyProtection="1">
      <alignment horizontal="center" vertical="center" wrapText="1"/>
    </xf>
    <xf numFmtId="165" fontId="34" fillId="0" borderId="20" xfId="21" applyNumberFormat="1" applyFont="1" applyFill="1" applyBorder="1" applyAlignment="1" applyProtection="1">
      <alignment horizontal="center" vertical="center" wrapText="1"/>
    </xf>
    <xf numFmtId="0" fontId="26" fillId="0" borderId="70" xfId="21" applyFont="1" applyFill="1" applyBorder="1" applyAlignment="1" applyProtection="1">
      <alignment vertical="center" wrapText="1"/>
    </xf>
    <xf numFmtId="0" fontId="34" fillId="0" borderId="68" xfId="21" applyFont="1" applyFill="1" applyBorder="1" applyAlignment="1" applyProtection="1">
      <alignment horizontal="left" vertical="center" wrapText="1" indent="1"/>
    </xf>
    <xf numFmtId="165" fontId="34" fillId="0" borderId="40" xfId="21" applyNumberFormat="1" applyFont="1" applyFill="1" applyBorder="1" applyAlignment="1" applyProtection="1">
      <alignment horizontal="center" vertical="center" wrapText="1"/>
    </xf>
    <xf numFmtId="165" fontId="34" fillId="0" borderId="27" xfId="21" applyNumberFormat="1" applyFont="1" applyFill="1" applyBorder="1" applyAlignment="1" applyProtection="1">
      <alignment horizontal="center" vertical="center" wrapText="1"/>
    </xf>
    <xf numFmtId="0" fontId="31" fillId="0" borderId="70" xfId="0" applyFont="1" applyBorder="1" applyAlignment="1" applyProtection="1">
      <alignment horizontal="left" vertical="center" wrapText="1" indent="1"/>
    </xf>
    <xf numFmtId="165" fontId="35" fillId="0" borderId="6" xfId="0" applyNumberFormat="1" applyFont="1" applyFill="1" applyBorder="1" applyAlignment="1" applyProtection="1">
      <alignment horizontal="right" vertical="center" wrapText="1" indent="1"/>
      <protection locked="0"/>
    </xf>
    <xf numFmtId="165" fontId="35" fillId="0" borderId="2" xfId="0" applyNumberFormat="1" applyFont="1" applyFill="1" applyBorder="1" applyAlignment="1" applyProtection="1">
      <alignment horizontal="right" vertical="center" wrapText="1" indent="1"/>
    </xf>
    <xf numFmtId="166" fontId="30" fillId="0" borderId="46" xfId="26" applyNumberFormat="1" applyFont="1" applyBorder="1"/>
    <xf numFmtId="166" fontId="30" fillId="0" borderId="29" xfId="26" applyNumberFormat="1" applyFont="1" applyBorder="1"/>
    <xf numFmtId="166" fontId="30" fillId="0" borderId="34" xfId="26" applyNumberFormat="1" applyFont="1" applyBorder="1"/>
    <xf numFmtId="166" fontId="37" fillId="0" borderId="44" xfId="26" applyNumberFormat="1" applyFont="1" applyBorder="1"/>
    <xf numFmtId="166" fontId="19" fillId="0" borderId="57" xfId="26" applyNumberFormat="1" applyFont="1" applyBorder="1"/>
    <xf numFmtId="0" fontId="26" fillId="0" borderId="68" xfId="21" applyFont="1" applyFill="1" applyBorder="1" applyAlignment="1" applyProtection="1">
      <alignment horizontal="left" vertical="center" wrapText="1" indent="1"/>
    </xf>
    <xf numFmtId="0" fontId="32" fillId="0" borderId="49" xfId="0" applyFont="1" applyBorder="1" applyAlignment="1" applyProtection="1">
      <alignment horizontal="left" vertical="center" wrapText="1" indent="1"/>
    </xf>
    <xf numFmtId="0" fontId="32" fillId="0" borderId="65" xfId="0" applyFont="1" applyBorder="1" applyAlignment="1" applyProtection="1">
      <alignment horizontal="left" vertical="center" wrapText="1" indent="1"/>
    </xf>
    <xf numFmtId="0" fontId="33" fillId="0" borderId="68" xfId="0" applyFont="1" applyBorder="1" applyAlignment="1" applyProtection="1">
      <alignment horizontal="left" vertical="center" wrapText="1" indent="1"/>
    </xf>
    <xf numFmtId="0" fontId="32" fillId="0" borderId="65" xfId="0" applyFont="1" applyBorder="1" applyAlignment="1" applyProtection="1">
      <alignment vertical="center" wrapText="1"/>
    </xf>
    <xf numFmtId="0" fontId="33" fillId="0" borderId="68" xfId="0" applyFont="1" applyBorder="1" applyAlignment="1" applyProtection="1">
      <alignment wrapText="1"/>
    </xf>
    <xf numFmtId="0" fontId="33" fillId="0" borderId="70" xfId="0" applyFont="1" applyBorder="1" applyAlignment="1" applyProtection="1">
      <alignment wrapText="1"/>
    </xf>
    <xf numFmtId="0" fontId="26" fillId="0" borderId="62" xfId="21" applyFont="1" applyFill="1" applyBorder="1" applyAlignment="1" applyProtection="1">
      <alignment vertical="center" wrapText="1"/>
    </xf>
    <xf numFmtId="0" fontId="28" fillId="0" borderId="69" xfId="21" applyFont="1" applyFill="1" applyBorder="1" applyAlignment="1" applyProtection="1">
      <alignment horizontal="left" vertical="center" wrapText="1" indent="1"/>
    </xf>
    <xf numFmtId="0" fontId="28" fillId="0" borderId="49" xfId="21" applyFont="1" applyFill="1" applyBorder="1" applyAlignment="1" applyProtection="1">
      <alignment horizontal="left" vertical="center" wrapText="1" indent="1"/>
    </xf>
    <xf numFmtId="0" fontId="28" fillId="0" borderId="65" xfId="21" applyFont="1" applyFill="1" applyBorder="1" applyAlignment="1" applyProtection="1">
      <alignment horizontal="left" vertical="center" wrapText="1" indent="1"/>
    </xf>
    <xf numFmtId="0" fontId="28" fillId="0" borderId="65" xfId="21" applyFont="1" applyFill="1" applyBorder="1" applyAlignment="1" applyProtection="1">
      <alignment horizontal="left" vertical="center" wrapText="1" indent="6"/>
    </xf>
    <xf numFmtId="0" fontId="28" fillId="0" borderId="72" xfId="21" applyFont="1" applyFill="1" applyBorder="1" applyAlignment="1" applyProtection="1">
      <alignment horizontal="left" vertical="center" wrapText="1" indent="1"/>
    </xf>
    <xf numFmtId="0" fontId="28" fillId="0" borderId="37" xfId="21" applyFont="1" applyFill="1" applyBorder="1" applyAlignment="1" applyProtection="1">
      <alignment horizontal="left" vertical="center" wrapText="1" indent="7"/>
    </xf>
    <xf numFmtId="0" fontId="28" fillId="0" borderId="64" xfId="21" applyFont="1" applyFill="1" applyBorder="1" applyAlignment="1" applyProtection="1">
      <alignment horizontal="left" vertical="center" wrapText="1" indent="1"/>
    </xf>
    <xf numFmtId="0" fontId="28" fillId="0" borderId="66" xfId="21" applyFont="1" applyFill="1" applyBorder="1" applyAlignment="1" applyProtection="1">
      <alignment horizontal="left" vertical="center" wrapText="1" indent="1"/>
    </xf>
    <xf numFmtId="0" fontId="28" fillId="0" borderId="64" xfId="21" applyFont="1" applyFill="1" applyBorder="1" applyAlignment="1" applyProtection="1">
      <alignment horizontal="left" vertical="center" wrapText="1" indent="6"/>
    </xf>
    <xf numFmtId="0" fontId="28" fillId="0" borderId="49" xfId="21" applyFont="1" applyFill="1" applyBorder="1" applyAlignment="1" applyProtection="1">
      <alignment horizontal="left" vertical="center" wrapText="1" indent="6"/>
    </xf>
    <xf numFmtId="0" fontId="15" fillId="0" borderId="68" xfId="21" applyFont="1" applyFill="1" applyBorder="1" applyAlignment="1" applyProtection="1">
      <alignment horizontal="center" vertical="center" wrapText="1"/>
    </xf>
    <xf numFmtId="14" fontId="19" fillId="0" borderId="0" xfId="0" applyNumberFormat="1" applyFont="1" applyFill="1" applyAlignment="1">
      <alignment horizontal="left" vertical="center" wrapText="1"/>
    </xf>
    <xf numFmtId="0" fontId="28" fillId="0" borderId="49" xfId="21" applyFont="1" applyFill="1" applyBorder="1" applyAlignment="1" applyProtection="1">
      <alignment horizontal="left" indent="6"/>
    </xf>
    <xf numFmtId="165" fontId="35" fillId="0" borderId="17" xfId="21" applyNumberFormat="1" applyFont="1" applyFill="1" applyBorder="1" applyAlignment="1" applyProtection="1">
      <alignment horizontal="right" vertical="center" wrapText="1" indent="1"/>
    </xf>
    <xf numFmtId="165" fontId="35" fillId="0" borderId="22" xfId="21" applyNumberFormat="1" applyFont="1" applyFill="1" applyBorder="1" applyAlignment="1" applyProtection="1">
      <alignment horizontal="right" vertical="center" wrapText="1" indent="1"/>
    </xf>
    <xf numFmtId="165" fontId="26" fillId="0" borderId="17" xfId="21" applyNumberFormat="1" applyFont="1" applyFill="1" applyBorder="1" applyAlignment="1" applyProtection="1">
      <alignment horizontal="right" vertical="center" wrapText="1" indent="1"/>
    </xf>
    <xf numFmtId="165" fontId="26" fillId="0" borderId="18" xfId="21" applyNumberFormat="1" applyFont="1" applyFill="1" applyBorder="1" applyAlignment="1" applyProtection="1">
      <alignment horizontal="right" vertical="center" wrapText="1" indent="1"/>
    </xf>
    <xf numFmtId="165" fontId="26" fillId="0" borderId="22" xfId="21" applyNumberFormat="1" applyFont="1" applyFill="1" applyBorder="1" applyAlignment="1" applyProtection="1">
      <alignment horizontal="right" vertical="center" wrapText="1" indent="1"/>
    </xf>
    <xf numFmtId="165" fontId="26" fillId="0" borderId="20" xfId="21" applyNumberFormat="1" applyFont="1" applyFill="1" applyBorder="1" applyAlignment="1" applyProtection="1">
      <alignment horizontal="right" vertical="center" wrapText="1" indent="1"/>
    </xf>
    <xf numFmtId="165" fontId="35" fillId="0" borderId="23" xfId="0" applyNumberFormat="1" applyFont="1" applyFill="1" applyBorder="1" applyAlignment="1" applyProtection="1">
      <alignment horizontal="right" vertical="center" wrapText="1" indent="1"/>
      <protection locked="0"/>
    </xf>
    <xf numFmtId="0" fontId="64" fillId="0" borderId="0" xfId="25" applyFont="1"/>
    <xf numFmtId="4" fontId="37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166" fontId="8" fillId="0" borderId="32" xfId="26" applyNumberFormat="1" applyFont="1" applyBorder="1" applyAlignment="1"/>
    <xf numFmtId="0" fontId="79" fillId="0" borderId="0" xfId="19" applyFont="1"/>
    <xf numFmtId="3" fontId="49" fillId="0" borderId="0" xfId="19" applyNumberFormat="1" applyFont="1"/>
    <xf numFmtId="0" fontId="49" fillId="0" borderId="0" xfId="20" applyFont="1"/>
    <xf numFmtId="0" fontId="49" fillId="0" borderId="0" xfId="20" applyFont="1" applyAlignment="1">
      <alignment vertical="center"/>
    </xf>
    <xf numFmtId="0" fontId="49" fillId="0" borderId="0" xfId="20" applyFont="1" applyFill="1" applyBorder="1"/>
    <xf numFmtId="0" fontId="49" fillId="0" borderId="0" xfId="20" applyFont="1" applyBorder="1"/>
    <xf numFmtId="165" fontId="34" fillId="0" borderId="19" xfId="23" applyNumberFormat="1" applyFont="1" applyFill="1" applyBorder="1" applyProtection="1"/>
    <xf numFmtId="0" fontId="19" fillId="0" borderId="0" xfId="23" applyFont="1" applyFill="1" applyProtection="1"/>
    <xf numFmtId="0" fontId="19" fillId="0" borderId="0" xfId="23" applyFont="1" applyFill="1" applyProtection="1">
      <protection locked="0"/>
    </xf>
    <xf numFmtId="3" fontId="35" fillId="0" borderId="11" xfId="23" applyNumberFormat="1" applyFont="1" applyFill="1" applyBorder="1" applyAlignment="1" applyProtection="1">
      <alignment vertical="center"/>
      <protection locked="0"/>
    </xf>
    <xf numFmtId="165" fontId="35" fillId="0" borderId="40" xfId="21" applyNumberFormat="1" applyFont="1" applyFill="1" applyBorder="1" applyAlignment="1" applyProtection="1">
      <alignment horizontal="center" vertical="center" wrapText="1"/>
    </xf>
    <xf numFmtId="165" fontId="69" fillId="0" borderId="0" xfId="0" applyNumberFormat="1" applyFont="1" applyFill="1" applyAlignment="1" applyProtection="1">
      <alignment vertical="center" wrapText="1"/>
    </xf>
    <xf numFmtId="165" fontId="76" fillId="0" borderId="13" xfId="0" applyNumberFormat="1" applyFont="1" applyFill="1" applyBorder="1" applyAlignment="1" applyProtection="1">
      <alignment horizontal="center" vertical="center" wrapText="1"/>
    </xf>
    <xf numFmtId="165" fontId="76" fillId="0" borderId="14" xfId="0" applyNumberFormat="1" applyFont="1" applyFill="1" applyBorder="1" applyAlignment="1" applyProtection="1">
      <alignment horizontal="center" vertical="center" wrapText="1"/>
    </xf>
    <xf numFmtId="165" fontId="76" fillId="0" borderId="19" xfId="0" applyNumberFormat="1" applyFont="1" applyFill="1" applyBorder="1" applyAlignment="1" applyProtection="1">
      <alignment horizontal="center" vertical="center" wrapText="1"/>
    </xf>
    <xf numFmtId="165" fontId="60" fillId="0" borderId="0" xfId="0" applyNumberFormat="1" applyFont="1" applyFill="1" applyAlignment="1">
      <alignment horizontal="center" vertical="center" wrapText="1"/>
    </xf>
    <xf numFmtId="165" fontId="72" fillId="0" borderId="13" xfId="0" applyNumberFormat="1" applyFont="1" applyFill="1" applyBorder="1" applyAlignment="1" applyProtection="1">
      <alignment horizontal="center" vertical="center" wrapText="1"/>
    </xf>
    <xf numFmtId="165" fontId="72" fillId="0" borderId="14" xfId="0" applyNumberFormat="1" applyFont="1" applyFill="1" applyBorder="1" applyAlignment="1" applyProtection="1">
      <alignment horizontal="center" vertical="center" wrapText="1"/>
    </xf>
    <xf numFmtId="165" fontId="72" fillId="0" borderId="19" xfId="0" applyNumberFormat="1" applyFont="1" applyFill="1" applyBorder="1" applyAlignment="1" applyProtection="1">
      <alignment horizontal="center" vertical="center" wrapText="1"/>
    </xf>
    <xf numFmtId="165" fontId="69" fillId="0" borderId="0" xfId="0" applyNumberFormat="1" applyFont="1" applyFill="1" applyAlignment="1">
      <alignment horizontal="center" vertical="center" wrapText="1"/>
    </xf>
    <xf numFmtId="0" fontId="83" fillId="0" borderId="0" xfId="0" applyFont="1" applyFill="1" applyBorder="1" applyAlignment="1" applyProtection="1"/>
    <xf numFmtId="0" fontId="35" fillId="0" borderId="15" xfId="21" applyFont="1" applyFill="1" applyBorder="1" applyAlignment="1" applyProtection="1">
      <alignment horizontal="center" vertical="center"/>
    </xf>
    <xf numFmtId="0" fontId="35" fillId="0" borderId="16" xfId="21" applyFont="1" applyFill="1" applyBorder="1" applyAlignment="1" applyProtection="1">
      <alignment horizontal="center" vertical="center"/>
    </xf>
    <xf numFmtId="0" fontId="35" fillId="0" borderId="28" xfId="21" applyFont="1" applyFill="1" applyBorder="1" applyAlignment="1" applyProtection="1">
      <alignment horizontal="center" vertical="center"/>
    </xf>
    <xf numFmtId="0" fontId="44" fillId="0" borderId="5" xfId="0" applyFont="1" applyBorder="1" applyAlignment="1">
      <alignment horizontal="justify" wrapText="1"/>
    </xf>
    <xf numFmtId="166" fontId="35" fillId="0" borderId="36" xfId="26" applyNumberFormat="1" applyFont="1" applyFill="1" applyBorder="1" applyProtection="1">
      <protection locked="0"/>
    </xf>
    <xf numFmtId="0" fontId="44" fillId="0" borderId="5" xfId="0" applyFont="1" applyBorder="1" applyAlignment="1">
      <alignment wrapText="1"/>
    </xf>
    <xf numFmtId="0" fontId="35" fillId="0" borderId="12" xfId="21" applyFont="1" applyFill="1" applyBorder="1" applyAlignment="1" applyProtection="1">
      <alignment horizontal="center" vertical="center"/>
    </xf>
    <xf numFmtId="0" fontId="44" fillId="0" borderId="54" xfId="0" applyFont="1" applyBorder="1" applyAlignment="1">
      <alignment wrapText="1"/>
    </xf>
    <xf numFmtId="166" fontId="35" fillId="0" borderId="53" xfId="26" applyNumberFormat="1" applyFont="1" applyFill="1" applyBorder="1" applyProtection="1">
      <protection locked="0"/>
    </xf>
    <xf numFmtId="166" fontId="34" fillId="0" borderId="26" xfId="26" applyNumberFormat="1" applyFont="1" applyFill="1" applyBorder="1" applyProtection="1"/>
    <xf numFmtId="3" fontId="65" fillId="0" borderId="2" xfId="0" applyNumberFormat="1" applyFont="1" applyFill="1" applyBorder="1" applyAlignment="1" applyProtection="1">
      <alignment vertical="center"/>
      <protection locked="0"/>
    </xf>
    <xf numFmtId="166" fontId="71" fillId="0" borderId="22" xfId="26" applyNumberFormat="1" applyFont="1" applyFill="1" applyBorder="1" applyAlignment="1" applyProtection="1">
      <alignment horizontal="right" vertical="center" wrapText="1" indent="1"/>
    </xf>
    <xf numFmtId="0" fontId="15" fillId="0" borderId="14" xfId="0" applyFont="1" applyFill="1" applyBorder="1" applyAlignment="1" applyProtection="1">
      <alignment horizontal="center" vertical="center" wrapText="1"/>
    </xf>
    <xf numFmtId="0" fontId="15" fillId="0" borderId="19" xfId="0" applyFont="1" applyFill="1" applyBorder="1" applyAlignment="1" applyProtection="1">
      <alignment horizontal="center" vertical="center" wrapText="1"/>
    </xf>
    <xf numFmtId="165" fontId="17" fillId="0" borderId="0" xfId="0" applyNumberFormat="1" applyFont="1" applyFill="1" applyAlignment="1">
      <alignment horizontal="center" vertical="center" wrapText="1"/>
    </xf>
    <xf numFmtId="165" fontId="13" fillId="0" borderId="0" xfId="0" applyNumberFormat="1" applyFont="1" applyFill="1" applyAlignment="1">
      <alignment horizontal="right" vertical="center"/>
    </xf>
    <xf numFmtId="0" fontId="15" fillId="0" borderId="13" xfId="0" applyFont="1" applyFill="1" applyBorder="1" applyAlignment="1">
      <alignment horizontal="center" vertical="center" wrapText="1"/>
    </xf>
    <xf numFmtId="0" fontId="26" fillId="0" borderId="13" xfId="0" applyFont="1" applyFill="1" applyBorder="1" applyAlignment="1">
      <alignment horizontal="center" vertical="center" wrapText="1"/>
    </xf>
    <xf numFmtId="0" fontId="35" fillId="0" borderId="11" xfId="0" applyFont="1" applyFill="1" applyBorder="1" applyAlignment="1">
      <alignment horizontal="center" vertical="center" wrapText="1"/>
    </xf>
    <xf numFmtId="0" fontId="32" fillId="0" borderId="55" xfId="0" applyFont="1" applyFill="1" applyBorder="1" applyAlignment="1" applyProtection="1">
      <alignment horizontal="left" vertical="center" wrapText="1" indent="1"/>
    </xf>
    <xf numFmtId="165" fontId="35" fillId="0" borderId="55" xfId="0" applyNumberFormat="1" applyFont="1" applyFill="1" applyBorder="1" applyAlignment="1" applyProtection="1">
      <alignment horizontal="right" vertical="center" wrapText="1" indent="1"/>
      <protection locked="0"/>
    </xf>
    <xf numFmtId="165" fontId="35" fillId="0" borderId="17" xfId="0" applyNumberFormat="1" applyFont="1" applyFill="1" applyBorder="1" applyAlignment="1" applyProtection="1">
      <alignment horizontal="right" vertical="center" wrapText="1" indent="1"/>
      <protection locked="0"/>
    </xf>
    <xf numFmtId="0" fontId="35" fillId="0" borderId="8" xfId="0" applyFont="1" applyFill="1" applyBorder="1" applyAlignment="1">
      <alignment horizontal="center" vertical="center" wrapText="1"/>
    </xf>
    <xf numFmtId="0" fontId="32" fillId="0" borderId="5" xfId="0" applyFont="1" applyFill="1" applyBorder="1" applyAlignment="1" applyProtection="1">
      <alignment horizontal="left" vertical="center" wrapText="1" indent="1"/>
    </xf>
    <xf numFmtId="165" fontId="35" fillId="0" borderId="5" xfId="0" applyNumberFormat="1" applyFont="1" applyFill="1" applyBorder="1" applyAlignment="1" applyProtection="1">
      <alignment horizontal="right" vertical="center" wrapText="1" indent="1"/>
      <protection locked="0"/>
    </xf>
    <xf numFmtId="165" fontId="34" fillId="0" borderId="5" xfId="0" applyNumberFormat="1" applyFont="1" applyFill="1" applyBorder="1" applyAlignment="1" applyProtection="1">
      <alignment horizontal="right" vertical="center" wrapText="1" indent="1"/>
      <protection locked="0"/>
    </xf>
    <xf numFmtId="165" fontId="34" fillId="0" borderId="36" xfId="0" applyNumberFormat="1" applyFont="1" applyFill="1" applyBorder="1" applyAlignment="1" applyProtection="1">
      <alignment horizontal="right" vertical="center" wrapText="1" indent="1"/>
      <protection locked="0"/>
    </xf>
    <xf numFmtId="0" fontId="32" fillId="0" borderId="5" xfId="0" applyFont="1" applyFill="1" applyBorder="1" applyAlignment="1" applyProtection="1">
      <alignment horizontal="left" vertical="center" wrapText="1" indent="8"/>
    </xf>
    <xf numFmtId="165" fontId="35" fillId="0" borderId="18" xfId="0" quotePrefix="1" applyNumberFormat="1" applyFont="1" applyFill="1" applyBorder="1" applyAlignment="1" applyProtection="1">
      <alignment horizontal="right" vertical="center" wrapText="1" indent="1"/>
      <protection locked="0"/>
    </xf>
    <xf numFmtId="0" fontId="35" fillId="0" borderId="3" xfId="0" applyFont="1" applyFill="1" applyBorder="1" applyAlignment="1" applyProtection="1">
      <alignment vertical="center" wrapText="1"/>
      <protection locked="0"/>
    </xf>
    <xf numFmtId="0" fontId="35" fillId="0" borderId="2" xfId="0" applyFont="1" applyFill="1" applyBorder="1" applyAlignment="1" applyProtection="1">
      <alignment vertical="center" wrapText="1"/>
      <protection locked="0"/>
    </xf>
    <xf numFmtId="0" fontId="35" fillId="0" borderId="10" xfId="0" applyFont="1" applyFill="1" applyBorder="1" applyAlignment="1">
      <alignment horizontal="center" vertical="center" wrapText="1"/>
    </xf>
    <xf numFmtId="0" fontId="35" fillId="0" borderId="21" xfId="0" applyFont="1" applyFill="1" applyBorder="1" applyAlignment="1" applyProtection="1">
      <alignment vertical="center" wrapText="1"/>
      <protection locked="0"/>
    </xf>
    <xf numFmtId="165" fontId="35" fillId="0" borderId="21" xfId="0" applyNumberFormat="1" applyFont="1" applyFill="1" applyBorder="1" applyAlignment="1" applyProtection="1">
      <alignment horizontal="right" vertical="center" wrapText="1" indent="1"/>
      <protection locked="0"/>
    </xf>
    <xf numFmtId="0" fontId="34" fillId="0" borderId="13" xfId="0" applyFont="1" applyFill="1" applyBorder="1" applyAlignment="1">
      <alignment horizontal="center" vertical="center" wrapText="1"/>
    </xf>
    <xf numFmtId="0" fontId="36" fillId="0" borderId="25" xfId="0" applyFont="1" applyFill="1" applyBorder="1" applyAlignment="1" applyProtection="1">
      <alignment vertical="center" wrapText="1"/>
    </xf>
    <xf numFmtId="165" fontId="34" fillId="0" borderId="25" xfId="0" applyNumberFormat="1" applyFont="1" applyFill="1" applyBorder="1" applyAlignment="1" applyProtection="1">
      <alignment vertical="center" wrapText="1"/>
    </xf>
    <xf numFmtId="165" fontId="34" fillId="0" borderId="26" xfId="0" applyNumberFormat="1" applyFont="1" applyFill="1" applyBorder="1" applyAlignment="1" applyProtection="1">
      <alignment vertical="center" wrapText="1"/>
    </xf>
    <xf numFmtId="0" fontId="15" fillId="0" borderId="27" xfId="21" applyFont="1" applyFill="1" applyBorder="1" applyAlignment="1" applyProtection="1">
      <alignment horizontal="center" vertical="center" wrapText="1"/>
    </xf>
    <xf numFmtId="0" fontId="26" fillId="0" borderId="27" xfId="21" applyFont="1" applyFill="1" applyBorder="1" applyAlignment="1" applyProtection="1">
      <alignment horizontal="center" vertical="center" wrapText="1"/>
    </xf>
    <xf numFmtId="165" fontId="26" fillId="0" borderId="27" xfId="21" applyNumberFormat="1" applyFont="1" applyFill="1" applyBorder="1" applyAlignment="1" applyProtection="1">
      <alignment horizontal="right" vertical="center" wrapText="1" indent="1"/>
      <protection locked="0"/>
    </xf>
    <xf numFmtId="165" fontId="34" fillId="0" borderId="27" xfId="21" applyNumberFormat="1" applyFont="1" applyFill="1" applyBorder="1" applyAlignment="1" applyProtection="1">
      <alignment horizontal="right" vertical="center" wrapText="1" indent="1"/>
    </xf>
    <xf numFmtId="165" fontId="28" fillId="0" borderId="41" xfId="21" applyNumberFormat="1" applyFont="1" applyFill="1" applyBorder="1" applyAlignment="1" applyProtection="1">
      <alignment horizontal="right" vertical="center" wrapText="1" indent="1"/>
    </xf>
    <xf numFmtId="165" fontId="28" fillId="0" borderId="42" xfId="21" applyNumberFormat="1" applyFont="1" applyFill="1" applyBorder="1" applyAlignment="1" applyProtection="1">
      <alignment horizontal="right" vertical="center" wrapText="1" indent="1"/>
      <protection locked="0"/>
    </xf>
    <xf numFmtId="165" fontId="35" fillId="0" borderId="42" xfId="21" applyNumberFormat="1" applyFont="1" applyFill="1" applyBorder="1" applyAlignment="1" applyProtection="1">
      <alignment horizontal="right" vertical="center" wrapText="1" indent="1"/>
      <protection locked="0"/>
    </xf>
    <xf numFmtId="165" fontId="35" fillId="0" borderId="56" xfId="21" applyNumberFormat="1" applyFont="1" applyFill="1" applyBorder="1" applyAlignment="1" applyProtection="1">
      <alignment horizontal="right" vertical="center" wrapText="1" indent="1"/>
      <protection locked="0"/>
    </xf>
    <xf numFmtId="165" fontId="14" fillId="0" borderId="51" xfId="21" applyNumberFormat="1" applyFont="1" applyFill="1" applyBorder="1" applyAlignment="1" applyProtection="1">
      <alignment horizontal="right" vertical="center" wrapText="1" indent="1"/>
    </xf>
    <xf numFmtId="0" fontId="28" fillId="0" borderId="51" xfId="21" applyFont="1" applyFill="1" applyBorder="1" applyAlignment="1" applyProtection="1">
      <alignment horizontal="right" vertical="center" wrapText="1" indent="1"/>
    </xf>
    <xf numFmtId="165" fontId="35" fillId="0" borderId="51" xfId="21" applyNumberFormat="1" applyFont="1" applyFill="1" applyBorder="1" applyAlignment="1" applyProtection="1">
      <alignment horizontal="right" vertical="center" wrapText="1" indent="1"/>
    </xf>
    <xf numFmtId="0" fontId="15" fillId="0" borderId="44" xfId="21" applyFont="1" applyFill="1" applyBorder="1" applyAlignment="1" applyProtection="1">
      <alignment horizontal="center" vertical="center" wrapText="1"/>
    </xf>
    <xf numFmtId="0" fontId="26" fillId="0" borderId="52" xfId="21" applyFont="1" applyFill="1" applyBorder="1" applyAlignment="1" applyProtection="1">
      <alignment horizontal="center" vertical="center" wrapText="1"/>
    </xf>
    <xf numFmtId="165" fontId="26" fillId="0" borderId="14" xfId="21" applyNumberFormat="1" applyFont="1" applyFill="1" applyBorder="1" applyAlignment="1" applyProtection="1">
      <alignment horizontal="right" vertical="center" wrapText="1" indent="1"/>
      <protection locked="0"/>
    </xf>
    <xf numFmtId="0" fontId="34" fillId="0" borderId="25" xfId="21" applyFont="1" applyFill="1" applyBorder="1" applyAlignment="1" applyProtection="1">
      <alignment vertical="center" wrapText="1"/>
    </xf>
    <xf numFmtId="165" fontId="34" fillId="0" borderId="25" xfId="21" applyNumberFormat="1" applyFont="1" applyFill="1" applyBorder="1" applyAlignment="1" applyProtection="1">
      <alignment horizontal="right" vertical="center" wrapText="1" indent="1"/>
    </xf>
    <xf numFmtId="165" fontId="28" fillId="0" borderId="3" xfId="21" applyNumberFormat="1" applyFont="1" applyFill="1" applyBorder="1" applyAlignment="1" applyProtection="1">
      <alignment horizontal="right" vertical="center" wrapText="1" indent="1"/>
      <protection locked="0"/>
    </xf>
    <xf numFmtId="165" fontId="28" fillId="0" borderId="2" xfId="21" applyNumberFormat="1" applyFont="1" applyFill="1" applyBorder="1" applyAlignment="1" applyProtection="1">
      <alignment horizontal="right" vertical="center" wrapText="1" indent="1"/>
      <protection locked="0"/>
    </xf>
    <xf numFmtId="165" fontId="26" fillId="0" borderId="14" xfId="21" applyNumberFormat="1" applyFont="1" applyFill="1" applyBorder="1" applyAlignment="1" applyProtection="1">
      <alignment horizontal="right" vertical="center" wrapText="1" indent="1"/>
    </xf>
    <xf numFmtId="165" fontId="31" fillId="0" borderId="14" xfId="0" quotePrefix="1" applyNumberFormat="1" applyFont="1" applyBorder="1" applyAlignment="1" applyProtection="1">
      <alignment horizontal="right" vertical="center" wrapText="1" indent="1"/>
    </xf>
    <xf numFmtId="3" fontId="34" fillId="0" borderId="0" xfId="0" applyNumberFormat="1" applyFont="1" applyFill="1" applyAlignment="1" applyProtection="1">
      <alignment vertical="center"/>
    </xf>
    <xf numFmtId="3" fontId="34" fillId="0" borderId="0" xfId="0" applyNumberFormat="1" applyFont="1" applyFill="1" applyAlignment="1" applyProtection="1">
      <alignment horizontal="center" vertical="center" wrapText="1"/>
    </xf>
    <xf numFmtId="3" fontId="39" fillId="0" borderId="0" xfId="0" applyNumberFormat="1" applyFont="1" applyFill="1" applyAlignment="1" applyProtection="1">
      <alignment vertical="center" wrapText="1"/>
    </xf>
    <xf numFmtId="165" fontId="35" fillId="0" borderId="3" xfId="0" applyNumberFormat="1" applyFont="1" applyFill="1" applyBorder="1" applyAlignment="1" applyProtection="1">
      <alignment horizontal="right" vertical="center" wrapText="1" indent="1"/>
      <protection locked="0"/>
    </xf>
    <xf numFmtId="165" fontId="10" fillId="0" borderId="0" xfId="0" applyNumberFormat="1" applyFont="1" applyFill="1" applyBorder="1" applyAlignment="1" applyProtection="1">
      <alignment vertical="center" wrapText="1"/>
    </xf>
    <xf numFmtId="0" fontId="14" fillId="0" borderId="0" xfId="0" applyFont="1" applyFill="1" applyBorder="1" applyAlignment="1" applyProtection="1">
      <alignment horizontal="center" vertical="center" wrapText="1"/>
    </xf>
    <xf numFmtId="3" fontId="54" fillId="0" borderId="49" xfId="0" applyNumberFormat="1" applyFont="1" applyFill="1" applyBorder="1" applyAlignment="1" applyProtection="1">
      <alignment vertical="center" wrapText="1"/>
    </xf>
    <xf numFmtId="0" fontId="17" fillId="0" borderId="0" xfId="0" applyFont="1" applyFill="1" applyBorder="1" applyAlignment="1" applyProtection="1">
      <alignment vertical="center" wrapText="1"/>
    </xf>
    <xf numFmtId="0" fontId="9" fillId="0" borderId="0" xfId="0" applyFont="1" applyFill="1" applyBorder="1" applyAlignment="1" applyProtection="1">
      <alignment vertical="center" wrapText="1"/>
    </xf>
    <xf numFmtId="0" fontId="16" fillId="0" borderId="0" xfId="0" applyFont="1" applyFill="1" applyBorder="1" applyAlignment="1" applyProtection="1">
      <alignment vertical="center" wrapText="1"/>
    </xf>
    <xf numFmtId="165" fontId="34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165" fontId="34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0" fontId="19" fillId="0" borderId="0" xfId="21" applyFont="1" applyFill="1" applyAlignment="1" applyProtection="1"/>
    <xf numFmtId="165" fontId="34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165" fontId="36" fillId="0" borderId="13" xfId="0" applyNumberFormat="1" applyFont="1" applyFill="1" applyBorder="1" applyAlignment="1" applyProtection="1">
      <alignment horizontal="centerContinuous" vertical="center" wrapText="1"/>
    </xf>
    <xf numFmtId="165" fontId="36" fillId="0" borderId="14" xfId="0" applyNumberFormat="1" applyFont="1" applyFill="1" applyBorder="1" applyAlignment="1" applyProtection="1">
      <alignment horizontal="centerContinuous" vertical="center" wrapText="1"/>
    </xf>
    <xf numFmtId="165" fontId="36" fillId="0" borderId="19" xfId="0" applyNumberFormat="1" applyFont="1" applyFill="1" applyBorder="1" applyAlignment="1" applyProtection="1">
      <alignment horizontal="centerContinuous" vertical="center" wrapText="1"/>
    </xf>
    <xf numFmtId="165" fontId="36" fillId="0" borderId="13" xfId="0" applyNumberFormat="1" applyFont="1" applyFill="1" applyBorder="1" applyAlignment="1" applyProtection="1">
      <alignment horizontal="center" vertical="center" wrapText="1"/>
    </xf>
    <xf numFmtId="0" fontId="36" fillId="0" borderId="19" xfId="21" applyFont="1" applyFill="1" applyBorder="1" applyAlignment="1" applyProtection="1">
      <alignment horizontal="center" vertical="center" wrapText="1"/>
    </xf>
    <xf numFmtId="165" fontId="36" fillId="0" borderId="19" xfId="0" applyNumberFormat="1" applyFont="1" applyFill="1" applyBorder="1" applyAlignment="1" applyProtection="1">
      <alignment horizontal="center" vertical="center" wrapText="1"/>
    </xf>
    <xf numFmtId="165" fontId="0" fillId="0" borderId="41" xfId="0" applyNumberFormat="1" applyFont="1" applyFill="1" applyBorder="1" applyAlignment="1" applyProtection="1">
      <alignment horizontal="left" vertical="center" wrapText="1" indent="1"/>
    </xf>
    <xf numFmtId="165" fontId="0" fillId="0" borderId="42" xfId="0" applyNumberFormat="1" applyFont="1" applyFill="1" applyBorder="1" applyAlignment="1" applyProtection="1">
      <alignment horizontal="left" vertical="center" wrapText="1" indent="1"/>
    </xf>
    <xf numFmtId="165" fontId="35" fillId="0" borderId="43" xfId="0" applyNumberFormat="1" applyFont="1" applyFill="1" applyBorder="1" applyAlignment="1" applyProtection="1">
      <alignment horizontal="left" vertical="center" wrapText="1" indent="1"/>
    </xf>
    <xf numFmtId="165" fontId="35" fillId="0" borderId="10" xfId="0" applyNumberFormat="1" applyFont="1" applyFill="1" applyBorder="1" applyAlignment="1" applyProtection="1">
      <alignment horizontal="left" vertical="center" wrapText="1" indent="1"/>
      <protection locked="0"/>
    </xf>
    <xf numFmtId="165" fontId="0" fillId="0" borderId="38" xfId="0" applyNumberFormat="1" applyFont="1" applyFill="1" applyBorder="1" applyAlignment="1" applyProtection="1">
      <alignment horizontal="left" vertical="center" wrapText="1" indent="1"/>
    </xf>
    <xf numFmtId="165" fontId="35" fillId="0" borderId="7" xfId="0" applyNumberFormat="1" applyFont="1" applyFill="1" applyBorder="1" applyAlignment="1" applyProtection="1">
      <alignment horizontal="left" vertical="center" wrapText="1" indent="1"/>
      <protection locked="0"/>
    </xf>
    <xf numFmtId="0" fontId="26" fillId="0" borderId="11" xfId="21" applyFont="1" applyFill="1" applyBorder="1" applyAlignment="1" applyProtection="1">
      <alignment horizontal="center" vertical="center" wrapText="1"/>
    </xf>
    <xf numFmtId="0" fontId="26" fillId="0" borderId="4" xfId="21" applyFont="1" applyFill="1" applyBorder="1" applyAlignment="1" applyProtection="1">
      <alignment horizontal="center" vertical="center" wrapText="1"/>
    </xf>
    <xf numFmtId="0" fontId="26" fillId="0" borderId="17" xfId="21" applyFont="1" applyFill="1" applyBorder="1" applyAlignment="1" applyProtection="1">
      <alignment horizontal="center" vertical="center" wrapText="1"/>
    </xf>
    <xf numFmtId="0" fontId="28" fillId="0" borderId="13" xfId="21" applyFont="1" applyFill="1" applyBorder="1" applyAlignment="1" applyProtection="1">
      <alignment horizontal="center" vertical="center"/>
    </xf>
    <xf numFmtId="0" fontId="28" fillId="0" borderId="14" xfId="21" applyFont="1" applyFill="1" applyBorder="1" applyAlignment="1" applyProtection="1">
      <alignment horizontal="center" vertical="center"/>
    </xf>
    <xf numFmtId="0" fontId="28" fillId="0" borderId="19" xfId="21" applyFont="1" applyFill="1" applyBorder="1" applyAlignment="1" applyProtection="1">
      <alignment horizontal="center" vertical="center"/>
    </xf>
    <xf numFmtId="0" fontId="28" fillId="0" borderId="2" xfId="21" applyFont="1" applyFill="1" applyBorder="1" applyAlignment="1" applyProtection="1">
      <alignment horizontal="left"/>
      <protection locked="0"/>
    </xf>
    <xf numFmtId="0" fontId="28" fillId="0" borderId="3" xfId="21" applyFont="1" applyFill="1" applyBorder="1" applyAlignment="1" applyProtection="1">
      <alignment horizontal="left"/>
      <protection locked="0"/>
    </xf>
    <xf numFmtId="166" fontId="28" fillId="0" borderId="23" xfId="26" applyNumberFormat="1" applyFont="1" applyFill="1" applyBorder="1" applyProtection="1">
      <protection locked="0"/>
    </xf>
    <xf numFmtId="166" fontId="26" fillId="0" borderId="23" xfId="26" applyNumberFormat="1" applyFont="1" applyFill="1" applyBorder="1" applyProtection="1">
      <protection locked="0"/>
    </xf>
    <xf numFmtId="0" fontId="26" fillId="0" borderId="6" xfId="21" applyFont="1" applyFill="1" applyBorder="1" applyProtection="1">
      <protection locked="0"/>
    </xf>
    <xf numFmtId="0" fontId="28" fillId="0" borderId="6" xfId="21" applyFont="1" applyFill="1" applyBorder="1" applyProtection="1">
      <protection locked="0"/>
    </xf>
    <xf numFmtId="0" fontId="12" fillId="0" borderId="0" xfId="21" applyFont="1" applyFill="1"/>
    <xf numFmtId="0" fontId="26" fillId="0" borderId="13" xfId="21" applyFont="1" applyFill="1" applyBorder="1" applyAlignment="1" applyProtection="1">
      <alignment horizontal="center" vertical="center"/>
    </xf>
    <xf numFmtId="0" fontId="26" fillId="0" borderId="14" xfId="21" applyFont="1" applyFill="1" applyBorder="1" applyAlignment="1" applyProtection="1">
      <alignment horizontal="left" vertical="center" wrapText="1"/>
    </xf>
    <xf numFmtId="166" fontId="26" fillId="0" borderId="19" xfId="26" applyNumberFormat="1" applyFont="1" applyFill="1" applyBorder="1" applyProtection="1"/>
    <xf numFmtId="3" fontId="26" fillId="0" borderId="62" xfId="21" applyNumberFormat="1" applyFont="1" applyFill="1" applyBorder="1" applyAlignment="1" applyProtection="1">
      <alignment horizontal="right" vertical="center" wrapText="1" indent="1"/>
    </xf>
    <xf numFmtId="3" fontId="26" fillId="0" borderId="28" xfId="21" applyNumberFormat="1" applyFont="1" applyFill="1" applyBorder="1" applyAlignment="1" applyProtection="1">
      <alignment horizontal="right" vertical="center" wrapText="1" indent="1"/>
    </xf>
    <xf numFmtId="3" fontId="26" fillId="0" borderId="19" xfId="21" applyNumberFormat="1" applyFont="1" applyFill="1" applyBorder="1" applyAlignment="1" applyProtection="1">
      <alignment horizontal="right" vertical="center" wrapText="1" indent="1"/>
    </xf>
    <xf numFmtId="3" fontId="26" fillId="0" borderId="44" xfId="21" applyNumberFormat="1" applyFont="1" applyFill="1" applyBorder="1" applyAlignment="1" applyProtection="1">
      <alignment horizontal="right" vertical="center" wrapText="1" indent="1"/>
    </xf>
    <xf numFmtId="3" fontId="35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3" fontId="35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3" fontId="35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3" fontId="35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3" fontId="28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3" fontId="28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3" fontId="28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3" fontId="28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3" fontId="35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3" fontId="35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3" fontId="34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3" fontId="34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3" fontId="34" fillId="0" borderId="44" xfId="21" applyNumberFormat="1" applyFont="1" applyFill="1" applyBorder="1" applyAlignment="1" applyProtection="1">
      <alignment horizontal="right" vertical="center" wrapText="1" indent="1"/>
    </xf>
    <xf numFmtId="3" fontId="34" fillId="0" borderId="19" xfId="21" applyNumberFormat="1" applyFont="1" applyFill="1" applyBorder="1" applyAlignment="1" applyProtection="1">
      <alignment horizontal="right" vertical="center" wrapText="1" indent="1"/>
    </xf>
    <xf numFmtId="3" fontId="28" fillId="0" borderId="50" xfId="21" applyNumberFormat="1" applyFont="1" applyFill="1" applyBorder="1" applyAlignment="1" applyProtection="1">
      <alignment horizontal="right" vertical="center" wrapText="1" indent="1"/>
    </xf>
    <xf numFmtId="3" fontId="28" fillId="0" borderId="20" xfId="21" applyNumberFormat="1" applyFont="1" applyFill="1" applyBorder="1" applyAlignment="1" applyProtection="1">
      <alignment horizontal="right" vertical="center" wrapText="1" indent="1"/>
    </xf>
    <xf numFmtId="3" fontId="26" fillId="0" borderId="27" xfId="21" applyNumberFormat="1" applyFont="1" applyFill="1" applyBorder="1" applyAlignment="1" applyProtection="1">
      <alignment horizontal="right" vertical="center" wrapText="1" indent="1"/>
    </xf>
    <xf numFmtId="3" fontId="28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3" fontId="28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3" fontId="34" fillId="0" borderId="27" xfId="21" applyNumberFormat="1" applyFont="1" applyFill="1" applyBorder="1" applyAlignment="1" applyProtection="1">
      <alignment horizontal="right" vertical="center" wrapText="1" indent="1"/>
    </xf>
    <xf numFmtId="3" fontId="26" fillId="0" borderId="44" xfId="21" applyNumberFormat="1" applyFont="1" applyFill="1" applyBorder="1" applyAlignment="1" applyProtection="1">
      <alignment horizontal="right" vertical="center" wrapText="1" indent="1"/>
      <protection locked="0"/>
    </xf>
    <xf numFmtId="3" fontId="26" fillId="0" borderId="19" xfId="21" applyNumberFormat="1" applyFont="1" applyFill="1" applyBorder="1" applyAlignment="1" applyProtection="1">
      <alignment horizontal="right" vertical="center" wrapText="1" indent="1"/>
      <protection locked="0"/>
    </xf>
    <xf numFmtId="3" fontId="26" fillId="0" borderId="33" xfId="21" applyNumberFormat="1" applyFont="1" applyFill="1" applyBorder="1" applyAlignment="1" applyProtection="1">
      <alignment horizontal="right" vertical="center" wrapText="1" indent="1"/>
    </xf>
    <xf numFmtId="3" fontId="28" fillId="0" borderId="27" xfId="21" applyNumberFormat="1" applyFont="1" applyFill="1" applyBorder="1" applyAlignment="1" applyProtection="1">
      <alignment horizontal="right" vertical="center" wrapText="1" indent="1"/>
    </xf>
    <xf numFmtId="0" fontId="32" fillId="0" borderId="49" xfId="0" quotePrefix="1" applyFont="1" applyBorder="1" applyAlignment="1" applyProtection="1">
      <alignment horizontal="left" wrapText="1" indent="1"/>
    </xf>
    <xf numFmtId="165" fontId="19" fillId="0" borderId="0" xfId="21" applyNumberFormat="1" applyFont="1" applyFill="1" applyProtection="1"/>
    <xf numFmtId="165" fontId="68" fillId="0" borderId="19" xfId="0" applyNumberFormat="1" applyFont="1" applyFill="1" applyBorder="1" applyAlignment="1" applyProtection="1">
      <alignment horizontal="right" vertical="center" wrapText="1" indent="1"/>
    </xf>
    <xf numFmtId="165" fontId="70" fillId="0" borderId="17" xfId="0" applyNumberFormat="1" applyFont="1" applyFill="1" applyBorder="1" applyAlignment="1" applyProtection="1">
      <alignment horizontal="right" vertical="center" wrapText="1" indent="1"/>
      <protection locked="0"/>
    </xf>
    <xf numFmtId="165" fontId="67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67" fillId="0" borderId="40" xfId="0" applyNumberFormat="1" applyFont="1" applyFill="1" applyBorder="1" applyAlignment="1" applyProtection="1">
      <alignment horizontal="right" vertical="center" wrapText="1" indent="1"/>
      <protection locked="0"/>
    </xf>
    <xf numFmtId="165" fontId="67" fillId="0" borderId="23" xfId="0" applyNumberFormat="1" applyFont="1" applyFill="1" applyBorder="1" applyAlignment="1" applyProtection="1">
      <alignment horizontal="right" vertical="center" wrapText="1" indent="1"/>
      <protection locked="0"/>
    </xf>
    <xf numFmtId="165" fontId="70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68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68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165" fontId="67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5" fontId="67" fillId="0" borderId="22" xfId="0" applyNumberFormat="1" applyFont="1" applyFill="1" applyBorder="1" applyAlignment="1" applyProtection="1">
      <alignment horizontal="right" vertical="center" wrapText="1" indent="1"/>
      <protection locked="0"/>
    </xf>
    <xf numFmtId="165" fontId="68" fillId="0" borderId="44" xfId="0" applyNumberFormat="1" applyFont="1" applyFill="1" applyBorder="1" applyAlignment="1" applyProtection="1">
      <alignment horizontal="right" vertical="center" wrapText="1" indent="1"/>
      <protection locked="0"/>
    </xf>
    <xf numFmtId="165" fontId="68" fillId="0" borderId="44" xfId="0" applyNumberFormat="1" applyFont="1" applyFill="1" applyBorder="1" applyAlignment="1" applyProtection="1">
      <alignment horizontal="right" vertical="center" wrapText="1" indent="1"/>
    </xf>
    <xf numFmtId="165" fontId="72" fillId="0" borderId="44" xfId="0" applyNumberFormat="1" applyFont="1" applyFill="1" applyBorder="1" applyAlignment="1" applyProtection="1">
      <alignment horizontal="right" vertical="center" wrapText="1" indent="1"/>
    </xf>
    <xf numFmtId="165" fontId="72" fillId="0" borderId="0" xfId="0" applyNumberFormat="1" applyFont="1" applyFill="1" applyBorder="1" applyAlignment="1" applyProtection="1">
      <alignment horizontal="right" vertical="center" wrapText="1" indent="1"/>
    </xf>
    <xf numFmtId="0" fontId="70" fillId="0" borderId="0" xfId="0" applyFont="1" applyFill="1" applyAlignment="1" applyProtection="1">
      <alignment horizontal="right" vertical="center" wrapText="1" indent="1"/>
    </xf>
    <xf numFmtId="165" fontId="72" fillId="0" borderId="19" xfId="0" applyNumberFormat="1" applyFont="1" applyFill="1" applyBorder="1" applyAlignment="1" applyProtection="1">
      <alignment horizontal="right" vertical="center" wrapText="1" indent="1"/>
    </xf>
    <xf numFmtId="0" fontId="69" fillId="0" borderId="0" xfId="0" applyFont="1" applyFill="1" applyAlignment="1" applyProtection="1">
      <alignment horizontal="right" vertical="center" wrapText="1" indent="1"/>
    </xf>
    <xf numFmtId="4" fontId="71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0" fontId="49" fillId="0" borderId="0" xfId="25"/>
    <xf numFmtId="0" fontId="22" fillId="0" borderId="0" xfId="25" applyFont="1" applyBorder="1"/>
    <xf numFmtId="0" fontId="37" fillId="0" borderId="34" xfId="25" applyFont="1" applyBorder="1"/>
    <xf numFmtId="0" fontId="0" fillId="0" borderId="30" xfId="20" applyFont="1" applyBorder="1" applyAlignment="1">
      <alignment horizontal="left"/>
    </xf>
    <xf numFmtId="165" fontId="35" fillId="0" borderId="8" xfId="0" applyNumberFormat="1" applyFont="1" applyFill="1" applyBorder="1" applyAlignment="1" applyProtection="1">
      <alignment horizontal="left" vertical="center" wrapText="1" indent="3"/>
    </xf>
    <xf numFmtId="166" fontId="35" fillId="0" borderId="57" xfId="26" applyNumberFormat="1" applyFont="1" applyFill="1" applyBorder="1" applyProtection="1">
      <protection locked="0"/>
    </xf>
    <xf numFmtId="0" fontId="35" fillId="0" borderId="10" xfId="21" applyFont="1" applyFill="1" applyBorder="1" applyAlignment="1" applyProtection="1">
      <alignment horizontal="center" vertical="center"/>
    </xf>
    <xf numFmtId="168" fontId="69" fillId="0" borderId="26" xfId="0" applyNumberFormat="1" applyFont="1" applyFill="1" applyBorder="1" applyAlignment="1" applyProtection="1">
      <alignment horizontal="right" vertical="center" wrapText="1" indent="1"/>
      <protection locked="0"/>
    </xf>
    <xf numFmtId="165" fontId="19" fillId="0" borderId="0" xfId="0" applyNumberFormat="1" applyFont="1" applyFill="1" applyAlignment="1">
      <alignment vertical="center" wrapText="1"/>
    </xf>
    <xf numFmtId="0" fontId="9" fillId="0" borderId="0" xfId="21" applyNumberFormat="1" applyFont="1" applyFill="1"/>
    <xf numFmtId="0" fontId="37" fillId="0" borderId="0" xfId="0" applyNumberFormat="1" applyFont="1" applyFill="1" applyAlignment="1">
      <alignment vertical="center" wrapText="1"/>
    </xf>
    <xf numFmtId="0" fontId="0" fillId="0" borderId="0" xfId="0" applyNumberFormat="1" applyFill="1" applyAlignment="1">
      <alignment horizontal="center" vertical="center" wrapText="1"/>
    </xf>
    <xf numFmtId="0" fontId="37" fillId="0" borderId="0" xfId="0" applyNumberFormat="1" applyFont="1" applyFill="1" applyAlignment="1">
      <alignment horizontal="center" vertical="center" wrapText="1"/>
    </xf>
    <xf numFmtId="166" fontId="49" fillId="0" borderId="0" xfId="18" applyNumberFormat="1"/>
    <xf numFmtId="0" fontId="19" fillId="0" borderId="0" xfId="0" applyFont="1" applyAlignment="1">
      <alignment horizontal="center" wrapText="1"/>
    </xf>
    <xf numFmtId="0" fontId="35" fillId="0" borderId="9" xfId="0" applyFont="1" applyBorder="1" applyAlignment="1" applyProtection="1">
      <alignment horizontal="right" vertical="center" indent="1"/>
    </xf>
    <xf numFmtId="0" fontId="37" fillId="0" borderId="13" xfId="0" applyFont="1" applyBorder="1" applyAlignment="1" applyProtection="1">
      <alignment horizontal="center" vertical="center" wrapText="1"/>
    </xf>
    <xf numFmtId="0" fontId="37" fillId="0" borderId="14" xfId="0" applyFont="1" applyBorder="1" applyAlignment="1" applyProtection="1">
      <alignment horizontal="center" vertical="center"/>
    </xf>
    <xf numFmtId="0" fontId="0" fillId="0" borderId="46" xfId="0" quotePrefix="1" applyBorder="1"/>
    <xf numFmtId="0" fontId="0" fillId="0" borderId="57" xfId="0" applyBorder="1" applyAlignment="1">
      <alignment wrapText="1"/>
    </xf>
    <xf numFmtId="0" fontId="0" fillId="0" borderId="47" xfId="0" quotePrefix="1" applyBorder="1"/>
    <xf numFmtId="0" fontId="0" fillId="0" borderId="36" xfId="0" applyBorder="1" applyAlignment="1">
      <alignment wrapText="1"/>
    </xf>
    <xf numFmtId="0" fontId="0" fillId="0" borderId="29" xfId="0" quotePrefix="1" applyBorder="1"/>
    <xf numFmtId="0" fontId="0" fillId="0" borderId="53" xfId="0" applyBorder="1" applyAlignment="1">
      <alignment wrapText="1"/>
    </xf>
    <xf numFmtId="0" fontId="0" fillId="0" borderId="46" xfId="0" quotePrefix="1" applyBorder="1" applyAlignment="1">
      <alignment vertical="center"/>
    </xf>
    <xf numFmtId="0" fontId="0" fillId="0" borderId="57" xfId="0" applyBorder="1" applyAlignment="1">
      <alignment vertical="center" wrapText="1"/>
    </xf>
    <xf numFmtId="0" fontId="0" fillId="0" borderId="47" xfId="0" quotePrefix="1" applyBorder="1" applyAlignment="1">
      <alignment vertical="center"/>
    </xf>
    <xf numFmtId="0" fontId="0" fillId="0" borderId="36" xfId="0" applyBorder="1" applyAlignment="1">
      <alignment vertical="center" wrapText="1"/>
    </xf>
    <xf numFmtId="0" fontId="0" fillId="0" borderId="46" xfId="0" quotePrefix="1" applyBorder="1" applyAlignment="1">
      <alignment vertical="center" wrapText="1"/>
    </xf>
    <xf numFmtId="0" fontId="34" fillId="0" borderId="0" xfId="19" applyFont="1"/>
    <xf numFmtId="0" fontId="34" fillId="0" borderId="0" xfId="19" applyFont="1" applyAlignment="1">
      <alignment horizontal="centerContinuous"/>
    </xf>
    <xf numFmtId="3" fontId="36" fillId="0" borderId="0" xfId="19" applyNumberFormat="1" applyFont="1" applyBorder="1"/>
    <xf numFmtId="0" fontId="22" fillId="0" borderId="0" xfId="21" applyFont="1" applyFill="1" applyBorder="1" applyProtection="1"/>
    <xf numFmtId="165" fontId="34" fillId="0" borderId="0" xfId="21" applyNumberFormat="1" applyFont="1" applyFill="1" applyBorder="1" applyAlignment="1" applyProtection="1">
      <alignment horizontal="right" vertical="center" wrapText="1" indent="1"/>
      <protection locked="0"/>
    </xf>
    <xf numFmtId="165" fontId="11" fillId="0" borderId="0" xfId="0" applyNumberFormat="1" applyFont="1" applyFill="1" applyAlignment="1">
      <alignment horizontal="center" vertical="center" wrapText="1"/>
    </xf>
    <xf numFmtId="165" fontId="36" fillId="0" borderId="13" xfId="0" applyNumberFormat="1" applyFont="1" applyFill="1" applyBorder="1" applyAlignment="1" applyProtection="1">
      <alignment horizontal="left" vertical="center" wrapText="1"/>
    </xf>
    <xf numFmtId="165" fontId="36" fillId="0" borderId="14" xfId="0" applyNumberFormat="1" applyFont="1" applyFill="1" applyBorder="1" applyAlignment="1" applyProtection="1">
      <alignment vertical="center" wrapText="1"/>
    </xf>
    <xf numFmtId="165" fontId="36" fillId="0" borderId="19" xfId="0" applyNumberFormat="1" applyFont="1" applyFill="1" applyBorder="1" applyAlignment="1" applyProtection="1">
      <alignment vertical="center" wrapText="1"/>
    </xf>
    <xf numFmtId="165" fontId="66" fillId="0" borderId="0" xfId="0" applyNumberFormat="1" applyFont="1" applyFill="1" applyAlignment="1">
      <alignment vertical="center" wrapText="1"/>
    </xf>
    <xf numFmtId="165" fontId="69" fillId="0" borderId="0" xfId="0" applyNumberFormat="1" applyFont="1" applyFill="1" applyAlignment="1">
      <alignment vertical="center" wrapText="1"/>
    </xf>
    <xf numFmtId="165" fontId="71" fillId="0" borderId="0" xfId="0" applyNumberFormat="1" applyFont="1" applyFill="1" applyAlignment="1">
      <alignment vertical="center" wrapText="1"/>
    </xf>
    <xf numFmtId="165" fontId="74" fillId="0" borderId="0" xfId="0" applyNumberFormat="1" applyFont="1" applyFill="1" applyAlignment="1">
      <alignment vertical="center" wrapText="1"/>
    </xf>
    <xf numFmtId="165" fontId="0" fillId="0" borderId="0" xfId="0" applyNumberFormat="1" applyFont="1" applyFill="1" applyAlignment="1">
      <alignment horizontal="center" vertical="center" wrapText="1"/>
    </xf>
    <xf numFmtId="165" fontId="0" fillId="0" borderId="0" xfId="0" applyNumberFormat="1" applyFont="1" applyFill="1" applyAlignment="1">
      <alignment vertical="center" wrapText="1"/>
    </xf>
    <xf numFmtId="0" fontId="78" fillId="0" borderId="0" xfId="25" applyFont="1"/>
    <xf numFmtId="0" fontId="88" fillId="0" borderId="0" xfId="25" applyFont="1"/>
    <xf numFmtId="0" fontId="89" fillId="0" borderId="0" xfId="25" applyFont="1"/>
    <xf numFmtId="0" fontId="91" fillId="0" borderId="0" xfId="25" applyFont="1" applyAlignment="1">
      <alignment horizontal="centerContinuous"/>
    </xf>
    <xf numFmtId="0" fontId="92" fillId="0" borderId="0" xfId="22" applyFont="1" applyFill="1" applyAlignment="1">
      <alignment horizontal="centerContinuous"/>
    </xf>
    <xf numFmtId="0" fontId="92" fillId="0" borderId="0" xfId="25" applyFont="1" applyAlignment="1">
      <alignment horizontal="centerContinuous"/>
    </xf>
    <xf numFmtId="0" fontId="67" fillId="0" borderId="8" xfId="25" applyFont="1" applyBorder="1" applyAlignment="1">
      <alignment horizontal="left"/>
    </xf>
    <xf numFmtId="0" fontId="67" fillId="0" borderId="8" xfId="24" applyFont="1" applyBorder="1" applyAlignment="1">
      <alignment horizontal="left"/>
    </xf>
    <xf numFmtId="0" fontId="71" fillId="0" borderId="12" xfId="24" applyFont="1" applyBorder="1"/>
    <xf numFmtId="3" fontId="95" fillId="0" borderId="0" xfId="25" applyNumberFormat="1" applyFont="1"/>
    <xf numFmtId="3" fontId="96" fillId="0" borderId="0" xfId="25" applyNumberFormat="1" applyFont="1"/>
    <xf numFmtId="3" fontId="89" fillId="0" borderId="0" xfId="25" applyNumberFormat="1" applyFont="1"/>
    <xf numFmtId="0" fontId="97" fillId="0" borderId="0" xfId="25" applyFont="1"/>
    <xf numFmtId="4" fontId="71" fillId="0" borderId="17" xfId="0" applyNumberFormat="1" applyFont="1" applyFill="1" applyBorder="1" applyAlignment="1" applyProtection="1">
      <alignment horizontal="right" vertical="center" wrapText="1" indent="1"/>
      <protection locked="0"/>
    </xf>
    <xf numFmtId="4" fontId="71" fillId="0" borderId="22" xfId="0" applyNumberFormat="1" applyFont="1" applyFill="1" applyBorder="1" applyAlignment="1" applyProtection="1">
      <alignment horizontal="right" vertical="center" wrapText="1" indent="1"/>
      <protection locked="0"/>
    </xf>
    <xf numFmtId="0" fontId="35" fillId="0" borderId="47" xfId="24" quotePrefix="1" applyFont="1" applyFill="1" applyBorder="1"/>
    <xf numFmtId="0" fontId="89" fillId="0" borderId="0" xfId="25" applyFont="1" applyAlignment="1">
      <alignment vertical="center"/>
    </xf>
    <xf numFmtId="165" fontId="101" fillId="0" borderId="0" xfId="0" applyNumberFormat="1" applyFont="1" applyFill="1" applyAlignment="1">
      <alignment vertical="center" wrapText="1"/>
    </xf>
    <xf numFmtId="165" fontId="98" fillId="0" borderId="0" xfId="0" applyNumberFormat="1" applyFont="1" applyFill="1" applyAlignment="1">
      <alignment vertical="center" wrapText="1"/>
    </xf>
    <xf numFmtId="165" fontId="80" fillId="0" borderId="34" xfId="0" applyNumberFormat="1" applyFont="1" applyFill="1" applyBorder="1" applyAlignment="1" applyProtection="1">
      <alignment horizontal="left" vertical="center" wrapText="1"/>
    </xf>
    <xf numFmtId="165" fontId="80" fillId="0" borderId="19" xfId="0" applyNumberFormat="1" applyFont="1" applyFill="1" applyBorder="1" applyAlignment="1" applyProtection="1">
      <alignment vertical="center" wrapText="1"/>
    </xf>
    <xf numFmtId="165" fontId="36" fillId="0" borderId="15" xfId="0" applyNumberFormat="1" applyFont="1" applyFill="1" applyBorder="1" applyAlignment="1" applyProtection="1">
      <alignment horizontal="center" vertical="center" wrapText="1"/>
    </xf>
    <xf numFmtId="165" fontId="36" fillId="0" borderId="16" xfId="0" applyNumberFormat="1" applyFont="1" applyFill="1" applyBorder="1" applyAlignment="1" applyProtection="1">
      <alignment horizontal="center" vertical="center" wrapText="1"/>
    </xf>
    <xf numFmtId="165" fontId="36" fillId="0" borderId="28" xfId="0" applyNumberFormat="1" applyFont="1" applyFill="1" applyBorder="1" applyAlignment="1" applyProtection="1">
      <alignment horizontal="center" vertical="center" wrapText="1"/>
    </xf>
    <xf numFmtId="165" fontId="34" fillId="0" borderId="11" xfId="0" applyNumberFormat="1" applyFont="1" applyFill="1" applyBorder="1" applyAlignment="1" applyProtection="1">
      <alignment horizontal="center" vertical="center" wrapText="1"/>
    </xf>
    <xf numFmtId="165" fontId="34" fillId="0" borderId="4" xfId="0" applyNumberFormat="1" applyFont="1" applyFill="1" applyBorder="1" applyAlignment="1" applyProtection="1">
      <alignment horizontal="center" vertical="center" wrapText="1"/>
    </xf>
    <xf numFmtId="165" fontId="34" fillId="0" borderId="17" xfId="0" applyNumberFormat="1" applyFont="1" applyFill="1" applyBorder="1" applyAlignment="1" applyProtection="1">
      <alignment horizontal="center" vertical="center" wrapText="1"/>
    </xf>
    <xf numFmtId="0" fontId="69" fillId="0" borderId="0" xfId="0" applyFont="1" applyFill="1"/>
    <xf numFmtId="0" fontId="104" fillId="0" borderId="0" xfId="0" applyFont="1" applyFill="1"/>
    <xf numFmtId="0" fontId="0" fillId="0" borderId="0" xfId="0"/>
    <xf numFmtId="0" fontId="0" fillId="0" borderId="0" xfId="0" applyFill="1"/>
    <xf numFmtId="0" fontId="19" fillId="0" borderId="0" xfId="21" applyFont="1" applyFill="1" applyProtection="1"/>
    <xf numFmtId="0" fontId="0" fillId="0" borderId="0" xfId="0" applyAlignment="1" applyProtection="1">
      <protection locked="0"/>
    </xf>
    <xf numFmtId="0" fontId="105" fillId="0" borderId="0" xfId="0" applyFont="1"/>
    <xf numFmtId="0" fontId="0" fillId="0" borderId="0" xfId="0" applyFill="1" applyAlignment="1" applyProtection="1">
      <alignment horizontal="right"/>
      <protection locked="0"/>
    </xf>
    <xf numFmtId="0" fontId="0" fillId="9" borderId="0" xfId="0" applyFill="1" applyAlignment="1" applyProtection="1">
      <alignment horizontal="center"/>
      <protection locked="0"/>
    </xf>
    <xf numFmtId="0" fontId="0" fillId="0" borderId="0" xfId="0" applyFill="1" applyProtection="1">
      <protection locked="0"/>
    </xf>
    <xf numFmtId="0" fontId="40" fillId="0" borderId="0" xfId="0" applyFont="1"/>
    <xf numFmtId="0" fontId="107" fillId="0" borderId="0" xfId="0" applyFont="1"/>
    <xf numFmtId="0" fontId="19" fillId="0" borderId="0" xfId="21" applyFont="1" applyFill="1" applyProtection="1"/>
    <xf numFmtId="0" fontId="19" fillId="0" borderId="0" xfId="21" applyFill="1" applyProtection="1"/>
    <xf numFmtId="0" fontId="106" fillId="0" borderId="0" xfId="0" applyFont="1"/>
    <xf numFmtId="0" fontId="108" fillId="0" borderId="0" xfId="0" applyFont="1" applyAlignment="1">
      <alignment horizontal="center"/>
    </xf>
    <xf numFmtId="0" fontId="42" fillId="0" borderId="0" xfId="0" applyFont="1" applyFill="1"/>
    <xf numFmtId="0" fontId="0" fillId="0" borderId="0" xfId="0"/>
    <xf numFmtId="165" fontId="0" fillId="0" borderId="0" xfId="0" applyNumberFormat="1" applyFill="1" applyAlignment="1" applyProtection="1">
      <alignment vertical="center" wrapText="1"/>
    </xf>
    <xf numFmtId="3" fontId="42" fillId="0" borderId="0" xfId="0" applyNumberFormat="1" applyFont="1" applyFill="1" applyAlignment="1">
      <alignment horizontal="right" indent="1"/>
    </xf>
    <xf numFmtId="0" fontId="42" fillId="0" borderId="0" xfId="0" applyFont="1" applyFill="1" applyAlignment="1">
      <alignment horizontal="right" indent="1"/>
    </xf>
    <xf numFmtId="0" fontId="30" fillId="0" borderId="0" xfId="0" applyFont="1" applyFill="1"/>
    <xf numFmtId="3" fontId="36" fillId="0" borderId="0" xfId="0" applyNumberFormat="1" applyFont="1" applyFill="1" applyAlignment="1">
      <alignment horizontal="right" indent="1"/>
    </xf>
    <xf numFmtId="0" fontId="109" fillId="0" borderId="0" xfId="0" applyFont="1" applyFill="1"/>
    <xf numFmtId="0" fontId="42" fillId="0" borderId="0" xfId="0" applyFont="1"/>
    <xf numFmtId="0" fontId="42" fillId="0" borderId="0" xfId="0" applyFont="1" applyAlignment="1">
      <alignment horizontal="right" indent="1"/>
    </xf>
    <xf numFmtId="165" fontId="8" fillId="0" borderId="75" xfId="28" applyNumberFormat="1" applyFont="1" applyFill="1" applyBorder="1" applyAlignment="1" applyProtection="1">
      <alignment horizontal="left" vertical="center" wrapText="1"/>
      <protection locked="0"/>
    </xf>
    <xf numFmtId="165" fontId="37" fillId="0" borderId="23" xfId="0" applyNumberFormat="1" applyFont="1" applyFill="1" applyBorder="1" applyAlignment="1">
      <alignment vertical="center" wrapText="1"/>
    </xf>
    <xf numFmtId="49" fontId="0" fillId="0" borderId="2" xfId="0" applyNumberFormat="1" applyFont="1" applyFill="1" applyBorder="1" applyAlignment="1" applyProtection="1">
      <alignment horizontal="center" vertical="center" wrapText="1"/>
      <protection locked="0"/>
    </xf>
    <xf numFmtId="165" fontId="0" fillId="0" borderId="2" xfId="0" applyNumberFormat="1" applyFont="1" applyFill="1" applyBorder="1" applyAlignment="1" applyProtection="1">
      <alignment vertical="center" wrapText="1"/>
      <protection locked="0"/>
    </xf>
    <xf numFmtId="165" fontId="0" fillId="0" borderId="2" xfId="28" applyNumberFormat="1" applyFont="1" applyFill="1" applyBorder="1" applyAlignment="1" applyProtection="1">
      <alignment vertical="center" wrapText="1"/>
      <protection locked="0"/>
    </xf>
    <xf numFmtId="165" fontId="0" fillId="0" borderId="18" xfId="0" applyNumberFormat="1" applyFont="1" applyFill="1" applyBorder="1" applyAlignment="1" applyProtection="1">
      <alignment vertical="center" wrapText="1"/>
    </xf>
    <xf numFmtId="165" fontId="37" fillId="0" borderId="18" xfId="0" applyNumberFormat="1" applyFont="1" applyFill="1" applyBorder="1" applyAlignment="1">
      <alignment vertical="center" wrapText="1"/>
    </xf>
    <xf numFmtId="49" fontId="0" fillId="0" borderId="21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0" xfId="21" applyFont="1" applyFill="1" applyAlignment="1" applyProtection="1">
      <alignment horizontal="right"/>
    </xf>
    <xf numFmtId="0" fontId="9" fillId="0" borderId="0" xfId="21" applyFont="1" applyFill="1"/>
    <xf numFmtId="165" fontId="12" fillId="0" borderId="0" xfId="21" applyNumberFormat="1" applyFont="1" applyFill="1" applyBorder="1" applyAlignment="1" applyProtection="1">
      <alignment horizontal="centerContinuous" vertical="center"/>
    </xf>
    <xf numFmtId="165" fontId="11" fillId="0" borderId="0" xfId="21" applyNumberFormat="1" applyFont="1" applyFill="1" applyBorder="1" applyAlignment="1" applyProtection="1">
      <alignment horizontal="centerContinuous" vertical="center"/>
    </xf>
    <xf numFmtId="14" fontId="37" fillId="0" borderId="4" xfId="21" applyNumberFormat="1" applyFont="1" applyFill="1" applyBorder="1" applyAlignment="1">
      <alignment horizontal="center" vertical="center" wrapText="1"/>
    </xf>
    <xf numFmtId="0" fontId="22" fillId="0" borderId="27" xfId="21" applyFont="1" applyFill="1" applyBorder="1" applyAlignment="1">
      <alignment horizontal="center" vertical="center"/>
    </xf>
    <xf numFmtId="0" fontId="22" fillId="0" borderId="33" xfId="21" applyFont="1" applyFill="1" applyBorder="1" applyAlignment="1">
      <alignment horizontal="center" vertical="center"/>
    </xf>
    <xf numFmtId="0" fontId="22" fillId="0" borderId="14" xfId="21" applyFont="1" applyFill="1" applyBorder="1" applyAlignment="1">
      <alignment horizontal="center" vertical="center"/>
    </xf>
    <xf numFmtId="0" fontId="22" fillId="0" borderId="19" xfId="21" applyFont="1" applyFill="1" applyBorder="1" applyAlignment="1">
      <alignment horizontal="center" vertical="center"/>
    </xf>
    <xf numFmtId="0" fontId="22" fillId="0" borderId="41" xfId="21" applyFont="1" applyFill="1" applyBorder="1" applyAlignment="1">
      <alignment horizontal="center" vertical="center"/>
    </xf>
    <xf numFmtId="0" fontId="22" fillId="0" borderId="5" xfId="21" applyFont="1" applyFill="1" applyBorder="1" applyAlignment="1" applyProtection="1">
      <alignment wrapText="1"/>
      <protection locked="0"/>
    </xf>
    <xf numFmtId="3" fontId="22" fillId="0" borderId="2" xfId="21" applyNumberFormat="1" applyFont="1" applyFill="1" applyBorder="1" applyAlignment="1" applyProtection="1">
      <alignment horizontal="right"/>
      <protection locked="0"/>
    </xf>
    <xf numFmtId="16" fontId="9" fillId="0" borderId="0" xfId="21" applyNumberFormat="1" applyFont="1" applyFill="1"/>
    <xf numFmtId="0" fontId="28" fillId="0" borderId="0" xfId="21" applyFont="1" applyFill="1" applyAlignment="1">
      <alignment wrapText="1"/>
    </xf>
    <xf numFmtId="0" fontId="85" fillId="0" borderId="0" xfId="21" applyFont="1" applyFill="1"/>
    <xf numFmtId="16" fontId="85" fillId="0" borderId="0" xfId="21" applyNumberFormat="1" applyFont="1" applyFill="1"/>
    <xf numFmtId="0" fontId="22" fillId="0" borderId="8" xfId="21" applyFont="1" applyFill="1" applyBorder="1" applyAlignment="1" applyProtection="1">
      <alignment wrapText="1"/>
      <protection locked="0"/>
    </xf>
    <xf numFmtId="3" fontId="22" fillId="0" borderId="2" xfId="21" applyNumberFormat="1" applyFont="1" applyFill="1" applyBorder="1" applyAlignment="1" applyProtection="1">
      <alignment horizontal="right" wrapText="1"/>
      <protection locked="0"/>
    </xf>
    <xf numFmtId="0" fontId="22" fillId="0" borderId="67" xfId="21" applyFont="1" applyFill="1" applyBorder="1" applyAlignment="1" applyProtection="1">
      <alignment wrapText="1"/>
      <protection locked="0"/>
    </xf>
    <xf numFmtId="3" fontId="22" fillId="0" borderId="1" xfId="21" applyNumberFormat="1" applyFont="1" applyFill="1" applyBorder="1" applyAlignment="1" applyProtection="1">
      <alignment horizontal="right"/>
      <protection locked="0"/>
    </xf>
    <xf numFmtId="0" fontId="22" fillId="0" borderId="2" xfId="21" applyFont="1" applyFill="1" applyBorder="1" applyAlignment="1" applyProtection="1">
      <alignment wrapText="1"/>
      <protection locked="0"/>
    </xf>
    <xf numFmtId="0" fontId="22" fillId="0" borderId="74" xfId="21" applyFont="1" applyFill="1" applyBorder="1" applyAlignment="1">
      <alignment horizontal="center" vertical="center"/>
    </xf>
    <xf numFmtId="0" fontId="37" fillId="0" borderId="33" xfId="21" applyFont="1" applyFill="1" applyBorder="1"/>
    <xf numFmtId="3" fontId="37" fillId="0" borderId="14" xfId="21" applyNumberFormat="1" applyFont="1" applyFill="1" applyBorder="1" applyAlignment="1">
      <alignment horizontal="right"/>
    </xf>
    <xf numFmtId="0" fontId="35" fillId="0" borderId="0" xfId="21" applyFont="1" applyFill="1"/>
    <xf numFmtId="14" fontId="9" fillId="0" borderId="0" xfId="21" applyNumberFormat="1" applyFont="1" applyFill="1" applyAlignment="1">
      <alignment horizontal="left"/>
    </xf>
    <xf numFmtId="3" fontId="37" fillId="0" borderId="19" xfId="21" applyNumberFormat="1" applyFont="1" applyFill="1" applyBorder="1" applyAlignment="1">
      <alignment horizontal="right"/>
    </xf>
    <xf numFmtId="165" fontId="0" fillId="0" borderId="2" xfId="0" applyNumberFormat="1" applyFont="1" applyFill="1" applyBorder="1" applyAlignment="1" applyProtection="1">
      <alignment horizontal="right" vertical="center" wrapText="1"/>
      <protection locked="0"/>
    </xf>
    <xf numFmtId="165" fontId="80" fillId="0" borderId="14" xfId="0" applyNumberFormat="1" applyFont="1" applyFill="1" applyBorder="1" applyAlignment="1" applyProtection="1">
      <alignment horizontal="right" vertical="center" wrapText="1"/>
    </xf>
    <xf numFmtId="165" fontId="0" fillId="0" borderId="9" xfId="28" applyNumberFormat="1" applyFont="1" applyFill="1" applyBorder="1" applyAlignment="1" applyProtection="1">
      <alignment horizontal="right" vertical="center" wrapText="1"/>
      <protection locked="0"/>
    </xf>
    <xf numFmtId="165" fontId="0" fillId="0" borderId="20" xfId="0" applyNumberFormat="1" applyFont="1" applyFill="1" applyBorder="1" applyAlignment="1" applyProtection="1">
      <alignment vertical="center" wrapText="1"/>
    </xf>
    <xf numFmtId="165" fontId="0" fillId="0" borderId="8" xfId="28" applyNumberFormat="1" applyFont="1" applyFill="1" applyBorder="1" applyAlignment="1" applyProtection="1">
      <alignment horizontal="right" vertical="center" wrapText="1"/>
      <protection locked="0"/>
    </xf>
    <xf numFmtId="165" fontId="0" fillId="0" borderId="18" xfId="0" applyNumberFormat="1" applyFont="1" applyFill="1" applyBorder="1" applyAlignment="1">
      <alignment vertical="center" wrapText="1"/>
    </xf>
    <xf numFmtId="165" fontId="0" fillId="0" borderId="10" xfId="28" applyNumberFormat="1" applyFont="1" applyFill="1" applyBorder="1" applyAlignment="1" applyProtection="1">
      <alignment horizontal="right" vertical="center" wrapText="1"/>
      <protection locked="0"/>
    </xf>
    <xf numFmtId="49" fontId="0" fillId="0" borderId="6" xfId="0" applyNumberFormat="1" applyFont="1" applyFill="1" applyBorder="1" applyAlignment="1" applyProtection="1">
      <alignment horizontal="center" vertical="center" wrapText="1"/>
      <protection locked="0"/>
    </xf>
    <xf numFmtId="165" fontId="0" fillId="0" borderId="6" xfId="0" applyNumberFormat="1" applyFont="1" applyFill="1" applyBorder="1" applyAlignment="1" applyProtection="1">
      <alignment horizontal="right" vertical="center" wrapText="1"/>
      <protection locked="0"/>
    </xf>
    <xf numFmtId="165" fontId="0" fillId="0" borderId="23" xfId="0" applyNumberFormat="1" applyFont="1" applyFill="1" applyBorder="1" applyAlignment="1">
      <alignment vertical="center" wrapText="1"/>
    </xf>
    <xf numFmtId="165" fontId="0" fillId="0" borderId="23" xfId="0" applyNumberFormat="1" applyFont="1" applyFill="1" applyBorder="1" applyAlignment="1" applyProtection="1">
      <alignment vertical="center" wrapText="1"/>
    </xf>
    <xf numFmtId="165" fontId="0" fillId="0" borderId="39" xfId="28" applyNumberFormat="1" applyFont="1" applyFill="1" applyBorder="1" applyAlignment="1" applyProtection="1">
      <alignment horizontal="right" vertical="center" wrapText="1"/>
      <protection locked="0"/>
    </xf>
    <xf numFmtId="165" fontId="0" fillId="0" borderId="21" xfId="0" applyNumberFormat="1" applyFont="1" applyFill="1" applyBorder="1" applyAlignment="1" applyProtection="1">
      <alignment horizontal="right" vertical="center" wrapText="1"/>
      <protection locked="0"/>
    </xf>
    <xf numFmtId="165" fontId="0" fillId="0" borderId="22" xfId="0" applyNumberFormat="1" applyFont="1" applyFill="1" applyBorder="1" applyAlignment="1" applyProtection="1">
      <alignment vertical="center" wrapText="1"/>
    </xf>
    <xf numFmtId="165" fontId="88" fillId="0" borderId="14" xfId="0" applyNumberFormat="1" applyFont="1" applyFill="1" applyBorder="1" applyAlignment="1" applyProtection="1">
      <alignment horizontal="right" vertical="center" wrapText="1"/>
    </xf>
    <xf numFmtId="165" fontId="88" fillId="0" borderId="33" xfId="0" applyNumberFormat="1" applyFont="1" applyFill="1" applyBorder="1" applyAlignment="1" applyProtection="1">
      <alignment horizontal="right" vertical="center" wrapText="1"/>
    </xf>
    <xf numFmtId="3" fontId="35" fillId="0" borderId="0" xfId="0" applyNumberFormat="1" applyFont="1" applyFill="1" applyBorder="1" applyAlignment="1" applyProtection="1">
      <alignment vertical="center"/>
    </xf>
    <xf numFmtId="3" fontId="34" fillId="0" borderId="0" xfId="0" applyNumberFormat="1" applyFont="1" applyFill="1" applyBorder="1" applyAlignment="1" applyProtection="1">
      <alignment vertical="center"/>
    </xf>
    <xf numFmtId="0" fontId="37" fillId="0" borderId="0" xfId="0" applyFont="1" applyFill="1" applyProtection="1"/>
    <xf numFmtId="49" fontId="34" fillId="0" borderId="11" xfId="0" applyNumberFormat="1" applyFont="1" applyFill="1" applyBorder="1" applyAlignment="1" applyProtection="1">
      <alignment vertical="center"/>
    </xf>
    <xf numFmtId="3" fontId="34" fillId="0" borderId="4" xfId="0" applyNumberFormat="1" applyFont="1" applyFill="1" applyBorder="1" applyAlignment="1" applyProtection="1">
      <alignment vertical="center"/>
      <protection locked="0"/>
    </xf>
    <xf numFmtId="3" fontId="34" fillId="0" borderId="17" xfId="0" applyNumberFormat="1" applyFont="1" applyFill="1" applyBorder="1" applyAlignment="1" applyProtection="1">
      <alignment vertical="center"/>
    </xf>
    <xf numFmtId="49" fontId="84" fillId="0" borderId="8" xfId="0" quotePrefix="1" applyNumberFormat="1" applyFont="1" applyFill="1" applyBorder="1" applyAlignment="1" applyProtection="1">
      <alignment horizontal="left" vertical="center" indent="1"/>
    </xf>
    <xf numFmtId="3" fontId="84" fillId="0" borderId="2" xfId="0" applyNumberFormat="1" applyFont="1" applyFill="1" applyBorder="1" applyAlignment="1" applyProtection="1">
      <alignment vertical="center"/>
      <protection locked="0"/>
    </xf>
    <xf numFmtId="3" fontId="84" fillId="0" borderId="18" xfId="0" applyNumberFormat="1" applyFont="1" applyFill="1" applyBorder="1" applyAlignment="1" applyProtection="1">
      <alignment vertical="center"/>
    </xf>
    <xf numFmtId="49" fontId="34" fillId="0" borderId="8" xfId="0" applyNumberFormat="1" applyFont="1" applyFill="1" applyBorder="1" applyAlignment="1" applyProtection="1">
      <alignment vertical="center"/>
    </xf>
    <xf numFmtId="49" fontId="34" fillId="0" borderId="10" xfId="0" applyNumberFormat="1" applyFont="1" applyFill="1" applyBorder="1" applyAlignment="1" applyProtection="1">
      <alignment vertical="center"/>
      <protection locked="0"/>
    </xf>
    <xf numFmtId="0" fontId="37" fillId="0" borderId="0" xfId="0" applyFont="1" applyFill="1" applyAlignment="1" applyProtection="1">
      <alignment vertical="center"/>
    </xf>
    <xf numFmtId="49" fontId="34" fillId="0" borderId="8" xfId="0" applyNumberFormat="1" applyFont="1" applyFill="1" applyBorder="1" applyAlignment="1" applyProtection="1">
      <alignment horizontal="left" vertical="center"/>
    </xf>
    <xf numFmtId="49" fontId="34" fillId="0" borderId="8" xfId="0" applyNumberFormat="1" applyFont="1" applyFill="1" applyBorder="1" applyAlignment="1" applyProtection="1">
      <alignment vertical="center"/>
      <protection locked="0"/>
    </xf>
    <xf numFmtId="165" fontId="14" fillId="0" borderId="0" xfId="0" applyNumberFormat="1" applyFont="1" applyFill="1" applyAlignment="1">
      <alignment horizontal="center" vertical="center" wrapText="1"/>
    </xf>
    <xf numFmtId="3" fontId="69" fillId="0" borderId="0" xfId="0" applyNumberFormat="1" applyFont="1" applyFill="1"/>
    <xf numFmtId="3" fontId="35" fillId="0" borderId="19" xfId="0" applyNumberFormat="1" applyFont="1" applyFill="1" applyBorder="1" applyAlignment="1" applyProtection="1">
      <alignment vertical="center"/>
    </xf>
    <xf numFmtId="49" fontId="35" fillId="0" borderId="11" xfId="0" applyNumberFormat="1" applyFont="1" applyFill="1" applyBorder="1" applyAlignment="1" applyProtection="1">
      <alignment vertical="center"/>
    </xf>
    <xf numFmtId="3" fontId="35" fillId="0" borderId="4" xfId="0" applyNumberFormat="1" applyFont="1" applyFill="1" applyBorder="1" applyAlignment="1" applyProtection="1">
      <alignment vertical="center"/>
      <protection locked="0"/>
    </xf>
    <xf numFmtId="3" fontId="35" fillId="0" borderId="17" xfId="0" applyNumberFormat="1" applyFont="1" applyFill="1" applyBorder="1" applyAlignment="1" applyProtection="1">
      <alignment vertical="center"/>
    </xf>
    <xf numFmtId="49" fontId="39" fillId="0" borderId="8" xfId="0" quotePrefix="1" applyNumberFormat="1" applyFont="1" applyFill="1" applyBorder="1" applyAlignment="1" applyProtection="1">
      <alignment horizontal="left" vertical="center" indent="1"/>
    </xf>
    <xf numFmtId="3" fontId="39" fillId="0" borderId="2" xfId="0" applyNumberFormat="1" applyFont="1" applyFill="1" applyBorder="1" applyAlignment="1" applyProtection="1">
      <alignment vertical="center"/>
      <protection locked="0"/>
    </xf>
    <xf numFmtId="3" fontId="39" fillId="0" borderId="18" xfId="0" applyNumberFormat="1" applyFont="1" applyFill="1" applyBorder="1" applyAlignment="1" applyProtection="1">
      <alignment vertical="center"/>
    </xf>
    <xf numFmtId="49" fontId="35" fillId="0" borderId="8" xfId="0" applyNumberFormat="1" applyFont="1" applyFill="1" applyBorder="1" applyAlignment="1" applyProtection="1">
      <alignment vertical="center"/>
    </xf>
    <xf numFmtId="3" fontId="35" fillId="0" borderId="2" xfId="0" applyNumberFormat="1" applyFont="1" applyFill="1" applyBorder="1" applyAlignment="1" applyProtection="1">
      <alignment vertical="center"/>
      <protection locked="0"/>
    </xf>
    <xf numFmtId="3" fontId="35" fillId="0" borderId="18" xfId="0" applyNumberFormat="1" applyFont="1" applyFill="1" applyBorder="1" applyAlignment="1" applyProtection="1">
      <alignment vertical="center"/>
    </xf>
    <xf numFmtId="49" fontId="35" fillId="0" borderId="10" xfId="0" applyNumberFormat="1" applyFont="1" applyFill="1" applyBorder="1" applyAlignment="1" applyProtection="1">
      <alignment vertical="center"/>
      <protection locked="0"/>
    </xf>
    <xf numFmtId="3" fontId="35" fillId="0" borderId="6" xfId="0" applyNumberFormat="1" applyFont="1" applyFill="1" applyBorder="1" applyAlignment="1" applyProtection="1">
      <alignment vertical="center"/>
      <protection locked="0"/>
    </xf>
    <xf numFmtId="3" fontId="35" fillId="0" borderId="14" xfId="0" applyNumberFormat="1" applyFont="1" applyFill="1" applyBorder="1" applyAlignment="1" applyProtection="1">
      <alignment vertical="center"/>
    </xf>
    <xf numFmtId="49" fontId="35" fillId="0" borderId="8" xfId="0" applyNumberFormat="1" applyFont="1" applyFill="1" applyBorder="1" applyAlignment="1" applyProtection="1">
      <alignment horizontal="left" vertical="center"/>
    </xf>
    <xf numFmtId="49" fontId="35" fillId="0" borderId="8" xfId="0" applyNumberFormat="1" applyFont="1" applyFill="1" applyBorder="1" applyAlignment="1" applyProtection="1">
      <alignment vertical="center"/>
      <protection locked="0"/>
    </xf>
    <xf numFmtId="0" fontId="0" fillId="0" borderId="0" xfId="0" applyFont="1" applyFill="1" applyProtection="1"/>
    <xf numFmtId="0" fontId="0" fillId="0" borderId="0" xfId="0"/>
    <xf numFmtId="0" fontId="0" fillId="0" borderId="0" xfId="0" applyFill="1" applyAlignment="1">
      <alignment vertical="center" wrapText="1"/>
    </xf>
    <xf numFmtId="0" fontId="35" fillId="0" borderId="2" xfId="0" applyFont="1" applyBorder="1" applyAlignment="1" applyProtection="1">
      <alignment horizontal="left" vertical="center" indent="1"/>
      <protection locked="0"/>
    </xf>
    <xf numFmtId="165" fontId="0" fillId="0" borderId="0" xfId="0" applyNumberFormat="1" applyFill="1" applyAlignment="1">
      <alignment vertical="center" wrapText="1"/>
    </xf>
    <xf numFmtId="165" fontId="0" fillId="0" borderId="0" xfId="0" applyNumberFormat="1" applyFill="1" applyAlignment="1">
      <alignment horizontal="center" vertical="center" wrapText="1"/>
    </xf>
    <xf numFmtId="0" fontId="16" fillId="0" borderId="0" xfId="0" applyFont="1" applyFill="1" applyAlignment="1">
      <alignment vertical="center" wrapText="1"/>
    </xf>
    <xf numFmtId="0" fontId="19" fillId="0" borderId="0" xfId="23" applyFill="1" applyProtection="1">
      <protection locked="0"/>
    </xf>
    <xf numFmtId="0" fontId="0" fillId="0" borderId="0" xfId="0" applyFill="1" applyAlignment="1" applyProtection="1">
      <alignment vertical="center" wrapText="1"/>
    </xf>
    <xf numFmtId="0" fontId="19" fillId="0" borderId="0" xfId="21" applyFill="1"/>
    <xf numFmtId="0" fontId="19" fillId="0" borderId="0" xfId="21" applyFont="1" applyFill="1"/>
    <xf numFmtId="3" fontId="28" fillId="0" borderId="0" xfId="0" applyNumberFormat="1" applyFont="1" applyFill="1" applyAlignment="1">
      <alignment vertical="center" wrapText="1"/>
    </xf>
    <xf numFmtId="3" fontId="28" fillId="0" borderId="0" xfId="0" applyNumberFormat="1" applyFont="1" applyFill="1" applyAlignment="1">
      <alignment horizontal="right" vertical="center" wrapText="1"/>
    </xf>
    <xf numFmtId="3" fontId="28" fillId="0" borderId="0" xfId="0" applyNumberFormat="1" applyFont="1" applyFill="1" applyAlignment="1" applyProtection="1">
      <alignment vertical="center" wrapText="1"/>
    </xf>
    <xf numFmtId="3" fontId="35" fillId="0" borderId="0" xfId="23" applyNumberFormat="1" applyFont="1" applyFill="1" applyProtection="1">
      <protection locked="0"/>
    </xf>
    <xf numFmtId="0" fontId="35" fillId="0" borderId="2" xfId="0" applyFont="1" applyBorder="1" applyAlignment="1" applyProtection="1">
      <alignment horizontal="left" vertical="center"/>
      <protection locked="0"/>
    </xf>
    <xf numFmtId="0" fontId="36" fillId="0" borderId="15" xfId="0" applyFont="1" applyFill="1" applyBorder="1" applyAlignment="1" applyProtection="1">
      <alignment vertical="center"/>
    </xf>
    <xf numFmtId="0" fontId="36" fillId="0" borderId="16" xfId="0" applyFont="1" applyFill="1" applyBorder="1" applyAlignment="1" applyProtection="1">
      <alignment horizontal="center" vertical="center"/>
    </xf>
    <xf numFmtId="0" fontId="36" fillId="0" borderId="28" xfId="0" applyFont="1" applyFill="1" applyBorder="1" applyAlignment="1" applyProtection="1">
      <alignment horizontal="center" vertical="center"/>
    </xf>
    <xf numFmtId="49" fontId="36" fillId="0" borderId="13" xfId="0" applyNumberFormat="1" applyFont="1" applyFill="1" applyBorder="1" applyAlignment="1" applyProtection="1">
      <alignment vertical="center"/>
    </xf>
    <xf numFmtId="3" fontId="34" fillId="0" borderId="14" xfId="0" applyNumberFormat="1" applyFont="1" applyFill="1" applyBorder="1" applyAlignment="1" applyProtection="1">
      <alignment vertical="center"/>
    </xf>
    <xf numFmtId="3" fontId="34" fillId="0" borderId="19" xfId="0" applyNumberFormat="1" applyFont="1" applyFill="1" applyBorder="1" applyAlignment="1" applyProtection="1">
      <alignment vertical="center"/>
    </xf>
    <xf numFmtId="0" fontId="11" fillId="0" borderId="0" xfId="0" applyFont="1" applyFill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0" fillId="0" borderId="0" xfId="0" applyFill="1" applyBorder="1" applyAlignment="1" applyProtection="1">
      <alignment vertical="center" wrapText="1"/>
    </xf>
    <xf numFmtId="3" fontId="19" fillId="0" borderId="0" xfId="21" applyNumberFormat="1" applyFont="1" applyFill="1" applyAlignment="1">
      <alignment horizontal="right" indent="1"/>
    </xf>
    <xf numFmtId="0" fontId="0" fillId="0" borderId="0" xfId="0" applyNumberFormat="1" applyFill="1" applyAlignment="1">
      <alignment vertical="center" wrapText="1"/>
    </xf>
    <xf numFmtId="0" fontId="0" fillId="0" borderId="0" xfId="0" applyFont="1"/>
    <xf numFmtId="3" fontId="34" fillId="0" borderId="2" xfId="0" applyNumberFormat="1" applyFont="1" applyFill="1" applyBorder="1" applyAlignment="1" applyProtection="1">
      <alignment vertical="center"/>
      <protection locked="0"/>
    </xf>
    <xf numFmtId="3" fontId="34" fillId="0" borderId="18" xfId="0" applyNumberFormat="1" applyFont="1" applyFill="1" applyBorder="1" applyAlignment="1" applyProtection="1">
      <alignment vertical="center"/>
    </xf>
    <xf numFmtId="3" fontId="34" fillId="0" borderId="6" xfId="0" applyNumberFormat="1" applyFont="1" applyFill="1" applyBorder="1" applyAlignment="1" applyProtection="1">
      <alignment vertical="center"/>
      <protection locked="0"/>
    </xf>
    <xf numFmtId="3" fontId="35" fillId="0" borderId="0" xfId="0" applyNumberFormat="1" applyFont="1" applyFill="1" applyAlignment="1" applyProtection="1">
      <alignment vertical="center" wrapText="1"/>
    </xf>
    <xf numFmtId="0" fontId="10" fillId="0" borderId="0" xfId="20" applyFont="1" applyAlignment="1"/>
    <xf numFmtId="0" fontId="35" fillId="0" borderId="5" xfId="21" applyNumberFormat="1" applyFont="1" applyFill="1" applyBorder="1" applyAlignment="1" applyProtection="1">
      <alignment wrapText="1"/>
      <protection locked="0"/>
    </xf>
    <xf numFmtId="3" fontId="35" fillId="0" borderId="2" xfId="21" applyNumberFormat="1" applyFont="1" applyFill="1" applyBorder="1" applyAlignment="1" applyProtection="1">
      <alignment horizontal="center" vertical="center"/>
      <protection locked="0"/>
    </xf>
    <xf numFmtId="2" fontId="32" fillId="0" borderId="23" xfId="25" applyNumberFormat="1" applyFont="1" applyFill="1" applyBorder="1"/>
    <xf numFmtId="170" fontId="11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170" fontId="26" fillId="0" borderId="27" xfId="0" applyNumberFormat="1" applyFont="1" applyFill="1" applyBorder="1" applyAlignment="1">
      <alignment horizontal="right" vertical="center" wrapText="1"/>
    </xf>
    <xf numFmtId="0" fontId="0" fillId="0" borderId="2" xfId="0" applyBorder="1" applyAlignment="1">
      <alignment wrapText="1"/>
    </xf>
    <xf numFmtId="0" fontId="0" fillId="0" borderId="11" xfId="0" quotePrefix="1" applyBorder="1"/>
    <xf numFmtId="0" fontId="0" fillId="0" borderId="4" xfId="0" applyBorder="1" applyAlignment="1">
      <alignment wrapText="1"/>
    </xf>
    <xf numFmtId="0" fontId="0" fillId="0" borderId="8" xfId="0" quotePrefix="1" applyBorder="1"/>
    <xf numFmtId="0" fontId="0" fillId="0" borderId="12" xfId="0" quotePrefix="1" applyBorder="1"/>
    <xf numFmtId="0" fontId="0" fillId="0" borderId="21" xfId="0" applyBorder="1" applyAlignment="1">
      <alignment wrapText="1"/>
    </xf>
    <xf numFmtId="0" fontId="0" fillId="0" borderId="17" xfId="0" applyBorder="1" applyAlignment="1">
      <alignment wrapText="1"/>
    </xf>
    <xf numFmtId="0" fontId="0" fillId="0" borderId="18" xfId="0" applyBorder="1" applyAlignment="1">
      <alignment wrapText="1"/>
    </xf>
    <xf numFmtId="0" fontId="0" fillId="0" borderId="22" xfId="0" applyBorder="1" applyAlignment="1">
      <alignment wrapText="1"/>
    </xf>
    <xf numFmtId="0" fontId="19" fillId="0" borderId="0" xfId="21" applyFont="1" applyFill="1" applyProtection="1"/>
    <xf numFmtId="0" fontId="19" fillId="0" borderId="0" xfId="21" applyFont="1" applyFill="1" applyAlignment="1" applyProtection="1">
      <alignment horizontal="right" vertical="center" indent="1"/>
    </xf>
    <xf numFmtId="0" fontId="19" fillId="0" borderId="0" xfId="21" applyFill="1" applyProtection="1"/>
    <xf numFmtId="0" fontId="49" fillId="0" borderId="0" xfId="18"/>
    <xf numFmtId="0" fontId="49" fillId="0" borderId="0" xfId="19"/>
    <xf numFmtId="3" fontId="25" fillId="0" borderId="0" xfId="19" applyNumberFormat="1" applyFont="1" applyBorder="1"/>
    <xf numFmtId="0" fontId="49" fillId="0" borderId="0" xfId="19" applyFont="1"/>
    <xf numFmtId="165" fontId="34" fillId="0" borderId="27" xfId="21" applyNumberFormat="1" applyFont="1" applyFill="1" applyBorder="1" applyAlignment="1" applyProtection="1">
      <alignment horizontal="right" vertical="center" wrapText="1" indent="1"/>
      <protection locked="0"/>
    </xf>
    <xf numFmtId="165" fontId="31" fillId="0" borderId="14" xfId="0" quotePrefix="1" applyNumberFormat="1" applyFont="1" applyBorder="1" applyAlignment="1" applyProtection="1">
      <alignment horizontal="right" vertical="center" wrapText="1" indent="1"/>
      <protection locked="0"/>
    </xf>
    <xf numFmtId="0" fontId="0" fillId="0" borderId="53" xfId="0" applyBorder="1" applyAlignment="1">
      <alignment vertical="center" wrapText="1"/>
    </xf>
    <xf numFmtId="0" fontId="0" fillId="0" borderId="47" xfId="0" quotePrefix="1" applyBorder="1" applyAlignment="1">
      <alignment vertical="center" wrapText="1"/>
    </xf>
    <xf numFmtId="0" fontId="0" fillId="0" borderId="29" xfId="0" quotePrefix="1" applyBorder="1" applyAlignment="1">
      <alignment vertical="center" wrapText="1"/>
    </xf>
    <xf numFmtId="0" fontId="0" fillId="0" borderId="0" xfId="0" applyFill="1" applyProtection="1"/>
    <xf numFmtId="0" fontId="0" fillId="0" borderId="0" xfId="0" applyFill="1"/>
    <xf numFmtId="0" fontId="0" fillId="0" borderId="0" xfId="0" applyFont="1" applyFill="1"/>
    <xf numFmtId="0" fontId="71" fillId="0" borderId="0" xfId="0" applyFont="1" applyFill="1" applyProtection="1"/>
    <xf numFmtId="0" fontId="103" fillId="0" borderId="15" xfId="0" applyFont="1" applyFill="1" applyBorder="1" applyAlignment="1" applyProtection="1">
      <alignment vertical="center"/>
    </xf>
    <xf numFmtId="49" fontId="68" fillId="0" borderId="11" xfId="0" applyNumberFormat="1" applyFont="1" applyFill="1" applyBorder="1" applyAlignment="1" applyProtection="1">
      <alignment vertical="center"/>
    </xf>
    <xf numFmtId="3" fontId="68" fillId="0" borderId="4" xfId="0" applyNumberFormat="1" applyFont="1" applyFill="1" applyBorder="1" applyAlignment="1" applyProtection="1">
      <alignment vertical="center"/>
      <protection locked="0"/>
    </xf>
    <xf numFmtId="49" fontId="90" fillId="0" borderId="8" xfId="0" quotePrefix="1" applyNumberFormat="1" applyFont="1" applyFill="1" applyBorder="1" applyAlignment="1" applyProtection="1">
      <alignment horizontal="left" vertical="center" indent="1"/>
    </xf>
    <xf numFmtId="3" fontId="90" fillId="0" borderId="2" xfId="0" applyNumberFormat="1" applyFont="1" applyFill="1" applyBorder="1" applyAlignment="1" applyProtection="1">
      <alignment vertical="center"/>
      <protection locked="0"/>
    </xf>
    <xf numFmtId="49" fontId="68" fillId="0" borderId="8" xfId="0" applyNumberFormat="1" applyFont="1" applyFill="1" applyBorder="1" applyAlignment="1" applyProtection="1">
      <alignment vertical="center"/>
    </xf>
    <xf numFmtId="3" fontId="68" fillId="0" borderId="2" xfId="0" applyNumberFormat="1" applyFont="1" applyFill="1" applyBorder="1" applyAlignment="1" applyProtection="1">
      <alignment vertical="center"/>
      <protection locked="0"/>
    </xf>
    <xf numFmtId="3" fontId="67" fillId="0" borderId="2" xfId="0" applyNumberFormat="1" applyFont="1" applyFill="1" applyBorder="1" applyAlignment="1" applyProtection="1">
      <alignment vertical="center"/>
      <protection locked="0"/>
    </xf>
    <xf numFmtId="3" fontId="68" fillId="0" borderId="18" xfId="0" applyNumberFormat="1" applyFont="1" applyFill="1" applyBorder="1" applyAlignment="1" applyProtection="1">
      <alignment vertical="center"/>
    </xf>
    <xf numFmtId="49" fontId="68" fillId="0" borderId="10" xfId="0" applyNumberFormat="1" applyFont="1" applyFill="1" applyBorder="1" applyAlignment="1" applyProtection="1">
      <alignment vertical="center"/>
      <protection locked="0"/>
    </xf>
    <xf numFmtId="3" fontId="68" fillId="0" borderId="6" xfId="0" applyNumberFormat="1" applyFont="1" applyFill="1" applyBorder="1" applyAlignment="1" applyProtection="1">
      <alignment vertical="center"/>
      <protection locked="0"/>
    </xf>
    <xf numFmtId="49" fontId="103" fillId="0" borderId="13" xfId="0" applyNumberFormat="1" applyFont="1" applyFill="1" applyBorder="1" applyAlignment="1" applyProtection="1">
      <alignment vertical="center"/>
    </xf>
    <xf numFmtId="0" fontId="71" fillId="0" borderId="0" xfId="0" applyFont="1" applyFill="1" applyAlignment="1" applyProtection="1">
      <alignment vertical="center"/>
    </xf>
    <xf numFmtId="3" fontId="67" fillId="0" borderId="4" xfId="0" applyNumberFormat="1" applyFont="1" applyFill="1" applyBorder="1" applyAlignment="1" applyProtection="1">
      <alignment vertical="center"/>
      <protection locked="0"/>
    </xf>
    <xf numFmtId="49" fontId="68" fillId="0" borderId="8" xfId="0" applyNumberFormat="1" applyFont="1" applyFill="1" applyBorder="1" applyAlignment="1" applyProtection="1">
      <alignment horizontal="left" vertical="center"/>
    </xf>
    <xf numFmtId="49" fontId="68" fillId="0" borderId="8" xfId="0" applyNumberFormat="1" applyFont="1" applyFill="1" applyBorder="1" applyAlignment="1" applyProtection="1">
      <alignment vertical="center"/>
      <protection locked="0"/>
    </xf>
    <xf numFmtId="165" fontId="65" fillId="0" borderId="18" xfId="21" applyNumberFormat="1" applyFont="1" applyFill="1" applyBorder="1" applyAlignment="1" applyProtection="1">
      <alignment horizontal="right" vertical="center" wrapText="1" indent="1"/>
    </xf>
    <xf numFmtId="3" fontId="72" fillId="0" borderId="21" xfId="26" applyNumberFormat="1" applyFont="1" applyBorder="1" applyAlignment="1">
      <alignment horizontal="right"/>
    </xf>
    <xf numFmtId="165" fontId="35" fillId="0" borderId="8" xfId="0" applyNumberFormat="1" applyFont="1" applyFill="1" applyBorder="1" applyAlignment="1" applyProtection="1">
      <alignment horizontal="left" vertical="center" wrapText="1" indent="1"/>
    </xf>
    <xf numFmtId="0" fontId="8" fillId="0" borderId="0" xfId="0" applyFont="1" applyFill="1" applyAlignment="1" applyProtection="1">
      <alignment horizontal="center" vertical="center" wrapText="1"/>
    </xf>
    <xf numFmtId="165" fontId="35" fillId="0" borderId="23" xfId="21" applyNumberFormat="1" applyFont="1" applyFill="1" applyBorder="1" applyAlignment="1" applyProtection="1">
      <alignment horizontal="right" vertical="center" wrapText="1" indent="1"/>
    </xf>
    <xf numFmtId="165" fontId="8" fillId="0" borderId="8" xfId="28" applyNumberFormat="1" applyFont="1" applyFill="1" applyBorder="1" applyAlignment="1" applyProtection="1">
      <alignment horizontal="right" vertical="center" wrapText="1"/>
      <protection locked="0"/>
    </xf>
    <xf numFmtId="165" fontId="35" fillId="0" borderId="19" xfId="0" applyNumberFormat="1" applyFont="1" applyFill="1" applyBorder="1" applyAlignment="1" applyProtection="1">
      <alignment horizontal="right" vertical="center" wrapText="1" indent="1"/>
    </xf>
    <xf numFmtId="3" fontId="26" fillId="0" borderId="22" xfId="26" applyNumberFormat="1" applyFont="1" applyBorder="1" applyAlignment="1">
      <alignment horizontal="right"/>
    </xf>
    <xf numFmtId="165" fontId="35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5" fontId="35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35" fillId="0" borderId="22" xfId="0" applyNumberFormat="1" applyFont="1" applyFill="1" applyBorder="1" applyAlignment="1" applyProtection="1">
      <alignment horizontal="right" vertical="center" wrapText="1" indent="1"/>
      <protection locked="0"/>
    </xf>
    <xf numFmtId="165" fontId="34" fillId="0" borderId="19" xfId="0" applyNumberFormat="1" applyFont="1" applyFill="1" applyBorder="1" applyAlignment="1" applyProtection="1">
      <alignment horizontal="right" vertical="center" wrapText="1" indent="1"/>
    </xf>
    <xf numFmtId="165" fontId="34" fillId="0" borderId="44" xfId="0" applyNumberFormat="1" applyFont="1" applyFill="1" applyBorder="1" applyAlignment="1" applyProtection="1">
      <alignment horizontal="right" vertical="center" wrapText="1" indent="1"/>
    </xf>
    <xf numFmtId="165" fontId="65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5" fontId="65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3" fontId="26" fillId="0" borderId="18" xfId="25" applyNumberFormat="1" applyFont="1" applyBorder="1" applyAlignment="1">
      <alignment horizontal="right"/>
    </xf>
    <xf numFmtId="3" fontId="67" fillId="0" borderId="2" xfId="25" applyNumberFormat="1" applyFont="1" applyBorder="1" applyAlignment="1">
      <alignment horizontal="right"/>
    </xf>
    <xf numFmtId="3" fontId="67" fillId="0" borderId="2" xfId="26" applyNumberFormat="1" applyFont="1" applyBorder="1" applyAlignment="1">
      <alignment horizontal="right"/>
    </xf>
    <xf numFmtId="165" fontId="35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165" fontId="35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165" fontId="35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165" fontId="35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165" fontId="35" fillId="0" borderId="57" xfId="21" applyNumberFormat="1" applyFont="1" applyFill="1" applyBorder="1" applyAlignment="1" applyProtection="1">
      <alignment horizontal="right" vertical="center" wrapText="1" indent="1"/>
      <protection locked="0"/>
    </xf>
    <xf numFmtId="166" fontId="8" fillId="0" borderId="36" xfId="26" applyNumberFormat="1" applyFont="1" applyBorder="1" applyAlignment="1"/>
    <xf numFmtId="0" fontId="0" fillId="0" borderId="47" xfId="0" quotePrefix="1" applyFont="1" applyBorder="1"/>
    <xf numFmtId="0" fontId="0" fillId="0" borderId="36" xfId="0" applyFont="1" applyBorder="1" applyAlignment="1">
      <alignment wrapText="1"/>
    </xf>
    <xf numFmtId="0" fontId="0" fillId="0" borderId="47" xfId="0" quotePrefix="1" applyFont="1" applyBorder="1" applyAlignment="1">
      <alignment vertical="center" wrapText="1"/>
    </xf>
    <xf numFmtId="0" fontId="0" fillId="0" borderId="36" xfId="0" applyFont="1" applyBorder="1" applyAlignment="1">
      <alignment vertical="center" wrapText="1"/>
    </xf>
    <xf numFmtId="165" fontId="41" fillId="0" borderId="24" xfId="21" applyNumberFormat="1" applyFont="1" applyFill="1" applyBorder="1" applyAlignment="1" applyProtection="1">
      <alignment horizontal="left" vertical="center"/>
    </xf>
    <xf numFmtId="0" fontId="23" fillId="0" borderId="0" xfId="0" applyFont="1" applyAlignment="1">
      <alignment horizontal="center" wrapText="1"/>
    </xf>
    <xf numFmtId="0" fontId="0" fillId="0" borderId="0" xfId="0" applyFill="1" applyAlignment="1">
      <alignment horizontal="right" vertical="center" wrapText="1"/>
    </xf>
    <xf numFmtId="0" fontId="19" fillId="0" borderId="0" xfId="23" applyFill="1" applyAlignment="1" applyProtection="1">
      <alignment horizontal="right"/>
    </xf>
    <xf numFmtId="0" fontId="30" fillId="0" borderId="0" xfId="0" applyFont="1" applyAlignment="1">
      <alignment horizontal="center" wrapText="1"/>
    </xf>
    <xf numFmtId="0" fontId="35" fillId="0" borderId="16" xfId="21" applyFont="1" applyFill="1" applyBorder="1" applyAlignment="1" applyProtection="1">
      <alignment horizontal="center" vertical="center" wrapText="1"/>
    </xf>
    <xf numFmtId="0" fontId="18" fillId="0" borderId="0" xfId="48" applyFont="1" applyFill="1" applyBorder="1" applyAlignment="1" applyProtection="1"/>
    <xf numFmtId="3" fontId="22" fillId="0" borderId="2" xfId="49" applyNumberFormat="1" applyFont="1" applyFill="1" applyBorder="1" applyAlignment="1" applyProtection="1">
      <alignment horizontal="right"/>
      <protection locked="0"/>
    </xf>
    <xf numFmtId="3" fontId="37" fillId="0" borderId="20" xfId="49" applyNumberFormat="1" applyFont="1" applyFill="1" applyBorder="1" applyAlignment="1">
      <alignment horizontal="right"/>
    </xf>
    <xf numFmtId="3" fontId="22" fillId="0" borderId="5" xfId="49" applyNumberFormat="1" applyFont="1" applyFill="1" applyBorder="1" applyAlignment="1" applyProtection="1">
      <alignment horizontal="right"/>
      <protection locked="0"/>
    </xf>
    <xf numFmtId="3" fontId="22" fillId="0" borderId="67" xfId="49" applyNumberFormat="1" applyFont="1" applyFill="1" applyBorder="1" applyAlignment="1" applyProtection="1">
      <alignment horizontal="right"/>
      <protection locked="0"/>
    </xf>
    <xf numFmtId="3" fontId="22" fillId="0" borderId="1" xfId="49" applyNumberFormat="1" applyFont="1" applyFill="1" applyBorder="1" applyAlignment="1" applyProtection="1">
      <alignment horizontal="right"/>
      <protection locked="0"/>
    </xf>
    <xf numFmtId="3" fontId="68" fillId="0" borderId="2" xfId="25" applyNumberFormat="1" applyFont="1" applyBorder="1" applyAlignment="1">
      <alignment horizontal="right"/>
    </xf>
    <xf numFmtId="0" fontId="15" fillId="0" borderId="37" xfId="50" applyNumberFormat="1" applyFont="1" applyFill="1" applyBorder="1" applyAlignment="1" applyProtection="1">
      <alignment horizontal="center" vertical="center"/>
    </xf>
    <xf numFmtId="0" fontId="15" fillId="0" borderId="22" xfId="50" applyNumberFormat="1" applyFont="1" applyFill="1" applyBorder="1" applyAlignment="1" applyProtection="1">
      <alignment horizontal="center" vertical="center" wrapText="1"/>
    </xf>
    <xf numFmtId="165" fontId="26" fillId="0" borderId="63" xfId="50" applyNumberFormat="1" applyFont="1" applyFill="1" applyBorder="1" applyAlignment="1" applyProtection="1">
      <alignment horizontal="center" vertical="center" wrapText="1"/>
    </xf>
    <xf numFmtId="0" fontId="26" fillId="0" borderId="61" xfId="50" applyNumberFormat="1" applyFont="1" applyFill="1" applyBorder="1" applyAlignment="1" applyProtection="1">
      <alignment horizontal="center" vertical="center" wrapText="1"/>
    </xf>
    <xf numFmtId="0" fontId="26" fillId="0" borderId="62" xfId="50" applyNumberFormat="1" applyFont="1" applyFill="1" applyBorder="1" applyAlignment="1" applyProtection="1">
      <alignment horizontal="center" vertical="center" wrapText="1"/>
    </xf>
    <xf numFmtId="165" fontId="26" fillId="0" borderId="61" xfId="50" applyNumberFormat="1" applyFont="1" applyFill="1" applyBorder="1" applyAlignment="1" applyProtection="1">
      <alignment horizontal="center" vertical="center" wrapText="1"/>
    </xf>
    <xf numFmtId="165" fontId="26" fillId="0" borderId="62" xfId="50" applyNumberFormat="1" applyFont="1" applyFill="1" applyBorder="1" applyAlignment="1" applyProtection="1">
      <alignment horizontal="center" vertical="center" wrapText="1"/>
    </xf>
    <xf numFmtId="165" fontId="26" fillId="0" borderId="28" xfId="50" applyNumberFormat="1" applyFont="1" applyFill="1" applyBorder="1" applyAlignment="1" applyProtection="1">
      <alignment horizontal="center" vertical="center" wrapText="1"/>
    </xf>
    <xf numFmtId="165" fontId="26" fillId="0" borderId="38" xfId="50" applyNumberFormat="1" applyFont="1" applyFill="1" applyBorder="1" applyAlignment="1" applyProtection="1">
      <alignment horizontal="center" vertical="center" wrapText="1"/>
    </xf>
    <xf numFmtId="165" fontId="26" fillId="0" borderId="58" xfId="50" applyNumberFormat="1" applyFont="1" applyFill="1" applyBorder="1" applyAlignment="1" applyProtection="1">
      <alignment horizontal="center" vertical="center" wrapText="1"/>
    </xf>
    <xf numFmtId="0" fontId="26" fillId="0" borderId="55" xfId="50" applyNumberFormat="1" applyFont="1" applyFill="1" applyBorder="1" applyAlignment="1" applyProtection="1">
      <alignment vertical="center" wrapText="1"/>
    </xf>
    <xf numFmtId="0" fontId="28" fillId="0" borderId="4" xfId="50" applyNumberFormat="1" applyFont="1" applyFill="1" applyBorder="1" applyAlignment="1" applyProtection="1">
      <alignment horizontal="left" vertical="center" wrapText="1" indent="2"/>
      <protection locked="0"/>
    </xf>
    <xf numFmtId="3" fontId="28" fillId="0" borderId="4" xfId="50" applyNumberFormat="1" applyFont="1" applyFill="1" applyBorder="1" applyAlignment="1" applyProtection="1">
      <alignment horizontal="center" vertical="center" wrapText="1"/>
      <protection locked="0"/>
    </xf>
    <xf numFmtId="3" fontId="34" fillId="0" borderId="17" xfId="50" applyNumberFormat="1" applyFont="1" applyFill="1" applyBorder="1" applyAlignment="1" applyProtection="1">
      <alignment horizontal="center" vertical="center" wrapText="1"/>
    </xf>
    <xf numFmtId="165" fontId="26" fillId="0" borderId="74" xfId="50" applyNumberFormat="1" applyFont="1" applyFill="1" applyBorder="1" applyAlignment="1" applyProtection="1">
      <alignment horizontal="center" vertical="center" wrapText="1"/>
    </xf>
    <xf numFmtId="0" fontId="35" fillId="0" borderId="54" xfId="50" applyNumberFormat="1" applyFont="1" applyFill="1" applyBorder="1" applyAlignment="1" applyProtection="1">
      <alignment vertical="center" wrapText="1"/>
    </xf>
    <xf numFmtId="0" fontId="28" fillId="0" borderId="21" xfId="50" applyNumberFormat="1" applyFont="1" applyFill="1" applyBorder="1" applyAlignment="1" applyProtection="1">
      <alignment horizontal="left" vertical="center" wrapText="1" indent="2"/>
      <protection locked="0"/>
    </xf>
    <xf numFmtId="3" fontId="28" fillId="0" borderId="21" xfId="50" applyNumberFormat="1" applyFont="1" applyFill="1" applyBorder="1" applyAlignment="1" applyProtection="1">
      <alignment horizontal="center" vertical="center" wrapText="1"/>
      <protection locked="0"/>
    </xf>
    <xf numFmtId="165" fontId="26" fillId="0" borderId="27" xfId="50" applyNumberFormat="1" applyFont="1" applyFill="1" applyBorder="1" applyAlignment="1" applyProtection="1">
      <alignment horizontal="center" vertical="center" wrapText="1"/>
    </xf>
    <xf numFmtId="0" fontId="26" fillId="0" borderId="33" xfId="50" applyNumberFormat="1" applyFont="1" applyFill="1" applyBorder="1" applyAlignment="1" applyProtection="1">
      <alignment vertical="center" wrapText="1"/>
    </xf>
    <xf numFmtId="0" fontId="22" fillId="0" borderId="14" xfId="50" applyNumberFormat="1" applyFont="1" applyFill="1" applyBorder="1" applyAlignment="1" applyProtection="1">
      <alignment horizontal="left" vertical="center" wrapText="1" indent="2"/>
      <protection locked="0"/>
    </xf>
    <xf numFmtId="3" fontId="28" fillId="0" borderId="14" xfId="50" applyNumberFormat="1" applyFont="1" applyFill="1" applyBorder="1" applyAlignment="1" applyProtection="1">
      <alignment horizontal="center" vertical="center" wrapText="1"/>
      <protection locked="0"/>
    </xf>
    <xf numFmtId="3" fontId="28" fillId="0" borderId="68" xfId="50" applyNumberFormat="1" applyFont="1" applyFill="1" applyBorder="1" applyAlignment="1" applyProtection="1">
      <alignment horizontal="center" vertical="center" wrapText="1"/>
      <protection locked="0"/>
    </xf>
    <xf numFmtId="3" fontId="34" fillId="0" borderId="27" xfId="50" applyNumberFormat="1" applyFont="1" applyFill="1" applyBorder="1" applyAlignment="1" applyProtection="1">
      <alignment horizontal="center" vertical="center" wrapText="1"/>
    </xf>
    <xf numFmtId="165" fontId="26" fillId="0" borderId="42" xfId="50" applyNumberFormat="1" applyFont="1" applyFill="1" applyBorder="1" applyAlignment="1" applyProtection="1">
      <alignment horizontal="center" vertical="center" wrapText="1"/>
    </xf>
    <xf numFmtId="0" fontId="35" fillId="0" borderId="2" xfId="50" applyNumberFormat="1" applyFont="1" applyFill="1" applyBorder="1" applyAlignment="1" applyProtection="1">
      <alignment horizontal="left" vertical="center" wrapText="1" indent="2"/>
      <protection locked="0"/>
    </xf>
    <xf numFmtId="3" fontId="35" fillId="0" borderId="2" xfId="50" applyNumberFormat="1" applyFont="1" applyFill="1" applyBorder="1" applyAlignment="1" applyProtection="1">
      <alignment horizontal="center" vertical="center" wrapText="1"/>
      <protection locked="0"/>
    </xf>
    <xf numFmtId="3" fontId="35" fillId="0" borderId="2" xfId="51" applyNumberFormat="1" applyFont="1" applyFill="1" applyBorder="1" applyAlignment="1" applyProtection="1">
      <alignment horizontal="center" vertical="center"/>
      <protection locked="0"/>
    </xf>
    <xf numFmtId="3" fontId="35" fillId="0" borderId="2" xfId="50" applyNumberFormat="1" applyFont="1" applyFill="1" applyBorder="1" applyAlignment="1" applyProtection="1">
      <alignment horizontal="center" vertical="center"/>
      <protection locked="0"/>
    </xf>
    <xf numFmtId="3" fontId="34" fillId="0" borderId="20" xfId="50" applyNumberFormat="1" applyFont="1" applyFill="1" applyBorder="1" applyAlignment="1" applyProtection="1">
      <alignment horizontal="center" vertical="center" wrapText="1"/>
    </xf>
    <xf numFmtId="0" fontId="35" fillId="0" borderId="77" xfId="50" applyNumberFormat="1" applyFont="1" applyFill="1" applyBorder="1" applyAlignment="1" applyProtection="1">
      <alignment vertical="center" wrapText="1"/>
    </xf>
    <xf numFmtId="0" fontId="35" fillId="0" borderId="3" xfId="50" applyNumberFormat="1" applyFont="1" applyFill="1" applyBorder="1" applyAlignment="1" applyProtection="1">
      <alignment horizontal="left" vertical="center" wrapText="1" indent="2"/>
      <protection locked="0"/>
    </xf>
    <xf numFmtId="3" fontId="35" fillId="0" borderId="3" xfId="50" applyNumberFormat="1" applyFont="1" applyFill="1" applyBorder="1" applyAlignment="1" applyProtection="1">
      <alignment horizontal="center" vertical="center" wrapText="1"/>
      <protection locked="0"/>
    </xf>
    <xf numFmtId="0" fontId="35" fillId="0" borderId="67" xfId="50" applyNumberFormat="1" applyFont="1" applyFill="1" applyBorder="1" applyAlignment="1" applyProtection="1">
      <alignment vertical="center" wrapText="1"/>
    </xf>
    <xf numFmtId="0" fontId="35" fillId="0" borderId="1" xfId="50" applyNumberFormat="1" applyFont="1" applyFill="1" applyBorder="1" applyAlignment="1" applyProtection="1">
      <alignment horizontal="left" vertical="center" wrapText="1" indent="2"/>
      <protection locked="0"/>
    </xf>
    <xf numFmtId="3" fontId="35" fillId="0" borderId="1" xfId="50" applyNumberFormat="1" applyFont="1" applyFill="1" applyBorder="1" applyAlignment="1" applyProtection="1">
      <alignment horizontal="center" vertical="center" wrapText="1"/>
      <protection locked="0"/>
    </xf>
    <xf numFmtId="0" fontId="35" fillId="0" borderId="5" xfId="50" applyNumberFormat="1" applyFont="1" applyFill="1" applyBorder="1" applyAlignment="1" applyProtection="1">
      <alignment vertical="center" wrapText="1"/>
      <protection locked="0"/>
    </xf>
    <xf numFmtId="3" fontId="34" fillId="0" borderId="18" xfId="50" applyNumberFormat="1" applyFont="1" applyFill="1" applyBorder="1" applyAlignment="1" applyProtection="1">
      <alignment horizontal="center" vertical="center" wrapText="1"/>
    </xf>
    <xf numFmtId="0" fontId="22" fillId="7" borderId="68" xfId="50" applyNumberFormat="1" applyFont="1" applyFill="1" applyBorder="1" applyAlignment="1" applyProtection="1">
      <alignment horizontal="left" vertical="center" wrapText="1" indent="2"/>
    </xf>
    <xf numFmtId="169" fontId="23" fillId="0" borderId="0" xfId="52" applyNumberFormat="1" applyFont="1" applyFill="1" applyBorder="1" applyAlignment="1" applyProtection="1">
      <alignment horizontal="right"/>
    </xf>
    <xf numFmtId="0" fontId="105" fillId="0" borderId="0" xfId="0" applyFont="1" applyFill="1" applyBorder="1" applyAlignment="1" applyProtection="1">
      <alignment vertical="center" wrapText="1"/>
    </xf>
    <xf numFmtId="3" fontId="32" fillId="0" borderId="41" xfId="27" applyNumberFormat="1" applyFont="1" applyBorder="1" applyAlignment="1" applyProtection="1">
      <alignment horizontal="right" vertical="center" wrapText="1" indent="1"/>
    </xf>
    <xf numFmtId="3" fontId="33" fillId="0" borderId="27" xfId="27" applyNumberFormat="1" applyFont="1" applyBorder="1" applyAlignment="1" applyProtection="1">
      <alignment horizontal="right" vertical="center" wrapText="1" indent="1"/>
    </xf>
    <xf numFmtId="0" fontId="35" fillId="0" borderId="6" xfId="0" applyFont="1" applyBorder="1" applyAlignment="1" applyProtection="1">
      <alignment horizontal="left" vertical="center"/>
      <protection locked="0"/>
    </xf>
    <xf numFmtId="3" fontId="35" fillId="0" borderId="2" xfId="26" applyNumberFormat="1" applyFont="1" applyBorder="1" applyAlignment="1">
      <alignment horizontal="right"/>
    </xf>
    <xf numFmtId="3" fontId="26" fillId="0" borderId="21" xfId="26" applyNumberFormat="1" applyFont="1" applyBorder="1" applyAlignment="1">
      <alignment horizontal="right"/>
    </xf>
    <xf numFmtId="165" fontId="67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0" fontId="37" fillId="0" borderId="6" xfId="21" applyFont="1" applyFill="1" applyBorder="1" applyAlignment="1">
      <alignment horizontal="center" vertical="center" wrapText="1"/>
    </xf>
    <xf numFmtId="0" fontId="113" fillId="0" borderId="0" xfId="21" applyFont="1" applyFill="1" applyProtection="1"/>
    <xf numFmtId="3" fontId="66" fillId="0" borderId="20" xfId="49" applyNumberFormat="1" applyFont="1" applyFill="1" applyBorder="1" applyAlignment="1">
      <alignment horizontal="right"/>
    </xf>
    <xf numFmtId="0" fontId="22" fillId="0" borderId="38" xfId="21" applyFont="1" applyFill="1" applyBorder="1" applyAlignment="1">
      <alignment horizontal="center" vertical="center"/>
    </xf>
    <xf numFmtId="0" fontId="22" fillId="0" borderId="75" xfId="21" applyFont="1" applyFill="1" applyBorder="1" applyAlignment="1">
      <alignment horizontal="center" vertical="center"/>
    </xf>
    <xf numFmtId="0" fontId="116" fillId="0" borderId="2" xfId="48" applyNumberFormat="1" applyFont="1" applyFill="1" applyBorder="1" applyAlignment="1" applyProtection="1">
      <alignment vertical="center" wrapText="1"/>
      <protection locked="0"/>
    </xf>
    <xf numFmtId="0" fontId="116" fillId="0" borderId="2" xfId="21" applyFont="1" applyFill="1" applyBorder="1" applyAlignment="1" applyProtection="1">
      <alignment horizontal="left"/>
      <protection locked="0"/>
    </xf>
    <xf numFmtId="166" fontId="116" fillId="0" borderId="18" xfId="26" applyNumberFormat="1" applyFont="1" applyFill="1" applyBorder="1" applyProtection="1">
      <protection locked="0"/>
    </xf>
    <xf numFmtId="166" fontId="65" fillId="0" borderId="18" xfId="26" applyNumberFormat="1" applyFont="1" applyFill="1" applyBorder="1" applyProtection="1">
      <protection locked="0"/>
    </xf>
    <xf numFmtId="165" fontId="8" fillId="0" borderId="10" xfId="28" applyNumberFormat="1" applyFont="1" applyFill="1" applyBorder="1" applyAlignment="1" applyProtection="1">
      <alignment horizontal="right" vertical="center" wrapText="1"/>
      <protection locked="0"/>
    </xf>
    <xf numFmtId="165" fontId="37" fillId="0" borderId="0" xfId="0" applyNumberFormat="1" applyFont="1" applyFill="1" applyAlignment="1">
      <alignment horizontal="left" vertical="top" wrapText="1"/>
    </xf>
    <xf numFmtId="3" fontId="8" fillId="0" borderId="0" xfId="21" applyNumberFormat="1" applyFont="1" applyFill="1" applyAlignment="1">
      <alignment horizontal="right" indent="1"/>
    </xf>
    <xf numFmtId="0" fontId="8" fillId="0" borderId="0" xfId="21" applyFont="1" applyFill="1" applyProtection="1"/>
    <xf numFmtId="3" fontId="8" fillId="0" borderId="2" xfId="21" applyNumberFormat="1" applyFont="1" applyFill="1" applyBorder="1" applyAlignment="1" applyProtection="1">
      <alignment horizontal="right"/>
      <protection locked="0"/>
    </xf>
    <xf numFmtId="3" fontId="8" fillId="0" borderId="2" xfId="48" applyNumberFormat="1" applyFont="1" applyFill="1" applyBorder="1" applyAlignment="1" applyProtection="1">
      <alignment horizontal="right" vertical="center" wrapText="1"/>
      <protection locked="0"/>
    </xf>
    <xf numFmtId="3" fontId="8" fillId="0" borderId="2" xfId="49" applyNumberFormat="1" applyFont="1" applyFill="1" applyBorder="1" applyAlignment="1" applyProtection="1">
      <alignment horizontal="right"/>
      <protection locked="0"/>
    </xf>
    <xf numFmtId="0" fontId="35" fillId="0" borderId="2" xfId="48" applyNumberFormat="1" applyFont="1" applyFill="1" applyBorder="1" applyAlignment="1" applyProtection="1">
      <alignment vertical="center" wrapText="1"/>
      <protection locked="0"/>
    </xf>
    <xf numFmtId="3" fontId="37" fillId="0" borderId="18" xfId="49" applyNumberFormat="1" applyFont="1" applyFill="1" applyBorder="1" applyAlignment="1">
      <alignment horizontal="right"/>
    </xf>
    <xf numFmtId="165" fontId="8" fillId="0" borderId="9" xfId="28" applyNumberFormat="1" applyFont="1" applyFill="1" applyBorder="1" applyAlignment="1" applyProtection="1">
      <alignment horizontal="right" vertical="center" wrapText="1"/>
      <protection locked="0"/>
    </xf>
    <xf numFmtId="49" fontId="8" fillId="0" borderId="3" xfId="0" applyNumberFormat="1" applyFont="1" applyFill="1" applyBorder="1" applyAlignment="1" applyProtection="1">
      <alignment horizontal="center" vertical="center" wrapText="1"/>
      <protection locked="0"/>
    </xf>
    <xf numFmtId="165" fontId="8" fillId="0" borderId="3" xfId="0" applyNumberFormat="1" applyFont="1" applyFill="1" applyBorder="1" applyAlignment="1" applyProtection="1">
      <alignment horizontal="right" vertical="center" wrapText="1"/>
      <protection locked="0"/>
    </xf>
    <xf numFmtId="165" fontId="65" fillId="0" borderId="44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75" xfId="0" quotePrefix="1" applyFont="1" applyBorder="1" applyAlignment="1">
      <alignment vertical="center" wrapText="1"/>
    </xf>
    <xf numFmtId="0" fontId="0" fillId="0" borderId="50" xfId="0" applyFont="1" applyBorder="1" applyAlignment="1">
      <alignment vertical="center" wrapText="1"/>
    </xf>
    <xf numFmtId="0" fontId="0" fillId="0" borderId="75" xfId="0" quotePrefix="1" applyBorder="1" applyAlignment="1">
      <alignment vertical="center" wrapText="1"/>
    </xf>
    <xf numFmtId="0" fontId="0" fillId="0" borderId="50" xfId="0" applyBorder="1" applyAlignment="1">
      <alignment vertical="center" wrapText="1"/>
    </xf>
    <xf numFmtId="165" fontId="34" fillId="0" borderId="18" xfId="21" applyNumberFormat="1" applyFont="1" applyFill="1" applyBorder="1" applyAlignment="1" applyProtection="1">
      <alignment horizontal="right" vertical="center" wrapText="1" indent="1"/>
    </xf>
    <xf numFmtId="0" fontId="38" fillId="0" borderId="24" xfId="0" applyFont="1" applyFill="1" applyBorder="1" applyAlignment="1" applyProtection="1">
      <alignment horizontal="right"/>
    </xf>
    <xf numFmtId="0" fontId="75" fillId="0" borderId="0" xfId="0" applyFont="1" applyFill="1" applyAlignment="1" applyProtection="1">
      <alignment horizontal="right" vertical="top"/>
    </xf>
    <xf numFmtId="0" fontId="33" fillId="0" borderId="13" xfId="0" applyFont="1" applyFill="1" applyBorder="1" applyAlignment="1" applyProtection="1">
      <alignment horizontal="center" vertical="center" wrapText="1"/>
    </xf>
    <xf numFmtId="0" fontId="43" fillId="0" borderId="33" xfId="0" applyFont="1" applyFill="1" applyBorder="1" applyAlignment="1" applyProtection="1">
      <alignment horizontal="left" wrapText="1" indent="1"/>
    </xf>
    <xf numFmtId="0" fontId="44" fillId="0" borderId="0" xfId="0" applyFont="1" applyFill="1" applyAlignment="1" applyProtection="1">
      <alignment horizontal="right" vertical="top"/>
    </xf>
    <xf numFmtId="167" fontId="69" fillId="0" borderId="26" xfId="26" applyNumberFormat="1" applyFont="1" applyFill="1" applyBorder="1" applyAlignment="1" applyProtection="1">
      <alignment horizontal="right" vertical="center" wrapText="1" indent="1"/>
    </xf>
    <xf numFmtId="0" fontId="120" fillId="0" borderId="14" xfId="18" applyFont="1" applyBorder="1" applyAlignment="1">
      <alignment horizontal="left" vertical="center" wrapText="1"/>
    </xf>
    <xf numFmtId="49" fontId="120" fillId="0" borderId="13" xfId="18" applyNumberFormat="1" applyFont="1" applyBorder="1" applyAlignment="1">
      <alignment horizontal="left" vertical="center" wrapText="1"/>
    </xf>
    <xf numFmtId="0" fontId="120" fillId="0" borderId="35" xfId="55" applyFont="1" applyBorder="1" applyAlignment="1">
      <alignment horizontal="left" vertical="center" wrapText="1"/>
    </xf>
    <xf numFmtId="0" fontId="119" fillId="0" borderId="4" xfId="18" applyFont="1" applyBorder="1" applyAlignment="1">
      <alignment horizontal="left" vertical="center" wrapText="1"/>
    </xf>
    <xf numFmtId="49" fontId="119" fillId="0" borderId="11" xfId="18" applyNumberFormat="1" applyFont="1" applyBorder="1" applyAlignment="1">
      <alignment vertical="center"/>
    </xf>
    <xf numFmtId="49" fontId="119" fillId="0" borderId="8" xfId="18" applyNumberFormat="1" applyFont="1" applyBorder="1" applyAlignment="1">
      <alignment vertical="center"/>
    </xf>
    <xf numFmtId="49" fontId="118" fillId="0" borderId="13" xfId="18" applyNumberFormat="1" applyFont="1" applyBorder="1" applyAlignment="1">
      <alignment vertical="center"/>
    </xf>
    <xf numFmtId="49" fontId="119" fillId="0" borderId="9" xfId="18" applyNumberFormat="1" applyFont="1" applyBorder="1" applyAlignment="1">
      <alignment vertical="center"/>
    </xf>
    <xf numFmtId="49" fontId="119" fillId="0" borderId="10" xfId="18" applyNumberFormat="1" applyFont="1" applyBorder="1" applyAlignment="1">
      <alignment vertical="center"/>
    </xf>
    <xf numFmtId="49" fontId="120" fillId="0" borderId="13" xfId="18" applyNumberFormat="1" applyFont="1" applyBorder="1" applyAlignment="1">
      <alignment vertical="center"/>
    </xf>
    <xf numFmtId="169" fontId="120" fillId="0" borderId="19" xfId="53" applyNumberFormat="1" applyFont="1" applyFill="1" applyBorder="1" applyAlignment="1">
      <alignment horizontal="right" vertical="center"/>
    </xf>
    <xf numFmtId="169" fontId="119" fillId="0" borderId="20" xfId="18" applyNumberFormat="1" applyFont="1" applyFill="1" applyBorder="1" applyAlignment="1">
      <alignment horizontal="right" vertical="center"/>
    </xf>
    <xf numFmtId="169" fontId="119" fillId="0" borderId="23" xfId="18" applyNumberFormat="1" applyFont="1" applyFill="1" applyBorder="1" applyAlignment="1">
      <alignment horizontal="right" vertical="center"/>
    </xf>
    <xf numFmtId="49" fontId="119" fillId="0" borderId="39" xfId="18" applyNumberFormat="1" applyFont="1" applyBorder="1" applyAlignment="1">
      <alignment vertical="center"/>
    </xf>
    <xf numFmtId="49" fontId="120" fillId="0" borderId="13" xfId="18" applyNumberFormat="1" applyFont="1" applyBorder="1" applyAlignment="1">
      <alignment vertical="center" wrapText="1"/>
    </xf>
    <xf numFmtId="0" fontId="118" fillId="0" borderId="14" xfId="18" applyFont="1" applyBorder="1" applyAlignment="1">
      <alignment horizontal="left" vertical="center" wrapText="1"/>
    </xf>
    <xf numFmtId="169" fontId="118" fillId="0" borderId="19" xfId="53" applyNumberFormat="1" applyFont="1" applyFill="1" applyBorder="1" applyAlignment="1">
      <alignment horizontal="right" vertical="center"/>
    </xf>
    <xf numFmtId="0" fontId="119" fillId="0" borderId="3" xfId="18" applyFont="1" applyBorder="1" applyAlignment="1">
      <alignment horizontal="left" vertical="center" wrapText="1"/>
    </xf>
    <xf numFmtId="169" fontId="119" fillId="0" borderId="20" xfId="53" applyNumberFormat="1" applyFont="1" applyFill="1" applyBorder="1" applyAlignment="1">
      <alignment horizontal="right" vertical="center"/>
    </xf>
    <xf numFmtId="0" fontId="119" fillId="0" borderId="2" xfId="54" applyFont="1" applyBorder="1" applyAlignment="1">
      <alignment vertical="center"/>
    </xf>
    <xf numFmtId="49" fontId="119" fillId="0" borderId="7" xfId="18" applyNumberFormat="1" applyFont="1" applyBorder="1" applyAlignment="1">
      <alignment vertical="center"/>
    </xf>
    <xf numFmtId="49" fontId="119" fillId="0" borderId="71" xfId="18" applyNumberFormat="1" applyFont="1" applyBorder="1" applyAlignment="1">
      <alignment vertical="center"/>
    </xf>
    <xf numFmtId="49" fontId="119" fillId="0" borderId="72" xfId="18" applyNumberFormat="1" applyFont="1" applyBorder="1" applyAlignment="1">
      <alignment vertical="center"/>
    </xf>
    <xf numFmtId="49" fontId="118" fillId="0" borderId="35" xfId="18" applyNumberFormat="1" applyFont="1" applyBorder="1" applyAlignment="1">
      <alignment vertical="center"/>
    </xf>
    <xf numFmtId="49" fontId="120" fillId="0" borderId="35" xfId="18" applyNumberFormat="1" applyFont="1" applyBorder="1" applyAlignment="1">
      <alignment vertical="center"/>
    </xf>
    <xf numFmtId="49" fontId="119" fillId="0" borderId="24" xfId="18" applyNumberFormat="1" applyFont="1" applyBorder="1" applyAlignment="1">
      <alignment vertical="center"/>
    </xf>
    <xf numFmtId="49" fontId="120" fillId="0" borderId="35" xfId="18" applyNumberFormat="1" applyFont="1" applyBorder="1" applyAlignment="1">
      <alignment vertical="center" wrapText="1"/>
    </xf>
    <xf numFmtId="0" fontId="119" fillId="0" borderId="25" xfId="54" applyFont="1" applyBorder="1" applyAlignment="1">
      <alignment vertical="center"/>
    </xf>
    <xf numFmtId="0" fontId="119" fillId="0" borderId="1" xfId="55" applyFont="1" applyBorder="1" applyAlignment="1">
      <alignment vertical="center"/>
    </xf>
    <xf numFmtId="0" fontId="120" fillId="0" borderId="14" xfId="55" applyFont="1" applyBorder="1" applyAlignment="1">
      <alignment horizontal="left" vertical="center" wrapText="1"/>
    </xf>
    <xf numFmtId="0" fontId="119" fillId="0" borderId="4" xfId="55" applyFont="1" applyBorder="1" applyAlignment="1">
      <alignment vertical="center"/>
    </xf>
    <xf numFmtId="0" fontId="119" fillId="0" borderId="2" xfId="55" applyFont="1" applyBorder="1" applyAlignment="1">
      <alignment vertical="center"/>
    </xf>
    <xf numFmtId="0" fontId="121" fillId="0" borderId="0" xfId="0" applyFont="1"/>
    <xf numFmtId="14" fontId="49" fillId="0" borderId="0" xfId="18" quotePrefix="1" applyNumberFormat="1"/>
    <xf numFmtId="0" fontId="49" fillId="0" borderId="0" xfId="18" quotePrefix="1"/>
    <xf numFmtId="0" fontId="121" fillId="10" borderId="0" xfId="0" applyFont="1" applyFill="1" applyBorder="1" applyAlignment="1">
      <alignment horizontal="left" vertical="top" wrapText="1"/>
    </xf>
    <xf numFmtId="0" fontId="119" fillId="0" borderId="72" xfId="55" applyFont="1" applyBorder="1" applyAlignment="1">
      <alignment vertical="center"/>
    </xf>
    <xf numFmtId="0" fontId="119" fillId="10" borderId="78" xfId="0" applyFont="1" applyFill="1" applyBorder="1" applyAlignment="1">
      <alignment vertical="center" wrapText="1"/>
    </xf>
    <xf numFmtId="0" fontId="119" fillId="10" borderId="80" xfId="0" applyFont="1" applyFill="1" applyBorder="1" applyAlignment="1">
      <alignment vertical="center" wrapText="1"/>
    </xf>
    <xf numFmtId="0" fontId="119" fillId="10" borderId="79" xfId="0" applyFont="1" applyFill="1" applyBorder="1" applyAlignment="1">
      <alignment vertical="center" wrapText="1"/>
    </xf>
    <xf numFmtId="0" fontId="119" fillId="10" borderId="81" xfId="0" applyFont="1" applyFill="1" applyBorder="1" applyAlignment="1">
      <alignment vertical="center" wrapText="1"/>
    </xf>
    <xf numFmtId="0" fontId="120" fillId="0" borderId="14" xfId="0" applyFont="1" applyBorder="1" applyAlignment="1">
      <alignment vertical="center"/>
    </xf>
    <xf numFmtId="0" fontId="119" fillId="0" borderId="4" xfId="0" applyFont="1" applyBorder="1" applyAlignment="1">
      <alignment vertical="center"/>
    </xf>
    <xf numFmtId="0" fontId="119" fillId="0" borderId="25" xfId="0" applyFont="1" applyBorder="1" applyAlignment="1">
      <alignment vertical="center"/>
    </xf>
    <xf numFmtId="0" fontId="120" fillId="0" borderId="14" xfId="0" applyFont="1" applyBorder="1" applyAlignment="1">
      <alignment vertical="center" wrapText="1"/>
    </xf>
    <xf numFmtId="0" fontId="119" fillId="10" borderId="79" xfId="0" quotePrefix="1" applyNumberFormat="1" applyFont="1" applyFill="1" applyBorder="1" applyAlignment="1">
      <alignment vertical="center" wrapText="1"/>
    </xf>
    <xf numFmtId="0" fontId="118" fillId="10" borderId="14" xfId="0" applyFont="1" applyFill="1" applyBorder="1" applyAlignment="1">
      <alignment vertical="center" wrapText="1"/>
    </xf>
    <xf numFmtId="0" fontId="119" fillId="0" borderId="0" xfId="55" applyFont="1" applyBorder="1" applyAlignment="1">
      <alignment vertical="center"/>
    </xf>
    <xf numFmtId="0" fontId="119" fillId="0" borderId="0" xfId="0" applyFont="1" applyBorder="1" applyAlignment="1">
      <alignment vertical="center"/>
    </xf>
    <xf numFmtId="14" fontId="119" fillId="0" borderId="0" xfId="18" quotePrefix="1" applyNumberFormat="1" applyFont="1" applyBorder="1" applyAlignment="1">
      <alignment vertical="center"/>
    </xf>
    <xf numFmtId="0" fontId="119" fillId="10" borderId="4" xfId="0" applyFont="1" applyFill="1" applyBorder="1" applyAlignment="1">
      <alignment vertical="center" wrapText="1"/>
    </xf>
    <xf numFmtId="0" fontId="118" fillId="10" borderId="82" xfId="0" applyFont="1" applyFill="1" applyBorder="1" applyAlignment="1">
      <alignment horizontal="left" vertical="center" wrapText="1"/>
    </xf>
    <xf numFmtId="0" fontId="119" fillId="0" borderId="69" xfId="55" applyFont="1" applyBorder="1" applyAlignment="1">
      <alignment vertical="center"/>
    </xf>
    <xf numFmtId="0" fontId="119" fillId="0" borderId="49" xfId="55" applyFont="1" applyBorder="1" applyAlignment="1">
      <alignment vertical="center"/>
    </xf>
    <xf numFmtId="169" fontId="119" fillId="0" borderId="18" xfId="53" applyNumberFormat="1" applyFont="1" applyFill="1" applyBorder="1" applyAlignment="1">
      <alignment horizontal="right" vertical="center"/>
    </xf>
    <xf numFmtId="169" fontId="119" fillId="0" borderId="26" xfId="53" applyNumberFormat="1" applyFont="1" applyFill="1" applyBorder="1" applyAlignment="1">
      <alignment horizontal="right" vertical="center"/>
    </xf>
    <xf numFmtId="169" fontId="120" fillId="0" borderId="19" xfId="53" applyNumberFormat="1" applyFont="1" applyFill="1" applyBorder="1" applyAlignment="1">
      <alignment horizontal="right" vertical="center" wrapText="1"/>
    </xf>
    <xf numFmtId="169" fontId="119" fillId="0" borderId="22" xfId="18" applyNumberFormat="1" applyFont="1" applyFill="1" applyBorder="1" applyAlignment="1">
      <alignment horizontal="right" vertical="center"/>
    </xf>
    <xf numFmtId="169" fontId="118" fillId="0" borderId="19" xfId="18" applyNumberFormat="1" applyFont="1" applyFill="1" applyBorder="1" applyAlignment="1">
      <alignment horizontal="right" vertical="center"/>
    </xf>
    <xf numFmtId="169" fontId="112" fillId="0" borderId="0" xfId="18" applyNumberFormat="1" applyFont="1" applyFill="1" applyAlignment="1">
      <alignment horizontal="right"/>
    </xf>
    <xf numFmtId="0" fontId="38" fillId="0" borderId="24" xfId="0" applyFont="1" applyFill="1" applyBorder="1" applyAlignment="1" applyProtection="1">
      <alignment horizontal="right" vertical="center"/>
    </xf>
    <xf numFmtId="0" fontId="34" fillId="0" borderId="28" xfId="21" applyFont="1" applyFill="1" applyBorder="1" applyAlignment="1" applyProtection="1">
      <alignment horizontal="center" vertical="center" wrapText="1"/>
    </xf>
    <xf numFmtId="165" fontId="34" fillId="0" borderId="17" xfId="21" applyNumberFormat="1" applyFont="1" applyFill="1" applyBorder="1" applyAlignment="1" applyProtection="1">
      <alignment horizontal="right" vertical="center" wrapText="1" indent="1"/>
    </xf>
    <xf numFmtId="165" fontId="34" fillId="0" borderId="22" xfId="21" applyNumberFormat="1" applyFont="1" applyFill="1" applyBorder="1" applyAlignment="1" applyProtection="1">
      <alignment horizontal="right" vertical="center" wrapText="1" indent="1"/>
    </xf>
    <xf numFmtId="165" fontId="34" fillId="0" borderId="19" xfId="21" applyNumberFormat="1" applyFont="1" applyFill="1" applyBorder="1" applyAlignment="1" applyProtection="1">
      <alignment horizontal="center" vertical="center" wrapText="1"/>
    </xf>
    <xf numFmtId="165" fontId="69" fillId="0" borderId="75" xfId="28" applyNumberFormat="1" applyFont="1" applyFill="1" applyBorder="1" applyAlignment="1" applyProtection="1">
      <alignment horizontal="left" vertical="center" wrapText="1"/>
      <protection locked="0"/>
    </xf>
    <xf numFmtId="49" fontId="69" fillId="0" borderId="2" xfId="0" applyNumberFormat="1" applyFont="1" applyFill="1" applyBorder="1" applyAlignment="1" applyProtection="1">
      <alignment horizontal="center" vertical="center" wrapText="1"/>
      <protection locked="0"/>
    </xf>
    <xf numFmtId="165" fontId="69" fillId="0" borderId="2" xfId="0" applyNumberFormat="1" applyFont="1" applyFill="1" applyBorder="1" applyAlignment="1" applyProtection="1">
      <alignment horizontal="right" vertical="center" wrapText="1"/>
      <protection locked="0"/>
    </xf>
    <xf numFmtId="165" fontId="69" fillId="0" borderId="8" xfId="28" applyNumberFormat="1" applyFont="1" applyFill="1" applyBorder="1" applyAlignment="1" applyProtection="1">
      <alignment horizontal="right" vertical="center" wrapText="1"/>
      <protection locked="0"/>
    </xf>
    <xf numFmtId="165" fontId="69" fillId="0" borderId="18" xfId="0" applyNumberFormat="1" applyFont="1" applyFill="1" applyBorder="1" applyAlignment="1">
      <alignment vertical="center" wrapText="1"/>
    </xf>
    <xf numFmtId="165" fontId="88" fillId="0" borderId="34" xfId="0" applyNumberFormat="1" applyFont="1" applyFill="1" applyBorder="1" applyAlignment="1" applyProtection="1">
      <alignment horizontal="left" vertical="center" wrapText="1"/>
    </xf>
    <xf numFmtId="165" fontId="76" fillId="0" borderId="34" xfId="0" applyNumberFormat="1" applyFont="1" applyFill="1" applyBorder="1" applyAlignment="1" applyProtection="1">
      <alignment horizontal="center" vertical="center" wrapText="1"/>
    </xf>
    <xf numFmtId="165" fontId="72" fillId="0" borderId="34" xfId="0" applyNumberFormat="1" applyFont="1" applyFill="1" applyBorder="1" applyAlignment="1" applyProtection="1">
      <alignment horizontal="center" vertical="center" wrapText="1"/>
    </xf>
    <xf numFmtId="165" fontId="88" fillId="0" borderId="13" xfId="0" applyNumberFormat="1" applyFont="1" applyFill="1" applyBorder="1" applyAlignment="1" applyProtection="1">
      <alignment horizontal="right" vertical="center" wrapText="1"/>
    </xf>
    <xf numFmtId="0" fontId="8" fillId="0" borderId="47" xfId="21" applyFont="1" applyFill="1" applyBorder="1" applyAlignment="1" applyProtection="1">
      <alignment horizontal="left"/>
      <protection locked="0"/>
    </xf>
    <xf numFmtId="165" fontId="0" fillId="0" borderId="47" xfId="28" applyNumberFormat="1" applyFont="1" applyFill="1" applyBorder="1" applyAlignment="1" applyProtection="1">
      <alignment horizontal="left" vertical="center" wrapText="1"/>
      <protection locked="0"/>
    </xf>
    <xf numFmtId="165" fontId="8" fillId="0" borderId="47" xfId="28" applyNumberFormat="1" applyFont="1" applyFill="1" applyBorder="1" applyAlignment="1" applyProtection="1">
      <alignment horizontal="left" vertical="center" wrapText="1"/>
      <protection locked="0"/>
    </xf>
    <xf numFmtId="165" fontId="69" fillId="0" borderId="47" xfId="28" applyNumberFormat="1" applyFont="1" applyFill="1" applyBorder="1" applyAlignment="1" applyProtection="1">
      <alignment horizontal="left" vertical="center" wrapText="1"/>
      <protection locked="0"/>
    </xf>
    <xf numFmtId="165" fontId="8" fillId="0" borderId="43" xfId="28" applyNumberFormat="1" applyFont="1" applyFill="1" applyBorder="1" applyAlignment="1" applyProtection="1">
      <alignment horizontal="left" vertical="center" wrapText="1"/>
      <protection locked="0"/>
    </xf>
    <xf numFmtId="165" fontId="0" fillId="0" borderId="30" xfId="28" applyNumberFormat="1" applyFont="1" applyFill="1" applyBorder="1" applyAlignment="1" applyProtection="1">
      <alignment horizontal="left" vertical="center" wrapText="1"/>
      <protection locked="0"/>
    </xf>
    <xf numFmtId="165" fontId="69" fillId="0" borderId="11" xfId="28" applyNumberFormat="1" applyFont="1" applyFill="1" applyBorder="1" applyAlignment="1" applyProtection="1">
      <alignment horizontal="right" vertical="center" wrapText="1"/>
      <protection locked="0"/>
    </xf>
    <xf numFmtId="49" fontId="69" fillId="0" borderId="4" xfId="0" applyNumberFormat="1" applyFont="1" applyFill="1" applyBorder="1" applyAlignment="1" applyProtection="1">
      <alignment horizontal="center" vertical="center" wrapText="1"/>
      <protection locked="0"/>
    </xf>
    <xf numFmtId="165" fontId="69" fillId="0" borderId="4" xfId="0" applyNumberFormat="1" applyFont="1" applyFill="1" applyBorder="1" applyAlignment="1" applyProtection="1">
      <alignment horizontal="right" vertical="center" wrapText="1"/>
      <protection locked="0"/>
    </xf>
    <xf numFmtId="165" fontId="69" fillId="0" borderId="17" xfId="0" applyNumberFormat="1" applyFont="1" applyFill="1" applyBorder="1" applyAlignment="1" applyProtection="1">
      <alignment vertical="center" wrapText="1"/>
    </xf>
    <xf numFmtId="165" fontId="78" fillId="0" borderId="9" xfId="28" applyNumberFormat="1" applyFont="1" applyFill="1" applyBorder="1" applyAlignment="1" applyProtection="1">
      <alignment horizontal="right" vertical="center" wrapText="1"/>
      <protection locked="0"/>
    </xf>
    <xf numFmtId="165" fontId="78" fillId="0" borderId="2" xfId="0" applyNumberFormat="1" applyFont="1" applyFill="1" applyBorder="1" applyAlignment="1" applyProtection="1">
      <alignment horizontal="right" vertical="center" wrapText="1"/>
      <protection locked="0"/>
    </xf>
    <xf numFmtId="165" fontId="78" fillId="0" borderId="23" xfId="0" applyNumberFormat="1" applyFont="1" applyFill="1" applyBorder="1" applyAlignment="1" applyProtection="1">
      <alignment vertical="center" wrapText="1"/>
    </xf>
    <xf numFmtId="0" fontId="87" fillId="0" borderId="34" xfId="28" applyFont="1" applyFill="1" applyBorder="1" applyAlignment="1">
      <alignment vertical="center"/>
    </xf>
    <xf numFmtId="165" fontId="37" fillId="0" borderId="13" xfId="28" applyNumberFormat="1" applyFont="1" applyFill="1" applyBorder="1" applyAlignment="1" applyProtection="1">
      <alignment horizontal="right" vertical="center" wrapText="1"/>
      <protection locked="0"/>
    </xf>
    <xf numFmtId="49" fontId="37" fillId="0" borderId="14" xfId="0" applyNumberFormat="1" applyFont="1" applyFill="1" applyBorder="1" applyAlignment="1" applyProtection="1">
      <alignment horizontal="center" vertical="center" wrapText="1"/>
      <protection locked="0"/>
    </xf>
    <xf numFmtId="165" fontId="37" fillId="0" borderId="14" xfId="0" applyNumberFormat="1" applyFont="1" applyFill="1" applyBorder="1" applyAlignment="1" applyProtection="1">
      <alignment horizontal="right" vertical="center" wrapText="1"/>
      <protection locked="0"/>
    </xf>
    <xf numFmtId="165" fontId="22" fillId="0" borderId="19" xfId="0" applyNumberFormat="1" applyFont="1" applyFill="1" applyBorder="1" applyAlignment="1" applyProtection="1">
      <alignment vertical="center" wrapText="1"/>
    </xf>
    <xf numFmtId="0" fontId="42" fillId="0" borderId="55" xfId="21" applyFont="1" applyFill="1" applyBorder="1" applyProtection="1"/>
    <xf numFmtId="166" fontId="35" fillId="0" borderId="32" xfId="26" applyNumberFormat="1" applyFont="1" applyFill="1" applyBorder="1" applyProtection="1">
      <protection locked="0"/>
    </xf>
    <xf numFmtId="3" fontId="28" fillId="0" borderId="32" xfId="21" applyNumberFormat="1" applyFont="1" applyFill="1" applyBorder="1" applyAlignment="1" applyProtection="1">
      <alignment horizontal="right" vertical="center" wrapText="1"/>
    </xf>
    <xf numFmtId="3" fontId="28" fillId="0" borderId="42" xfId="27" applyNumberFormat="1" applyFont="1" applyFill="1" applyBorder="1" applyAlignment="1" applyProtection="1">
      <alignment horizontal="right" wrapText="1"/>
    </xf>
    <xf numFmtId="165" fontId="35" fillId="0" borderId="40" xfId="21" applyNumberFormat="1" applyFont="1" applyFill="1" applyBorder="1" applyAlignment="1" applyProtection="1">
      <alignment horizontal="right" vertical="center" wrapText="1"/>
    </xf>
    <xf numFmtId="3" fontId="26" fillId="0" borderId="44" xfId="21" applyNumberFormat="1" applyFont="1" applyFill="1" applyBorder="1" applyAlignment="1" applyProtection="1">
      <alignment horizontal="right" vertical="center" wrapText="1"/>
    </xf>
    <xf numFmtId="3" fontId="35" fillId="0" borderId="50" xfId="21" applyNumberFormat="1" applyFont="1" applyFill="1" applyBorder="1" applyAlignment="1" applyProtection="1">
      <alignment horizontal="right" vertical="center" wrapText="1"/>
      <protection locked="0"/>
    </xf>
    <xf numFmtId="3" fontId="26" fillId="0" borderId="27" xfId="21" applyNumberFormat="1" applyFont="1" applyFill="1" applyBorder="1" applyAlignment="1" applyProtection="1">
      <alignment horizontal="right" vertical="center" wrapText="1"/>
    </xf>
    <xf numFmtId="3" fontId="35" fillId="0" borderId="23" xfId="21" applyNumberFormat="1" applyFont="1" applyFill="1" applyBorder="1" applyAlignment="1" applyProtection="1">
      <alignment horizontal="right" vertical="center" wrapText="1"/>
      <protection locked="0"/>
    </xf>
    <xf numFmtId="3" fontId="15" fillId="0" borderId="14" xfId="21" applyNumberFormat="1" applyFont="1" applyFill="1" applyBorder="1" applyAlignment="1" applyProtection="1">
      <alignment horizontal="center" vertical="center" wrapText="1"/>
    </xf>
    <xf numFmtId="3" fontId="35" fillId="0" borderId="50" xfId="21" applyNumberFormat="1" applyFont="1" applyFill="1" applyBorder="1" applyAlignment="1" applyProtection="1">
      <alignment horizontal="right" vertical="center" wrapText="1"/>
    </xf>
    <xf numFmtId="3" fontId="35" fillId="0" borderId="53" xfId="21" applyNumberFormat="1" applyFont="1" applyFill="1" applyBorder="1" applyAlignment="1" applyProtection="1">
      <alignment horizontal="right" vertical="center" wrapText="1"/>
      <protection locked="0"/>
    </xf>
    <xf numFmtId="3" fontId="26" fillId="0" borderId="19" xfId="21" applyNumberFormat="1" applyFont="1" applyFill="1" applyBorder="1" applyAlignment="1" applyProtection="1">
      <alignment horizontal="right" vertical="center" wrapText="1"/>
    </xf>
    <xf numFmtId="3" fontId="28" fillId="0" borderId="36" xfId="21" applyNumberFormat="1" applyFont="1" applyFill="1" applyBorder="1" applyAlignment="1" applyProtection="1">
      <alignment horizontal="right" vertical="center" wrapText="1"/>
      <protection locked="0"/>
    </xf>
    <xf numFmtId="3" fontId="28" fillId="0" borderId="50" xfId="21" applyNumberFormat="1" applyFont="1" applyFill="1" applyBorder="1" applyAlignment="1" applyProtection="1">
      <alignment horizontal="right" vertical="center" wrapText="1"/>
    </xf>
    <xf numFmtId="3" fontId="28" fillId="0" borderId="36" xfId="21" applyNumberFormat="1" applyFont="1" applyFill="1" applyBorder="1" applyAlignment="1" applyProtection="1">
      <alignment horizontal="right" vertical="center" wrapText="1"/>
    </xf>
    <xf numFmtId="3" fontId="26" fillId="0" borderId="52" xfId="21" applyNumberFormat="1" applyFont="1" applyFill="1" applyBorder="1" applyAlignment="1" applyProtection="1">
      <alignment horizontal="right" vertical="center" wrapText="1"/>
    </xf>
    <xf numFmtId="3" fontId="34" fillId="0" borderId="36" xfId="21" applyNumberFormat="1" applyFont="1" applyFill="1" applyBorder="1" applyAlignment="1" applyProtection="1">
      <alignment horizontal="right" vertical="center" wrapText="1"/>
      <protection locked="0"/>
    </xf>
    <xf numFmtId="3" fontId="26" fillId="0" borderId="28" xfId="21" applyNumberFormat="1" applyFont="1" applyFill="1" applyBorder="1" applyAlignment="1" applyProtection="1">
      <alignment horizontal="right" vertical="center" wrapText="1"/>
    </xf>
    <xf numFmtId="3" fontId="35" fillId="0" borderId="20" xfId="21" applyNumberFormat="1" applyFont="1" applyFill="1" applyBorder="1" applyAlignment="1" applyProtection="1">
      <alignment horizontal="right" vertical="center" wrapText="1"/>
      <protection locked="0"/>
    </xf>
    <xf numFmtId="3" fontId="28" fillId="0" borderId="27" xfId="21" applyNumberFormat="1" applyFont="1" applyFill="1" applyBorder="1" applyAlignment="1" applyProtection="1">
      <alignment horizontal="right" vertical="center" wrapText="1"/>
    </xf>
    <xf numFmtId="3" fontId="15" fillId="0" borderId="68" xfId="21" applyNumberFormat="1" applyFont="1" applyFill="1" applyBorder="1" applyAlignment="1" applyProtection="1">
      <alignment horizontal="center" vertical="center" wrapText="1"/>
    </xf>
    <xf numFmtId="3" fontId="35" fillId="0" borderId="57" xfId="21" applyNumberFormat="1" applyFont="1" applyFill="1" applyBorder="1" applyAlignment="1" applyProtection="1">
      <alignment horizontal="right" vertical="center" wrapText="1"/>
      <protection locked="0"/>
    </xf>
    <xf numFmtId="3" fontId="15" fillId="0" borderId="19" xfId="21" applyNumberFormat="1" applyFont="1" applyFill="1" applyBorder="1" applyAlignment="1" applyProtection="1">
      <alignment horizontal="center" vertical="center" wrapText="1"/>
    </xf>
    <xf numFmtId="3" fontId="35" fillId="0" borderId="32" xfId="21" applyNumberFormat="1" applyFont="1" applyFill="1" applyBorder="1" applyAlignment="1" applyProtection="1">
      <alignment horizontal="right" vertical="center" wrapText="1"/>
    </xf>
    <xf numFmtId="165" fontId="26" fillId="0" borderId="19" xfId="21" applyNumberFormat="1" applyFont="1" applyFill="1" applyBorder="1" applyAlignment="1" applyProtection="1">
      <alignment horizontal="right" vertical="center" wrapText="1"/>
    </xf>
    <xf numFmtId="3" fontId="35" fillId="0" borderId="17" xfId="21" applyNumberFormat="1" applyFont="1" applyFill="1" applyBorder="1" applyAlignment="1" applyProtection="1">
      <alignment horizontal="right" vertical="center" wrapText="1"/>
      <protection locked="0"/>
    </xf>
    <xf numFmtId="3" fontId="35" fillId="0" borderId="36" xfId="21" applyNumberFormat="1" applyFont="1" applyFill="1" applyBorder="1" applyAlignment="1" applyProtection="1">
      <alignment horizontal="right" vertical="center" wrapText="1"/>
      <protection locked="0"/>
    </xf>
    <xf numFmtId="165" fontId="34" fillId="0" borderId="27" xfId="21" applyNumberFormat="1" applyFont="1" applyFill="1" applyBorder="1" applyAlignment="1" applyProtection="1">
      <alignment horizontal="right" vertical="center" wrapText="1"/>
    </xf>
    <xf numFmtId="3" fontId="35" fillId="0" borderId="22" xfId="21" applyNumberFormat="1" applyFont="1" applyFill="1" applyBorder="1" applyAlignment="1" applyProtection="1">
      <alignment horizontal="right" vertical="center" wrapText="1"/>
      <protection locked="0"/>
    </xf>
    <xf numFmtId="3" fontId="35" fillId="0" borderId="32" xfId="21" applyNumberFormat="1" applyFont="1" applyFill="1" applyBorder="1" applyAlignment="1" applyProtection="1">
      <alignment horizontal="right" vertical="center" wrapText="1"/>
      <protection locked="0"/>
    </xf>
    <xf numFmtId="3" fontId="26" fillId="0" borderId="26" xfId="21" applyNumberFormat="1" applyFont="1" applyFill="1" applyBorder="1" applyAlignment="1" applyProtection="1">
      <alignment horizontal="right" vertical="center" wrapText="1"/>
    </xf>
    <xf numFmtId="3" fontId="35" fillId="0" borderId="36" xfId="21" applyNumberFormat="1" applyFont="1" applyFill="1" applyBorder="1" applyAlignment="1" applyProtection="1">
      <alignment horizontal="right" vertical="center" wrapText="1"/>
    </xf>
    <xf numFmtId="3" fontId="35" fillId="0" borderId="18" xfId="21" applyNumberFormat="1" applyFont="1" applyFill="1" applyBorder="1" applyAlignment="1" applyProtection="1">
      <alignment horizontal="right" vertical="center" wrapText="1"/>
      <protection locked="0"/>
    </xf>
    <xf numFmtId="165" fontId="35" fillId="0" borderId="20" xfId="21" applyNumberFormat="1" applyFont="1" applyFill="1" applyBorder="1" applyAlignment="1" applyProtection="1">
      <alignment horizontal="right" vertical="center" wrapText="1"/>
    </xf>
    <xf numFmtId="165" fontId="34" fillId="0" borderId="20" xfId="21" applyNumberFormat="1" applyFont="1" applyFill="1" applyBorder="1" applyAlignment="1" applyProtection="1">
      <alignment horizontal="right" vertical="center" wrapText="1"/>
    </xf>
    <xf numFmtId="165" fontId="34" fillId="0" borderId="40" xfId="21" applyNumberFormat="1" applyFont="1" applyFill="1" applyBorder="1" applyAlignment="1" applyProtection="1">
      <alignment horizontal="right" vertical="center" wrapText="1"/>
    </xf>
    <xf numFmtId="3" fontId="34" fillId="0" borderId="27" xfId="21" applyNumberFormat="1" applyFont="1" applyFill="1" applyBorder="1" applyAlignment="1" applyProtection="1">
      <alignment horizontal="right" vertical="center" wrapText="1"/>
    </xf>
    <xf numFmtId="3" fontId="28" fillId="0" borderId="32" xfId="21" applyNumberFormat="1" applyFont="1" applyFill="1" applyBorder="1" applyAlignment="1" applyProtection="1">
      <alignment horizontal="right" vertical="center" wrapText="1"/>
      <protection locked="0"/>
    </xf>
    <xf numFmtId="3" fontId="28" fillId="0" borderId="44" xfId="21" applyNumberFormat="1" applyFont="1" applyFill="1" applyBorder="1" applyAlignment="1" applyProtection="1">
      <alignment horizontal="right" vertical="center" wrapText="1"/>
    </xf>
    <xf numFmtId="3" fontId="33" fillId="0" borderId="44" xfId="0" applyNumberFormat="1" applyFont="1" applyBorder="1" applyAlignment="1" applyProtection="1">
      <alignment horizontal="right" vertical="center" wrapText="1"/>
    </xf>
    <xf numFmtId="3" fontId="33" fillId="0" borderId="19" xfId="0" applyNumberFormat="1" applyFont="1" applyBorder="1" applyAlignment="1" applyProtection="1">
      <alignment horizontal="right" vertical="center" wrapText="1"/>
    </xf>
    <xf numFmtId="3" fontId="33" fillId="0" borderId="19" xfId="0" applyNumberFormat="1" applyFont="1" applyBorder="1" applyAlignment="1" applyProtection="1">
      <alignment horizontal="right" vertical="center" wrapText="1"/>
      <protection locked="0"/>
    </xf>
    <xf numFmtId="3" fontId="31" fillId="0" borderId="44" xfId="0" quotePrefix="1" applyNumberFormat="1" applyFont="1" applyBorder="1" applyAlignment="1" applyProtection="1">
      <alignment horizontal="right" vertical="center" wrapText="1"/>
    </xf>
    <xf numFmtId="3" fontId="31" fillId="0" borderId="19" xfId="0" quotePrefix="1" applyNumberFormat="1" applyFont="1" applyBorder="1" applyAlignment="1" applyProtection="1">
      <alignment horizontal="right" vertical="center" wrapText="1"/>
    </xf>
    <xf numFmtId="3" fontId="26" fillId="0" borderId="35" xfId="21" applyNumberFormat="1" applyFont="1" applyFill="1" applyBorder="1" applyAlignment="1" applyProtection="1">
      <alignment horizontal="right" vertical="center" wrapText="1" indent="1"/>
    </xf>
    <xf numFmtId="3" fontId="35" fillId="0" borderId="57" xfId="21" applyNumberFormat="1" applyFont="1" applyFill="1" applyBorder="1" applyAlignment="1" applyProtection="1">
      <alignment horizontal="right" vertical="center" wrapText="1" indent="1"/>
    </xf>
    <xf numFmtId="3" fontId="35" fillId="0" borderId="36" xfId="21" applyNumberFormat="1" applyFont="1" applyFill="1" applyBorder="1" applyAlignment="1" applyProtection="1">
      <alignment horizontal="right" vertical="center" wrapText="1" indent="1"/>
    </xf>
    <xf numFmtId="3" fontId="35" fillId="0" borderId="53" xfId="21" applyNumberFormat="1" applyFont="1" applyFill="1" applyBorder="1" applyAlignment="1" applyProtection="1">
      <alignment horizontal="right" vertical="center" wrapText="1" indent="1"/>
    </xf>
    <xf numFmtId="3" fontId="33" fillId="0" borderId="44" xfId="27" applyNumberFormat="1" applyFont="1" applyBorder="1" applyAlignment="1" applyProtection="1">
      <alignment horizontal="right" vertical="center" wrapText="1" indent="1"/>
    </xf>
    <xf numFmtId="3" fontId="26" fillId="0" borderId="36" xfId="21" applyNumberFormat="1" applyFont="1" applyFill="1" applyBorder="1" applyAlignment="1" applyProtection="1">
      <alignment horizontal="right" vertical="center" wrapText="1" indent="1"/>
    </xf>
    <xf numFmtId="3" fontId="32" fillId="0" borderId="50" xfId="27" applyNumberFormat="1" applyFont="1" applyBorder="1" applyAlignment="1" applyProtection="1">
      <alignment horizontal="right" vertical="center" wrapText="1" indent="1"/>
    </xf>
    <xf numFmtId="3" fontId="26" fillId="0" borderId="57" xfId="21" applyNumberFormat="1" applyFont="1" applyFill="1" applyBorder="1" applyAlignment="1" applyProtection="1">
      <alignment horizontal="right" vertical="center" wrapText="1" indent="1"/>
    </xf>
    <xf numFmtId="3" fontId="26" fillId="0" borderId="50" xfId="21" applyNumberFormat="1" applyFont="1" applyFill="1" applyBorder="1" applyAlignment="1" applyProtection="1">
      <alignment horizontal="right" vertical="center" wrapText="1" indent="1"/>
    </xf>
    <xf numFmtId="3" fontId="26" fillId="0" borderId="53" xfId="21" applyNumberFormat="1" applyFont="1" applyFill="1" applyBorder="1" applyAlignment="1" applyProtection="1">
      <alignment horizontal="right" vertical="center" wrapText="1" indent="1"/>
    </xf>
    <xf numFmtId="3" fontId="28" fillId="0" borderId="44" xfId="21" applyNumberFormat="1" applyFont="1" applyFill="1" applyBorder="1" applyAlignment="1" applyProtection="1">
      <alignment horizontal="right" vertical="center" wrapText="1" indent="1"/>
    </xf>
    <xf numFmtId="3" fontId="35" fillId="0" borderId="58" xfId="21" applyNumberFormat="1" applyFont="1" applyFill="1" applyBorder="1" applyAlignment="1" applyProtection="1">
      <alignment horizontal="right" vertical="center" wrapText="1" indent="1"/>
    </xf>
    <xf numFmtId="3" fontId="35" fillId="0" borderId="42" xfId="21" applyNumberFormat="1" applyFont="1" applyFill="1" applyBorder="1" applyAlignment="1" applyProtection="1">
      <alignment horizontal="right" vertical="center" wrapText="1" indent="1"/>
    </xf>
    <xf numFmtId="3" fontId="35" fillId="0" borderId="74" xfId="21" applyNumberFormat="1" applyFont="1" applyFill="1" applyBorder="1" applyAlignment="1" applyProtection="1">
      <alignment horizontal="right" vertical="center" wrapText="1" indent="1"/>
    </xf>
    <xf numFmtId="3" fontId="26" fillId="0" borderId="42" xfId="21" applyNumberFormat="1" applyFont="1" applyFill="1" applyBorder="1" applyAlignment="1" applyProtection="1">
      <alignment horizontal="right" vertical="center" wrapText="1" indent="1"/>
    </xf>
    <xf numFmtId="3" fontId="26" fillId="0" borderId="58" xfId="21" applyNumberFormat="1" applyFont="1" applyFill="1" applyBorder="1" applyAlignment="1" applyProtection="1">
      <alignment horizontal="right" vertical="center" wrapText="1" indent="1"/>
    </xf>
    <xf numFmtId="3" fontId="26" fillId="0" borderId="41" xfId="21" applyNumberFormat="1" applyFont="1" applyFill="1" applyBorder="1" applyAlignment="1" applyProtection="1">
      <alignment horizontal="right" vertical="center" wrapText="1" indent="1"/>
    </xf>
    <xf numFmtId="3" fontId="26" fillId="0" borderId="74" xfId="21" applyNumberFormat="1" applyFont="1" applyFill="1" applyBorder="1" applyAlignment="1" applyProtection="1">
      <alignment horizontal="right" vertical="center" wrapText="1" indent="1"/>
    </xf>
    <xf numFmtId="3" fontId="35" fillId="0" borderId="58" xfId="21" applyNumberFormat="1" applyFont="1" applyFill="1" applyBorder="1" applyAlignment="1" applyProtection="1">
      <alignment horizontal="right" vertical="center" wrapText="1"/>
    </xf>
    <xf numFmtId="3" fontId="35" fillId="0" borderId="42" xfId="21" applyNumberFormat="1" applyFont="1" applyFill="1" applyBorder="1" applyAlignment="1" applyProtection="1">
      <alignment horizontal="right" vertical="center" wrapText="1"/>
    </xf>
    <xf numFmtId="3" fontId="35" fillId="0" borderId="56" xfId="21" applyNumberFormat="1" applyFont="1" applyFill="1" applyBorder="1" applyAlignment="1" applyProtection="1">
      <alignment horizontal="right" vertical="center" wrapText="1"/>
    </xf>
    <xf numFmtId="3" fontId="35" fillId="0" borderId="41" xfId="21" applyNumberFormat="1" applyFont="1" applyFill="1" applyBorder="1" applyAlignment="1" applyProtection="1">
      <alignment horizontal="right" vertical="center" wrapText="1"/>
    </xf>
    <xf numFmtId="3" fontId="28" fillId="0" borderId="41" xfId="21" applyNumberFormat="1" applyFont="1" applyFill="1" applyBorder="1" applyAlignment="1" applyProtection="1">
      <alignment horizontal="right" vertical="center" wrapText="1"/>
    </xf>
    <xf numFmtId="3" fontId="28" fillId="0" borderId="42" xfId="21" applyNumberFormat="1" applyFont="1" applyFill="1" applyBorder="1" applyAlignment="1" applyProtection="1">
      <alignment horizontal="right" vertical="center" wrapText="1"/>
    </xf>
    <xf numFmtId="3" fontId="28" fillId="0" borderId="56" xfId="21" applyNumberFormat="1" applyFont="1" applyFill="1" applyBorder="1" applyAlignment="1" applyProtection="1">
      <alignment horizontal="right" vertical="center" wrapText="1"/>
    </xf>
    <xf numFmtId="165" fontId="35" fillId="0" borderId="5" xfId="50" applyNumberFormat="1" applyFont="1" applyFill="1" applyBorder="1" applyAlignment="1" applyProtection="1">
      <alignment vertical="center" wrapText="1"/>
    </xf>
    <xf numFmtId="0" fontId="0" fillId="0" borderId="46" xfId="0" quotePrefix="1" applyFont="1" applyBorder="1" applyAlignment="1">
      <alignment vertical="center" wrapText="1"/>
    </xf>
    <xf numFmtId="0" fontId="0" fillId="0" borderId="57" xfId="0" applyFont="1" applyBorder="1" applyAlignment="1">
      <alignment vertical="center" wrapText="1"/>
    </xf>
    <xf numFmtId="0" fontId="0" fillId="0" borderId="60" xfId="0" quotePrefix="1" applyBorder="1" applyAlignment="1">
      <alignment vertical="center"/>
    </xf>
    <xf numFmtId="0" fontId="0" fillId="0" borderId="45" xfId="0" applyBorder="1" applyAlignment="1">
      <alignment vertical="center" wrapText="1"/>
    </xf>
    <xf numFmtId="165" fontId="33" fillId="0" borderId="19" xfId="0" applyNumberFormat="1" applyFont="1" applyFill="1" applyBorder="1" applyAlignment="1" applyProtection="1">
      <alignment horizontal="right" vertical="center" wrapText="1" indent="1"/>
    </xf>
    <xf numFmtId="165" fontId="33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165" fontId="31" fillId="0" borderId="19" xfId="0" quotePrefix="1" applyNumberFormat="1" applyFont="1" applyFill="1" applyBorder="1" applyAlignment="1" applyProtection="1">
      <alignment horizontal="right" vertical="center" wrapText="1" indent="1"/>
    </xf>
    <xf numFmtId="165" fontId="100" fillId="0" borderId="8" xfId="0" applyNumberFormat="1" applyFont="1" applyFill="1" applyBorder="1" applyAlignment="1" applyProtection="1">
      <alignment horizontal="right" vertical="center" wrapText="1"/>
      <protection locked="0"/>
    </xf>
    <xf numFmtId="49" fontId="100" fillId="0" borderId="2" xfId="0" applyNumberFormat="1" applyFont="1" applyFill="1" applyBorder="1" applyAlignment="1" applyProtection="1">
      <alignment horizontal="center" vertical="center" wrapText="1"/>
      <protection locked="0"/>
    </xf>
    <xf numFmtId="165" fontId="100" fillId="0" borderId="2" xfId="0" applyNumberFormat="1" applyFont="1" applyFill="1" applyBorder="1" applyAlignment="1" applyProtection="1">
      <alignment horizontal="right" vertical="center" wrapText="1"/>
      <protection locked="0"/>
    </xf>
    <xf numFmtId="165" fontId="110" fillId="0" borderId="8" xfId="0" applyNumberFormat="1" applyFont="1" applyFill="1" applyBorder="1" applyAlignment="1" applyProtection="1">
      <alignment horizontal="right" vertical="center" wrapText="1"/>
      <protection locked="0"/>
    </xf>
    <xf numFmtId="49" fontId="110" fillId="0" borderId="2" xfId="0" applyNumberFormat="1" applyFont="1" applyFill="1" applyBorder="1" applyAlignment="1" applyProtection="1">
      <alignment horizontal="center" vertical="center" wrapText="1"/>
      <protection locked="0"/>
    </xf>
    <xf numFmtId="165" fontId="110" fillId="0" borderId="2" xfId="0" applyNumberFormat="1" applyFont="1" applyFill="1" applyBorder="1" applyAlignment="1" applyProtection="1">
      <alignment horizontal="right" vertical="center" wrapText="1"/>
      <protection locked="0"/>
    </xf>
    <xf numFmtId="165" fontId="100" fillId="0" borderId="9" xfId="0" applyNumberFormat="1" applyFont="1" applyFill="1" applyBorder="1" applyAlignment="1" applyProtection="1">
      <alignment horizontal="right" vertical="center" wrapText="1"/>
      <protection locked="0"/>
    </xf>
    <xf numFmtId="49" fontId="100" fillId="0" borderId="3" xfId="0" applyNumberFormat="1" applyFont="1" applyFill="1" applyBorder="1" applyAlignment="1" applyProtection="1">
      <alignment horizontal="center" vertical="center" wrapText="1"/>
      <protection locked="0"/>
    </xf>
    <xf numFmtId="165" fontId="100" fillId="0" borderId="3" xfId="0" applyNumberFormat="1" applyFont="1" applyFill="1" applyBorder="1" applyAlignment="1" applyProtection="1">
      <alignment horizontal="right" vertical="center" wrapText="1"/>
      <protection locked="0"/>
    </xf>
    <xf numFmtId="165" fontId="100" fillId="0" borderId="20" xfId="0" applyNumberFormat="1" applyFont="1" applyFill="1" applyBorder="1" applyAlignment="1" applyProtection="1">
      <alignment vertical="center" wrapText="1"/>
    </xf>
    <xf numFmtId="165" fontId="100" fillId="0" borderId="18" xfId="0" applyNumberFormat="1" applyFont="1" applyFill="1" applyBorder="1" applyAlignment="1" applyProtection="1">
      <alignment vertical="center" wrapText="1"/>
    </xf>
    <xf numFmtId="165" fontId="100" fillId="0" borderId="5" xfId="0" applyNumberFormat="1" applyFont="1" applyFill="1" applyBorder="1" applyAlignment="1" applyProtection="1">
      <alignment horizontal="right" vertical="center" wrapText="1"/>
      <protection locked="0"/>
    </xf>
    <xf numFmtId="165" fontId="80" fillId="0" borderId="13" xfId="0" applyNumberFormat="1" applyFont="1" applyFill="1" applyBorder="1" applyAlignment="1" applyProtection="1">
      <alignment horizontal="right" vertical="center" wrapText="1"/>
      <protection locked="0"/>
    </xf>
    <xf numFmtId="49" fontId="100" fillId="0" borderId="14" xfId="0" applyNumberFormat="1" applyFont="1" applyFill="1" applyBorder="1" applyAlignment="1" applyProtection="1">
      <alignment horizontal="center" vertical="center" wrapText="1"/>
      <protection locked="0"/>
    </xf>
    <xf numFmtId="165" fontId="80" fillId="0" borderId="14" xfId="0" applyNumberFormat="1" applyFont="1" applyFill="1" applyBorder="1" applyAlignment="1" applyProtection="1">
      <alignment horizontal="right" vertical="center" wrapText="1"/>
      <protection locked="0"/>
    </xf>
    <xf numFmtId="165" fontId="80" fillId="0" borderId="33" xfId="0" applyNumberFormat="1" applyFont="1" applyFill="1" applyBorder="1" applyAlignment="1" applyProtection="1">
      <alignment horizontal="right" vertical="center" wrapText="1"/>
      <protection locked="0"/>
    </xf>
    <xf numFmtId="165" fontId="100" fillId="0" borderId="19" xfId="0" applyNumberFormat="1" applyFont="1" applyFill="1" applyBorder="1" applyAlignment="1" applyProtection="1">
      <alignment vertical="center" wrapText="1"/>
    </xf>
    <xf numFmtId="165" fontId="80" fillId="0" borderId="20" xfId="0" applyNumberFormat="1" applyFont="1" applyFill="1" applyBorder="1" applyAlignment="1" applyProtection="1">
      <alignment vertical="center" wrapText="1"/>
    </xf>
    <xf numFmtId="49" fontId="80" fillId="0" borderId="14" xfId="0" applyNumberFormat="1" applyFont="1" applyFill="1" applyBorder="1" applyAlignment="1" applyProtection="1">
      <alignment horizontal="center" vertical="center" wrapText="1"/>
      <protection locked="0"/>
    </xf>
    <xf numFmtId="165" fontId="45" fillId="0" borderId="13" xfId="0" applyNumberFormat="1" applyFont="1" applyFill="1" applyBorder="1" applyAlignment="1" applyProtection="1">
      <alignment horizontal="right" vertical="center" wrapText="1"/>
      <protection locked="0"/>
    </xf>
    <xf numFmtId="49" fontId="45" fillId="0" borderId="14" xfId="0" applyNumberFormat="1" applyFont="1" applyFill="1" applyBorder="1" applyAlignment="1" applyProtection="1">
      <alignment horizontal="center" vertical="center" wrapText="1"/>
      <protection locked="0"/>
    </xf>
    <xf numFmtId="165" fontId="45" fillId="0" borderId="19" xfId="0" applyNumberFormat="1" applyFont="1" applyFill="1" applyBorder="1" applyAlignment="1" applyProtection="1">
      <alignment vertical="center" wrapText="1"/>
    </xf>
    <xf numFmtId="165" fontId="8" fillId="0" borderId="2" xfId="28" applyNumberFormat="1" applyFont="1" applyFill="1" applyBorder="1" applyAlignment="1" applyProtection="1">
      <alignment vertical="center" wrapText="1"/>
      <protection locked="0"/>
    </xf>
    <xf numFmtId="165" fontId="69" fillId="0" borderId="2" xfId="28" applyNumberFormat="1" applyFont="1" applyFill="1" applyBorder="1" applyAlignment="1" applyProtection="1">
      <alignment vertical="center" wrapText="1"/>
      <protection locked="0"/>
    </xf>
    <xf numFmtId="165" fontId="69" fillId="0" borderId="2" xfId="0" applyNumberFormat="1" applyFont="1" applyFill="1" applyBorder="1" applyAlignment="1" applyProtection="1">
      <alignment vertical="center" wrapText="1"/>
      <protection locked="0"/>
    </xf>
    <xf numFmtId="3" fontId="34" fillId="0" borderId="20" xfId="0" applyNumberFormat="1" applyFont="1" applyFill="1" applyBorder="1" applyAlignment="1" applyProtection="1">
      <alignment vertical="center"/>
    </xf>
    <xf numFmtId="0" fontId="0" fillId="0" borderId="0" xfId="0" applyFont="1" applyFill="1" applyAlignment="1" applyProtection="1">
      <alignment vertical="center"/>
    </xf>
    <xf numFmtId="0" fontId="42" fillId="0" borderId="28" xfId="0" applyFont="1" applyFill="1" applyBorder="1" applyAlignment="1" applyProtection="1">
      <alignment horizontal="center" vertical="center"/>
    </xf>
    <xf numFmtId="3" fontId="0" fillId="0" borderId="0" xfId="0" applyNumberFormat="1" applyFont="1" applyFill="1" applyProtection="1"/>
    <xf numFmtId="0" fontId="122" fillId="0" borderId="0" xfId="21" applyFont="1" applyFill="1"/>
    <xf numFmtId="166" fontId="35" fillId="0" borderId="18" xfId="26" applyNumberFormat="1" applyFont="1" applyFill="1" applyBorder="1" applyProtection="1">
      <protection locked="0"/>
    </xf>
    <xf numFmtId="2" fontId="33" fillId="0" borderId="27" xfId="25" applyNumberFormat="1" applyFont="1" applyBorder="1"/>
    <xf numFmtId="0" fontId="37" fillId="0" borderId="27" xfId="25" applyFont="1" applyBorder="1"/>
    <xf numFmtId="0" fontId="0" fillId="0" borderId="47" xfId="20" applyFont="1" applyBorder="1" applyAlignment="1">
      <alignment horizontal="left"/>
    </xf>
    <xf numFmtId="3" fontId="110" fillId="0" borderId="47" xfId="28" applyNumberFormat="1" applyFont="1" applyBorder="1" applyAlignment="1">
      <alignment horizontal="left"/>
    </xf>
    <xf numFmtId="3" fontId="110" fillId="0" borderId="43" xfId="28" applyNumberFormat="1" applyFont="1" applyBorder="1" applyAlignment="1">
      <alignment horizontal="left"/>
    </xf>
    <xf numFmtId="0" fontId="37" fillId="0" borderId="6" xfId="21" applyFont="1" applyFill="1" applyBorder="1" applyAlignment="1">
      <alignment horizontal="center" vertical="center" wrapText="1"/>
    </xf>
    <xf numFmtId="0" fontId="35" fillId="0" borderId="8" xfId="48" applyNumberFormat="1" applyFont="1" applyFill="1" applyBorder="1" applyAlignment="1" applyProtection="1">
      <alignment vertical="center" wrapText="1"/>
      <protection locked="0"/>
    </xf>
    <xf numFmtId="165" fontId="65" fillId="0" borderId="22" xfId="0" applyNumberFormat="1" applyFont="1" applyFill="1" applyBorder="1" applyAlignment="1" applyProtection="1">
      <alignment horizontal="right" vertical="center" wrapText="1" indent="1"/>
      <protection locked="0"/>
    </xf>
    <xf numFmtId="165" fontId="100" fillId="0" borderId="17" xfId="0" applyNumberFormat="1" applyFont="1" applyFill="1" applyBorder="1" applyAlignment="1" applyProtection="1">
      <alignment vertical="center" wrapText="1"/>
    </xf>
    <xf numFmtId="165" fontId="65" fillId="0" borderId="20" xfId="21" applyNumberFormat="1" applyFont="1" applyFill="1" applyBorder="1" applyAlignment="1" applyProtection="1">
      <alignment horizontal="right" vertical="center" wrapText="1" indent="1"/>
    </xf>
    <xf numFmtId="165" fontId="65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165" fontId="65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165" fontId="65" fillId="0" borderId="20" xfId="21" applyNumberFormat="1" applyFont="1" applyFill="1" applyBorder="1" applyAlignment="1" applyProtection="1">
      <alignment horizontal="center" vertical="center" wrapText="1"/>
    </xf>
    <xf numFmtId="165" fontId="65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3" fontId="65" fillId="0" borderId="4" xfId="0" applyNumberFormat="1" applyFont="1" applyFill="1" applyBorder="1" applyAlignment="1" applyProtection="1">
      <alignment vertical="center"/>
      <protection locked="0"/>
    </xf>
    <xf numFmtId="165" fontId="65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63" xfId="0" quotePrefix="1" applyBorder="1" applyAlignment="1">
      <alignment vertical="center" wrapText="1"/>
    </xf>
    <xf numFmtId="0" fontId="0" fillId="0" borderId="52" xfId="0" applyBorder="1" applyAlignment="1">
      <alignment vertical="center" wrapText="1"/>
    </xf>
    <xf numFmtId="0" fontId="0" fillId="0" borderId="75" xfId="0" quotePrefix="1" applyBorder="1" applyAlignment="1">
      <alignment horizontal="left" vertical="center" wrapText="1"/>
    </xf>
    <xf numFmtId="0" fontId="0" fillId="0" borderId="48" xfId="0" applyBorder="1" applyAlignment="1">
      <alignment vertical="center" wrapText="1"/>
    </xf>
    <xf numFmtId="0" fontId="0" fillId="0" borderId="63" xfId="0" quotePrefix="1" applyBorder="1" applyAlignment="1">
      <alignment horizontal="left" vertical="center" wrapText="1"/>
    </xf>
    <xf numFmtId="0" fontId="0" fillId="0" borderId="47" xfId="0" quotePrefix="1" applyBorder="1" applyAlignment="1">
      <alignment horizontal="left" vertical="center" wrapText="1"/>
    </xf>
    <xf numFmtId="0" fontId="0" fillId="0" borderId="43" xfId="0" quotePrefix="1" applyBorder="1" applyAlignment="1">
      <alignment horizontal="left" vertical="center" wrapText="1"/>
    </xf>
    <xf numFmtId="0" fontId="0" fillId="0" borderId="60" xfId="0" quotePrefix="1" applyBorder="1" applyAlignment="1">
      <alignment vertical="center" wrapText="1"/>
    </xf>
    <xf numFmtId="165" fontId="34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4" fontId="69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166" fontId="66" fillId="0" borderId="44" xfId="26" applyNumberFormat="1" applyFont="1" applyBorder="1"/>
    <xf numFmtId="0" fontId="0" fillId="0" borderId="47" xfId="20" quotePrefix="1" applyFont="1" applyBorder="1" applyAlignment="1"/>
    <xf numFmtId="0" fontId="0" fillId="0" borderId="47" xfId="20" applyFont="1" applyBorder="1" applyAlignment="1"/>
    <xf numFmtId="0" fontId="8" fillId="0" borderId="47" xfId="20" applyFont="1" applyBorder="1" applyAlignment="1"/>
    <xf numFmtId="49" fontId="68" fillId="0" borderId="9" xfId="0" applyNumberFormat="1" applyFont="1" applyFill="1" applyBorder="1" applyAlignment="1" applyProtection="1">
      <alignment vertical="center"/>
    </xf>
    <xf numFmtId="3" fontId="68" fillId="0" borderId="3" xfId="0" applyNumberFormat="1" applyFont="1" applyFill="1" applyBorder="1" applyAlignment="1" applyProtection="1">
      <alignment vertical="center"/>
      <protection locked="0"/>
    </xf>
    <xf numFmtId="0" fontId="103" fillId="0" borderId="13" xfId="0" applyFont="1" applyFill="1" applyBorder="1" applyAlignment="1" applyProtection="1">
      <alignment vertical="center"/>
    </xf>
    <xf numFmtId="0" fontId="103" fillId="0" borderId="14" xfId="0" applyFont="1" applyFill="1" applyBorder="1" applyAlignment="1" applyProtection="1">
      <alignment horizontal="center" vertical="center"/>
    </xf>
    <xf numFmtId="0" fontId="103" fillId="0" borderId="19" xfId="0" applyFont="1" applyFill="1" applyBorder="1" applyAlignment="1" applyProtection="1">
      <alignment horizontal="center" vertical="center"/>
    </xf>
    <xf numFmtId="165" fontId="34" fillId="0" borderId="19" xfId="23" applyNumberFormat="1" applyFont="1" applyFill="1" applyBorder="1" applyAlignment="1" applyProtection="1">
      <alignment vertical="center"/>
    </xf>
    <xf numFmtId="49" fontId="66" fillId="0" borderId="2" xfId="0" applyNumberFormat="1" applyFont="1" applyFill="1" applyBorder="1" applyAlignment="1" applyProtection="1">
      <alignment horizontal="center" vertical="center" wrapText="1"/>
      <protection locked="0"/>
    </xf>
    <xf numFmtId="165" fontId="66" fillId="0" borderId="18" xfId="0" applyNumberFormat="1" applyFont="1" applyFill="1" applyBorder="1" applyAlignment="1">
      <alignment vertical="center" wrapText="1"/>
    </xf>
    <xf numFmtId="165" fontId="110" fillId="0" borderId="4" xfId="0" applyNumberFormat="1" applyFont="1" applyFill="1" applyBorder="1" applyAlignment="1" applyProtection="1">
      <alignment horizontal="right" vertical="center" wrapText="1"/>
      <protection locked="0"/>
    </xf>
    <xf numFmtId="49" fontId="110" fillId="0" borderId="4" xfId="0" applyNumberFormat="1" applyFont="1" applyFill="1" applyBorder="1" applyAlignment="1" applyProtection="1">
      <alignment horizontal="center" vertical="center" wrapText="1"/>
      <protection locked="0"/>
    </xf>
    <xf numFmtId="3" fontId="35" fillId="0" borderId="2" xfId="26" quotePrefix="1" applyNumberFormat="1" applyFont="1" applyFill="1" applyBorder="1" applyAlignment="1">
      <alignment horizontal="right"/>
    </xf>
    <xf numFmtId="0" fontId="35" fillId="0" borderId="47" xfId="24" quotePrefix="1" applyFont="1" applyBorder="1"/>
    <xf numFmtId="2" fontId="32" fillId="0" borderId="18" xfId="25" applyNumberFormat="1" applyFont="1" applyFill="1" applyBorder="1"/>
    <xf numFmtId="3" fontId="35" fillId="0" borderId="2" xfId="25" applyNumberFormat="1" applyFont="1" applyBorder="1" applyAlignment="1">
      <alignment horizontal="right"/>
    </xf>
    <xf numFmtId="3" fontId="35" fillId="0" borderId="2" xfId="26" applyNumberFormat="1" applyFont="1" applyBorder="1" applyAlignment="1">
      <alignment horizontal="right"/>
    </xf>
    <xf numFmtId="165" fontId="114" fillId="0" borderId="18" xfId="0" applyNumberFormat="1" applyFont="1" applyFill="1" applyBorder="1" applyAlignment="1" applyProtection="1">
      <alignment vertical="center" wrapText="1"/>
    </xf>
    <xf numFmtId="3" fontId="65" fillId="0" borderId="2" xfId="25" applyNumberFormat="1" applyFont="1" applyBorder="1" applyAlignment="1">
      <alignment horizontal="right"/>
    </xf>
    <xf numFmtId="3" fontId="65" fillId="0" borderId="2" xfId="25" applyNumberFormat="1" applyFont="1" applyFill="1" applyBorder="1" applyAlignment="1">
      <alignment horizontal="right"/>
    </xf>
    <xf numFmtId="3" fontId="35" fillId="0" borderId="2" xfId="25" applyNumberFormat="1" applyFont="1" applyFill="1" applyBorder="1" applyAlignment="1">
      <alignment horizontal="right"/>
    </xf>
    <xf numFmtId="169" fontId="124" fillId="0" borderId="18" xfId="53" applyNumberFormat="1" applyFont="1" applyFill="1" applyBorder="1" applyAlignment="1">
      <alignment horizontal="right" vertical="center"/>
    </xf>
    <xf numFmtId="0" fontId="119" fillId="0" borderId="2" xfId="18" quotePrefix="1" applyFont="1" applyBorder="1" applyAlignment="1">
      <alignment vertical="center"/>
    </xf>
    <xf numFmtId="0" fontId="119" fillId="10" borderId="2" xfId="0" applyFont="1" applyFill="1" applyBorder="1" applyAlignment="1">
      <alignment horizontal="left" vertical="center" wrapText="1"/>
    </xf>
    <xf numFmtId="169" fontId="119" fillId="0" borderId="18" xfId="18" applyNumberFormat="1" applyFont="1" applyFill="1" applyBorder="1" applyAlignment="1">
      <alignment horizontal="right" vertical="center"/>
    </xf>
    <xf numFmtId="0" fontId="119" fillId="10" borderId="25" xfId="0" applyFont="1" applyFill="1" applyBorder="1" applyAlignment="1">
      <alignment vertical="center" wrapText="1"/>
    </xf>
    <xf numFmtId="0" fontId="119" fillId="0" borderId="2" xfId="55" applyFont="1" applyBorder="1" applyAlignment="1">
      <alignment vertical="center" wrapText="1"/>
    </xf>
    <xf numFmtId="0" fontId="54" fillId="0" borderId="0" xfId="22" applyFont="1" applyFill="1" applyAlignment="1"/>
    <xf numFmtId="0" fontId="14" fillId="0" borderId="63" xfId="20" applyFont="1" applyBorder="1" applyAlignment="1">
      <alignment horizontal="center" vertical="center"/>
    </xf>
    <xf numFmtId="165" fontId="69" fillId="0" borderId="8" xfId="28" applyNumberFormat="1" applyFont="1" applyFill="1" applyBorder="1" applyAlignment="1" applyProtection="1">
      <alignment horizontal="left" vertical="center" wrapText="1"/>
      <protection locked="0"/>
    </xf>
    <xf numFmtId="4" fontId="37" fillId="0" borderId="17" xfId="0" applyNumberFormat="1" applyFont="1" applyFill="1" applyBorder="1" applyAlignment="1" applyProtection="1">
      <alignment horizontal="right" vertical="center" wrapText="1" indent="1"/>
      <protection locked="0"/>
    </xf>
    <xf numFmtId="165" fontId="8" fillId="0" borderId="31" xfId="28" applyNumberFormat="1" applyFont="1" applyFill="1" applyBorder="1" applyAlignment="1" applyProtection="1">
      <alignment horizontal="left" vertical="center" wrapText="1"/>
      <protection locked="0"/>
    </xf>
    <xf numFmtId="165" fontId="66" fillId="0" borderId="2" xfId="28" applyNumberFormat="1" applyFont="1" applyFill="1" applyBorder="1" applyAlignment="1" applyProtection="1">
      <alignment vertical="center" wrapText="1"/>
      <protection locked="0"/>
    </xf>
    <xf numFmtId="165" fontId="66" fillId="0" borderId="2" xfId="0" applyNumberFormat="1" applyFont="1" applyFill="1" applyBorder="1" applyAlignment="1" applyProtection="1">
      <alignment vertical="center" wrapText="1"/>
      <protection locked="0"/>
    </xf>
    <xf numFmtId="166" fontId="8" fillId="0" borderId="53" xfId="26" applyNumberFormat="1" applyFont="1" applyBorder="1"/>
    <xf numFmtId="169" fontId="119" fillId="0" borderId="17" xfId="18" applyNumberFormat="1" applyFont="1" applyFill="1" applyBorder="1" applyAlignment="1">
      <alignment horizontal="right" vertical="center"/>
    </xf>
    <xf numFmtId="169" fontId="119" fillId="0" borderId="17" xfId="53" applyNumberFormat="1" applyFont="1" applyFill="1" applyBorder="1" applyAlignment="1">
      <alignment horizontal="right" vertical="center"/>
    </xf>
    <xf numFmtId="0" fontId="38" fillId="0" borderId="24" xfId="0" applyFont="1" applyFill="1" applyBorder="1" applyAlignment="1" applyProtection="1">
      <alignment horizontal="right"/>
    </xf>
    <xf numFmtId="165" fontId="41" fillId="0" borderId="24" xfId="21" applyNumberFormat="1" applyFont="1" applyFill="1" applyBorder="1" applyAlignment="1" applyProtection="1">
      <alignment vertical="center"/>
    </xf>
    <xf numFmtId="0" fontId="38" fillId="0" borderId="24" xfId="0" applyFont="1" applyFill="1" applyBorder="1" applyAlignment="1" applyProtection="1"/>
    <xf numFmtId="0" fontId="94" fillId="0" borderId="24" xfId="25" applyFont="1" applyBorder="1" applyAlignment="1"/>
    <xf numFmtId="169" fontId="35" fillId="0" borderId="18" xfId="0" applyNumberFormat="1" applyFont="1" applyFill="1" applyBorder="1" applyAlignment="1" applyProtection="1">
      <alignment horizontal="right" vertical="center" indent="1"/>
      <protection locked="0"/>
    </xf>
    <xf numFmtId="169" fontId="36" fillId="0" borderId="27" xfId="0" applyNumberFormat="1" applyFont="1" applyFill="1" applyBorder="1" applyAlignment="1" applyProtection="1">
      <alignment horizontal="right" vertical="center" indent="1"/>
      <protection locked="0"/>
    </xf>
    <xf numFmtId="169" fontId="42" fillId="0" borderId="55" xfId="19" applyNumberFormat="1" applyFont="1" applyBorder="1"/>
    <xf numFmtId="169" fontId="42" fillId="0" borderId="4" xfId="19" applyNumberFormat="1" applyFont="1" applyBorder="1"/>
    <xf numFmtId="169" fontId="36" fillId="0" borderId="17" xfId="19" applyNumberFormat="1" applyFont="1" applyBorder="1"/>
    <xf numFmtId="169" fontId="42" fillId="0" borderId="9" xfId="19" applyNumberFormat="1" applyFont="1" applyBorder="1"/>
    <xf numFmtId="169" fontId="42" fillId="0" borderId="3" xfId="19" applyNumberFormat="1" applyFont="1" applyBorder="1"/>
    <xf numFmtId="169" fontId="36" fillId="0" borderId="20" xfId="19" applyNumberFormat="1" applyFont="1" applyBorder="1"/>
    <xf numFmtId="169" fontId="42" fillId="0" borderId="5" xfId="19" applyNumberFormat="1" applyFont="1" applyBorder="1"/>
    <xf numFmtId="169" fontId="42" fillId="0" borderId="2" xfId="19" applyNumberFormat="1" applyFont="1" applyBorder="1"/>
    <xf numFmtId="169" fontId="42" fillId="0" borderId="8" xfId="19" applyNumberFormat="1" applyFont="1" applyBorder="1"/>
    <xf numFmtId="169" fontId="36" fillId="0" borderId="18" xfId="19" applyNumberFormat="1" applyFont="1" applyBorder="1"/>
    <xf numFmtId="169" fontId="42" fillId="0" borderId="2" xfId="19" applyNumberFormat="1" applyFont="1" applyFill="1" applyBorder="1"/>
    <xf numFmtId="169" fontId="59" fillId="0" borderId="2" xfId="19" applyNumberFormat="1" applyFont="1" applyBorder="1"/>
    <xf numFmtId="169" fontId="36" fillId="0" borderId="2" xfId="19" applyNumberFormat="1" applyFont="1" applyBorder="1"/>
    <xf numFmtId="169" fontId="42" fillId="0" borderId="10" xfId="19" applyNumberFormat="1" applyFont="1" applyBorder="1"/>
    <xf numFmtId="169" fontId="42" fillId="0" borderId="6" xfId="19" applyNumberFormat="1" applyFont="1" applyBorder="1"/>
    <xf numFmtId="169" fontId="42" fillId="0" borderId="76" xfId="19" applyNumberFormat="1" applyFont="1" applyBorder="1"/>
    <xf numFmtId="169" fontId="42" fillId="0" borderId="25" xfId="19" applyNumberFormat="1" applyFont="1" applyBorder="1"/>
    <xf numFmtId="169" fontId="36" fillId="0" borderId="26" xfId="19" applyNumberFormat="1" applyFont="1" applyBorder="1"/>
    <xf numFmtId="169" fontId="73" fillId="0" borderId="6" xfId="19" applyNumberFormat="1" applyFont="1" applyBorder="1"/>
    <xf numFmtId="169" fontId="42" fillId="0" borderId="11" xfId="19" applyNumberFormat="1" applyFont="1" applyBorder="1"/>
    <xf numFmtId="169" fontId="115" fillId="0" borderId="5" xfId="19" applyNumberFormat="1" applyFont="1" applyBorder="1"/>
    <xf numFmtId="169" fontId="115" fillId="0" borderId="2" xfId="19" applyNumberFormat="1" applyFont="1" applyBorder="1"/>
    <xf numFmtId="169" fontId="73" fillId="0" borderId="2" xfId="19" applyNumberFormat="1" applyFont="1" applyBorder="1"/>
    <xf numFmtId="169" fontId="42" fillId="0" borderId="54" xfId="19" applyNumberFormat="1" applyFont="1" applyBorder="1"/>
    <xf numFmtId="169" fontId="42" fillId="0" borderId="21" xfId="19" applyNumberFormat="1" applyFont="1" applyBorder="1"/>
    <xf numFmtId="169" fontId="36" fillId="0" borderId="22" xfId="19" applyNumberFormat="1" applyFont="1" applyBorder="1"/>
    <xf numFmtId="169" fontId="42" fillId="0" borderId="12" xfId="19" applyNumberFormat="1" applyFont="1" applyBorder="1"/>
    <xf numFmtId="169" fontId="59" fillId="0" borderId="4" xfId="19" applyNumberFormat="1" applyFont="1" applyBorder="1"/>
    <xf numFmtId="169" fontId="81" fillId="0" borderId="8" xfId="19" applyNumberFormat="1" applyFont="1" applyBorder="1"/>
    <xf numFmtId="169" fontId="59" fillId="0" borderId="21" xfId="19" applyNumberFormat="1" applyFont="1" applyBorder="1"/>
    <xf numFmtId="169" fontId="73" fillId="0" borderId="21" xfId="19" applyNumberFormat="1" applyFont="1" applyBorder="1"/>
    <xf numFmtId="169" fontId="42" fillId="0" borderId="77" xfId="19" applyNumberFormat="1" applyFont="1" applyBorder="1"/>
    <xf numFmtId="169" fontId="36" fillId="0" borderId="8" xfId="19" applyNumberFormat="1" applyFont="1" applyBorder="1"/>
    <xf numFmtId="169" fontId="73" fillId="0" borderId="55" xfId="19" applyNumberFormat="1" applyFont="1" applyBorder="1"/>
    <xf numFmtId="169" fontId="73" fillId="0" borderId="4" xfId="19" applyNumberFormat="1" applyFont="1" applyBorder="1"/>
    <xf numFmtId="169" fontId="73" fillId="0" borderId="77" xfId="19" applyNumberFormat="1" applyFont="1" applyBorder="1"/>
    <xf numFmtId="169" fontId="42" fillId="0" borderId="75" xfId="19" applyNumberFormat="1" applyFont="1" applyBorder="1"/>
    <xf numFmtId="169" fontId="73" fillId="0" borderId="3" xfId="19" applyNumberFormat="1" applyFont="1" applyBorder="1"/>
    <xf numFmtId="169" fontId="42" fillId="0" borderId="47" xfId="19" applyNumberFormat="1" applyFont="1" applyBorder="1"/>
    <xf numFmtId="169" fontId="42" fillId="0" borderId="83" xfId="19" applyNumberFormat="1" applyFont="1" applyBorder="1"/>
    <xf numFmtId="169" fontId="42" fillId="0" borderId="16" xfId="19" applyNumberFormat="1" applyFont="1" applyBorder="1"/>
    <xf numFmtId="169" fontId="36" fillId="0" borderId="28" xfId="19" applyNumberFormat="1" applyFont="1" applyBorder="1"/>
    <xf numFmtId="169" fontId="42" fillId="0" borderId="67" xfId="19" applyNumberFormat="1" applyFont="1" applyBorder="1"/>
    <xf numFmtId="169" fontId="42" fillId="0" borderId="1" xfId="19" applyNumberFormat="1" applyFont="1" applyBorder="1"/>
    <xf numFmtId="169" fontId="42" fillId="0" borderId="7" xfId="19" applyNumberFormat="1" applyFont="1" applyBorder="1"/>
    <xf numFmtId="169" fontId="42" fillId="0" borderId="73" xfId="19" applyNumberFormat="1" applyFont="1" applyBorder="1"/>
    <xf numFmtId="169" fontId="36" fillId="0" borderId="6" xfId="19" applyNumberFormat="1" applyFont="1" applyBorder="1"/>
    <xf numFmtId="169" fontId="36" fillId="0" borderId="23" xfId="19" applyNumberFormat="1" applyFont="1" applyBorder="1"/>
    <xf numFmtId="169" fontId="42" fillId="0" borderId="1" xfId="19" applyNumberFormat="1" applyFont="1" applyFill="1" applyBorder="1"/>
    <xf numFmtId="169" fontId="42" fillId="0" borderId="73" xfId="19" applyNumberFormat="1" applyFont="1" applyFill="1" applyBorder="1"/>
    <xf numFmtId="169" fontId="15" fillId="0" borderId="58" xfId="19" applyNumberFormat="1" applyFont="1" applyBorder="1"/>
    <xf numFmtId="169" fontId="36" fillId="0" borderId="58" xfId="19" applyNumberFormat="1" applyFont="1" applyBorder="1"/>
    <xf numFmtId="169" fontId="25" fillId="0" borderId="5" xfId="19" applyNumberFormat="1" applyFont="1" applyBorder="1"/>
    <xf numFmtId="169" fontId="25" fillId="0" borderId="2" xfId="19" applyNumberFormat="1" applyFont="1" applyBorder="1"/>
    <xf numFmtId="169" fontId="15" fillId="0" borderId="8" xfId="19" applyNumberFormat="1" applyFont="1" applyBorder="1"/>
    <xf numFmtId="169" fontId="15" fillId="0" borderId="18" xfId="19" applyNumberFormat="1" applyFont="1" applyBorder="1"/>
    <xf numFmtId="169" fontId="15" fillId="0" borderId="54" xfId="19" applyNumberFormat="1" applyFont="1" applyBorder="1"/>
    <xf numFmtId="169" fontId="15" fillId="0" borderId="21" xfId="19" applyNumberFormat="1" applyFont="1" applyBorder="1"/>
    <xf numFmtId="169" fontId="36" fillId="0" borderId="21" xfId="19" applyNumberFormat="1" applyFont="1" applyBorder="1"/>
    <xf numFmtId="169" fontId="15" fillId="0" borderId="22" xfId="19" applyNumberFormat="1" applyFont="1" applyBorder="1"/>
    <xf numFmtId="165" fontId="30" fillId="0" borderId="24" xfId="0" applyNumberFormat="1" applyFont="1" applyFill="1" applyBorder="1" applyAlignment="1" applyProtection="1">
      <alignment horizontal="center" vertical="center" wrapText="1"/>
    </xf>
    <xf numFmtId="165" fontId="77" fillId="0" borderId="24" xfId="0" applyNumberFormat="1" applyFont="1" applyFill="1" applyBorder="1" applyAlignment="1" applyProtection="1">
      <alignment horizontal="right" wrapText="1"/>
    </xf>
    <xf numFmtId="165" fontId="38" fillId="0" borderId="24" xfId="0" applyNumberFormat="1" applyFont="1" applyFill="1" applyBorder="1" applyAlignment="1" applyProtection="1">
      <alignment horizontal="right" wrapText="1"/>
    </xf>
    <xf numFmtId="0" fontId="15" fillId="0" borderId="35" xfId="0" applyFont="1" applyFill="1" applyBorder="1" applyAlignment="1" applyProtection="1">
      <alignment horizontal="center" vertical="center" wrapText="1"/>
    </xf>
    <xf numFmtId="0" fontId="51" fillId="0" borderId="0" xfId="20" applyFont="1" applyAlignment="1">
      <alignment horizontal="center"/>
    </xf>
    <xf numFmtId="165" fontId="30" fillId="0" borderId="0" xfId="0" applyNumberFormat="1" applyFont="1" applyFill="1" applyBorder="1" applyAlignment="1" applyProtection="1">
      <alignment horizontal="center" vertical="center" wrapText="1"/>
    </xf>
    <xf numFmtId="165" fontId="77" fillId="0" borderId="24" xfId="0" applyNumberFormat="1" applyFont="1" applyFill="1" applyBorder="1" applyAlignment="1" applyProtection="1">
      <alignment wrapText="1"/>
    </xf>
    <xf numFmtId="165" fontId="38" fillId="0" borderId="24" xfId="0" applyNumberFormat="1" applyFont="1" applyFill="1" applyBorder="1" applyAlignment="1" applyProtection="1">
      <alignment wrapText="1"/>
    </xf>
    <xf numFmtId="165" fontId="114" fillId="0" borderId="2" xfId="0" applyNumberFormat="1" applyFont="1" applyFill="1" applyBorder="1" applyAlignment="1" applyProtection="1">
      <alignment horizontal="right" vertical="center" wrapText="1"/>
      <protection locked="0"/>
    </xf>
    <xf numFmtId="165" fontId="114" fillId="0" borderId="5" xfId="0" applyNumberFormat="1" applyFont="1" applyFill="1" applyBorder="1" applyAlignment="1" applyProtection="1">
      <alignment horizontal="right" vertical="center" wrapText="1"/>
      <protection locked="0"/>
    </xf>
    <xf numFmtId="165" fontId="14" fillId="0" borderId="24" xfId="0" applyNumberFormat="1" applyFont="1" applyFill="1" applyBorder="1" applyAlignment="1" applyProtection="1">
      <alignment horizontal="center" vertical="center" wrapText="1"/>
    </xf>
    <xf numFmtId="0" fontId="8" fillId="0" borderId="0" xfId="0" applyFont="1" applyFill="1" applyAlignment="1" applyProtection="1">
      <alignment horizontal="right" vertical="center" wrapText="1"/>
    </xf>
    <xf numFmtId="0" fontId="15" fillId="0" borderId="34" xfId="0" applyFont="1" applyFill="1" applyBorder="1" applyAlignment="1" applyProtection="1">
      <alignment horizontal="center" vertical="center" wrapText="1"/>
    </xf>
    <xf numFmtId="165" fontId="65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165" fontId="15" fillId="0" borderId="14" xfId="0" applyNumberFormat="1" applyFont="1" applyFill="1" applyBorder="1" applyAlignment="1" applyProtection="1">
      <alignment horizontal="center" vertical="center" wrapText="1"/>
    </xf>
    <xf numFmtId="165" fontId="15" fillId="0" borderId="19" xfId="0" applyNumberFormat="1" applyFont="1" applyFill="1" applyBorder="1" applyAlignment="1" applyProtection="1">
      <alignment horizontal="center" vertical="center" wrapText="1"/>
    </xf>
    <xf numFmtId="0" fontId="100" fillId="0" borderId="75" xfId="28" applyFont="1" applyFill="1" applyBorder="1" applyAlignment="1">
      <alignment vertical="center"/>
    </xf>
    <xf numFmtId="0" fontId="110" fillId="0" borderId="75" xfId="28" applyFont="1" applyFill="1" applyBorder="1" applyAlignment="1">
      <alignment vertical="center" wrapText="1"/>
    </xf>
    <xf numFmtId="0" fontId="110" fillId="0" borderId="60" xfId="28" applyFont="1" applyFill="1" applyBorder="1" applyAlignment="1">
      <alignment vertical="center" wrapText="1"/>
    </xf>
    <xf numFmtId="165" fontId="99" fillId="0" borderId="34" xfId="0" applyNumberFormat="1" applyFont="1" applyFill="1" applyBorder="1" applyAlignment="1" applyProtection="1">
      <alignment horizontal="left" vertical="center" wrapText="1"/>
      <protection locked="0"/>
    </xf>
    <xf numFmtId="165" fontId="114" fillId="0" borderId="75" xfId="0" quotePrefix="1" applyNumberFormat="1" applyFont="1" applyFill="1" applyBorder="1" applyAlignment="1" applyProtection="1">
      <alignment horizontal="left" vertical="center" wrapText="1"/>
      <protection locked="0"/>
    </xf>
    <xf numFmtId="165" fontId="100" fillId="0" borderId="47" xfId="0" quotePrefix="1" applyNumberFormat="1" applyFont="1" applyFill="1" applyBorder="1" applyAlignment="1" applyProtection="1">
      <alignment horizontal="left" vertical="center" wrapText="1"/>
      <protection locked="0"/>
    </xf>
    <xf numFmtId="0" fontId="99" fillId="0" borderId="34" xfId="0" applyFont="1" applyFill="1" applyBorder="1" applyAlignment="1">
      <alignment vertical="center"/>
    </xf>
    <xf numFmtId="0" fontId="100" fillId="0" borderId="47" xfId="0" quotePrefix="1" applyFont="1" applyFill="1" applyBorder="1" applyAlignment="1">
      <alignment vertical="center"/>
    </xf>
    <xf numFmtId="0" fontId="110" fillId="0" borderId="47" xfId="0" applyFont="1" applyFill="1" applyBorder="1" applyAlignment="1">
      <alignment vertical="center"/>
    </xf>
    <xf numFmtId="0" fontId="100" fillId="0" borderId="47" xfId="0" applyFont="1" applyFill="1" applyBorder="1" applyAlignment="1">
      <alignment vertical="center"/>
    </xf>
    <xf numFmtId="0" fontId="99" fillId="0" borderId="34" xfId="0" applyFont="1" applyFill="1" applyBorder="1" applyAlignment="1">
      <alignment vertical="center" wrapText="1"/>
    </xf>
    <xf numFmtId="0" fontId="110" fillId="0" borderId="47" xfId="0" quotePrefix="1" applyFont="1" applyFill="1" applyBorder="1" applyAlignment="1">
      <alignment vertical="center"/>
    </xf>
    <xf numFmtId="0" fontId="87" fillId="0" borderId="34" xfId="21" applyFont="1" applyFill="1" applyBorder="1" applyAlignment="1" applyProtection="1">
      <alignment vertical="center"/>
      <protection locked="0"/>
    </xf>
    <xf numFmtId="165" fontId="80" fillId="0" borderId="13" xfId="0" applyNumberFormat="1" applyFont="1" applyFill="1" applyBorder="1" applyAlignment="1" applyProtection="1">
      <alignment horizontal="right" vertical="center" wrapText="1"/>
    </xf>
    <xf numFmtId="165" fontId="66" fillId="0" borderId="31" xfId="28" applyNumberFormat="1" applyFont="1" applyFill="1" applyBorder="1" applyAlignment="1" applyProtection="1">
      <alignment horizontal="left" vertical="center" wrapText="1"/>
      <protection locked="0"/>
    </xf>
    <xf numFmtId="165" fontId="66" fillId="0" borderId="10" xfId="28" applyNumberFormat="1" applyFont="1" applyFill="1" applyBorder="1" applyAlignment="1" applyProtection="1">
      <alignment horizontal="right" vertical="center" wrapText="1"/>
      <protection locked="0"/>
    </xf>
    <xf numFmtId="49" fontId="66" fillId="0" borderId="6" xfId="0" applyNumberFormat="1" applyFont="1" applyFill="1" applyBorder="1" applyAlignment="1" applyProtection="1">
      <alignment horizontal="center" vertical="center" wrapText="1"/>
      <protection locked="0"/>
    </xf>
    <xf numFmtId="165" fontId="66" fillId="0" borderId="6" xfId="0" applyNumberFormat="1" applyFont="1" applyFill="1" applyBorder="1" applyAlignment="1" applyProtection="1">
      <alignment horizontal="right" vertical="center" wrapText="1"/>
      <protection locked="0"/>
    </xf>
    <xf numFmtId="165" fontId="8" fillId="0" borderId="8" xfId="28" applyNumberFormat="1" applyFont="1" applyFill="1" applyBorder="1" applyAlignment="1" applyProtection="1">
      <alignment horizontal="left" vertical="center" wrapText="1"/>
      <protection locked="0"/>
    </xf>
    <xf numFmtId="0" fontId="110" fillId="0" borderId="8" xfId="0" applyFont="1" applyFill="1" applyBorder="1" applyAlignment="1">
      <alignment wrapText="1"/>
    </xf>
    <xf numFmtId="0" fontId="114" fillId="0" borderId="8" xfId="0" applyFont="1" applyFill="1" applyBorder="1" applyAlignment="1">
      <alignment wrapText="1"/>
    </xf>
    <xf numFmtId="0" fontId="28" fillId="0" borderId="37" xfId="21" applyFont="1" applyFill="1" applyBorder="1" applyAlignment="1" applyProtection="1">
      <alignment horizontal="left" vertical="center" wrapText="1" indent="6"/>
    </xf>
    <xf numFmtId="0" fontId="26" fillId="0" borderId="68" xfId="21" applyFont="1" applyFill="1" applyBorder="1" applyAlignment="1" applyProtection="1">
      <alignment vertical="center" wrapText="1"/>
    </xf>
    <xf numFmtId="0" fontId="0" fillId="8" borderId="0" xfId="0" applyFont="1" applyFill="1" applyBorder="1" applyAlignment="1" applyProtection="1">
      <alignment vertical="center" wrapText="1"/>
    </xf>
    <xf numFmtId="4" fontId="0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3" fontId="65" fillId="0" borderId="2" xfId="26" applyNumberFormat="1" applyFont="1" applyBorder="1" applyAlignment="1">
      <alignment horizontal="right"/>
    </xf>
    <xf numFmtId="169" fontId="124" fillId="0" borderId="20" xfId="53" applyNumberFormat="1" applyFont="1" applyFill="1" applyBorder="1" applyAlignment="1">
      <alignment horizontal="right" vertical="center"/>
    </xf>
    <xf numFmtId="169" fontId="124" fillId="0" borderId="23" xfId="18" applyNumberFormat="1" applyFont="1" applyFill="1" applyBorder="1" applyAlignment="1">
      <alignment horizontal="right" vertical="center"/>
    </xf>
    <xf numFmtId="169" fontId="124" fillId="0" borderId="17" xfId="18" applyNumberFormat="1" applyFont="1" applyFill="1" applyBorder="1" applyAlignment="1">
      <alignment horizontal="right" vertical="center"/>
    </xf>
    <xf numFmtId="169" fontId="124" fillId="0" borderId="26" xfId="18" applyNumberFormat="1" applyFont="1" applyFill="1" applyBorder="1" applyAlignment="1">
      <alignment horizontal="right" vertical="center"/>
    </xf>
    <xf numFmtId="169" fontId="124" fillId="0" borderId="23" xfId="53" applyNumberFormat="1" applyFont="1" applyFill="1" applyBorder="1" applyAlignment="1">
      <alignment horizontal="right" vertical="center"/>
    </xf>
    <xf numFmtId="0" fontId="35" fillId="0" borderId="11" xfId="0" applyFont="1" applyBorder="1" applyAlignment="1" applyProtection="1">
      <alignment horizontal="right" vertical="center" indent="1"/>
    </xf>
    <xf numFmtId="0" fontId="35" fillId="0" borderId="4" xfId="0" applyFont="1" applyBorder="1" applyAlignment="1" applyProtection="1">
      <alignment horizontal="left" vertical="center"/>
      <protection locked="0"/>
    </xf>
    <xf numFmtId="0" fontId="35" fillId="0" borderId="16" xfId="0" applyFont="1" applyBorder="1" applyAlignment="1" applyProtection="1">
      <alignment horizontal="left" vertical="center" indent="1"/>
      <protection locked="0"/>
    </xf>
    <xf numFmtId="169" fontId="35" fillId="0" borderId="17" xfId="0" applyNumberFormat="1" applyFont="1" applyFill="1" applyBorder="1" applyAlignment="1" applyProtection="1">
      <alignment horizontal="right" vertical="center" indent="1"/>
      <protection locked="0"/>
    </xf>
    <xf numFmtId="0" fontId="65" fillId="0" borderId="39" xfId="0" applyFont="1" applyBorder="1" applyAlignment="1" applyProtection="1">
      <alignment horizontal="right" vertical="center" indent="1"/>
    </xf>
    <xf numFmtId="0" fontId="65" fillId="0" borderId="21" xfId="0" applyFont="1" applyBorder="1" applyAlignment="1" applyProtection="1">
      <alignment horizontal="left" vertical="center"/>
      <protection locked="0"/>
    </xf>
    <xf numFmtId="0" fontId="65" fillId="0" borderId="21" xfId="0" applyFont="1" applyBorder="1" applyAlignment="1" applyProtection="1">
      <alignment horizontal="left" vertical="center" indent="1"/>
      <protection locked="0"/>
    </xf>
    <xf numFmtId="169" fontId="65" fillId="0" borderId="26" xfId="0" applyNumberFormat="1" applyFont="1" applyFill="1" applyBorder="1" applyAlignment="1" applyProtection="1">
      <alignment horizontal="right" vertical="center" indent="1"/>
      <protection locked="0"/>
    </xf>
    <xf numFmtId="49" fontId="35" fillId="0" borderId="75" xfId="24" applyNumberFormat="1" applyFont="1" applyBorder="1"/>
    <xf numFmtId="0" fontId="35" fillId="0" borderId="30" xfId="24" quotePrefix="1" applyFont="1" applyFill="1" applyBorder="1" applyAlignment="1">
      <alignment vertical="center" wrapText="1"/>
    </xf>
    <xf numFmtId="2" fontId="32" fillId="0" borderId="23" xfId="25" applyNumberFormat="1" applyFont="1" applyFill="1" applyBorder="1" applyAlignment="1">
      <alignment vertical="center"/>
    </xf>
    <xf numFmtId="0" fontId="28" fillId="0" borderId="30" xfId="25" applyFont="1" applyBorder="1"/>
    <xf numFmtId="2" fontId="32" fillId="0" borderId="20" xfId="25" applyNumberFormat="1" applyFont="1" applyFill="1" applyBorder="1"/>
    <xf numFmtId="49" fontId="35" fillId="0" borderId="47" xfId="24" applyNumberFormat="1" applyFont="1" applyBorder="1"/>
    <xf numFmtId="2" fontId="32" fillId="0" borderId="18" xfId="25" applyNumberFormat="1" applyFont="1" applyFill="1" applyBorder="1" applyAlignment="1">
      <alignment vertical="center"/>
    </xf>
    <xf numFmtId="2" fontId="32" fillId="0" borderId="22" xfId="25" applyNumberFormat="1" applyFont="1" applyBorder="1"/>
    <xf numFmtId="0" fontId="65" fillId="0" borderId="46" xfId="25" applyFont="1" applyBorder="1"/>
    <xf numFmtId="2" fontId="125" fillId="0" borderId="27" xfId="25" applyNumberFormat="1" applyFont="1" applyFill="1" applyBorder="1"/>
    <xf numFmtId="165" fontId="14" fillId="0" borderId="0" xfId="0" applyNumberFormat="1" applyFont="1" applyFill="1" applyBorder="1" applyAlignment="1" applyProtection="1">
      <alignment horizontal="center" vertical="center" wrapText="1"/>
    </xf>
    <xf numFmtId="166" fontId="14" fillId="0" borderId="27" xfId="26" applyNumberFormat="1" applyFont="1" applyBorder="1" applyAlignment="1">
      <alignment horizontal="center" vertical="center" wrapText="1"/>
    </xf>
    <xf numFmtId="0" fontId="118" fillId="0" borderId="15" xfId="18" applyFont="1" applyBorder="1" applyAlignment="1">
      <alignment horizontal="center" vertical="center"/>
    </xf>
    <xf numFmtId="0" fontId="118" fillId="0" borderId="16" xfId="18" applyFont="1" applyBorder="1" applyAlignment="1">
      <alignment horizontal="center" vertical="center" wrapText="1"/>
    </xf>
    <xf numFmtId="0" fontId="118" fillId="0" borderId="16" xfId="18" applyFont="1" applyBorder="1" applyAlignment="1">
      <alignment horizontal="center" vertical="center"/>
    </xf>
    <xf numFmtId="169" fontId="118" fillId="0" borderId="28" xfId="18" applyNumberFormat="1" applyFont="1" applyFill="1" applyBorder="1" applyAlignment="1">
      <alignment horizontal="center" vertical="center" wrapText="1"/>
    </xf>
    <xf numFmtId="0" fontId="37" fillId="0" borderId="19" xfId="0" applyFont="1" applyBorder="1" applyAlignment="1" applyProtection="1">
      <alignment horizontal="center" vertical="center" wrapText="1"/>
    </xf>
    <xf numFmtId="0" fontId="15" fillId="0" borderId="10" xfId="19" applyFont="1" applyBorder="1" applyAlignment="1">
      <alignment horizontal="center" vertical="center" wrapText="1"/>
    </xf>
    <xf numFmtId="0" fontId="15" fillId="0" borderId="6" xfId="19" applyFont="1" applyBorder="1" applyAlignment="1">
      <alignment horizontal="center" vertical="center" wrapText="1"/>
    </xf>
    <xf numFmtId="0" fontId="36" fillId="0" borderId="23" xfId="19" applyFont="1" applyBorder="1" applyAlignment="1">
      <alignment horizontal="center" vertical="center" wrapText="1"/>
    </xf>
    <xf numFmtId="0" fontId="15" fillId="0" borderId="23" xfId="19" applyFont="1" applyBorder="1" applyAlignment="1">
      <alignment horizontal="center" vertical="center" wrapText="1"/>
    </xf>
    <xf numFmtId="0" fontId="49" fillId="0" borderId="0" xfId="25" applyAlignment="1"/>
    <xf numFmtId="0" fontId="34" fillId="0" borderId="27" xfId="25" applyFont="1" applyBorder="1" applyAlignment="1">
      <alignment horizontal="center" vertical="center" wrapText="1"/>
    </xf>
    <xf numFmtId="0" fontId="26" fillId="0" borderId="27" xfId="25" applyFont="1" applyBorder="1" applyAlignment="1">
      <alignment horizontal="center" vertical="center" wrapText="1"/>
    </xf>
    <xf numFmtId="166" fontId="65" fillId="0" borderId="36" xfId="26" applyNumberFormat="1" applyFont="1" applyFill="1" applyBorder="1" applyProtection="1">
      <protection locked="0"/>
    </xf>
    <xf numFmtId="165" fontId="8" fillId="0" borderId="30" xfId="28" applyNumberFormat="1" applyFont="1" applyFill="1" applyBorder="1" applyAlignment="1" applyProtection="1">
      <alignment horizontal="left" vertical="center" wrapText="1"/>
      <protection locked="0"/>
    </xf>
    <xf numFmtId="165" fontId="66" fillId="0" borderId="20" xfId="0" applyNumberFormat="1" applyFont="1" applyFill="1" applyBorder="1" applyAlignment="1" applyProtection="1">
      <alignment vertical="center" wrapText="1"/>
    </xf>
    <xf numFmtId="0" fontId="8" fillId="0" borderId="8" xfId="48" applyNumberFormat="1" applyFont="1" applyFill="1" applyBorder="1" applyAlignment="1" applyProtection="1">
      <alignment vertical="center" wrapText="1"/>
      <protection locked="0"/>
    </xf>
    <xf numFmtId="0" fontId="8" fillId="0" borderId="7" xfId="48" applyNumberFormat="1" applyFont="1" applyFill="1" applyBorder="1" applyAlignment="1" applyProtection="1">
      <alignment vertical="center" wrapText="1"/>
      <protection locked="0"/>
    </xf>
    <xf numFmtId="3" fontId="65" fillId="8" borderId="2" xfId="26" applyNumberFormat="1" applyFont="1" applyFill="1" applyBorder="1" applyAlignment="1">
      <alignment horizontal="right"/>
    </xf>
    <xf numFmtId="3" fontId="35" fillId="0" borderId="2" xfId="26" quotePrefix="1" applyNumberFormat="1" applyFont="1" applyBorder="1" applyAlignment="1">
      <alignment horizontal="right"/>
    </xf>
    <xf numFmtId="169" fontId="42" fillId="0" borderId="18" xfId="19" applyNumberFormat="1" applyFont="1" applyBorder="1"/>
    <xf numFmtId="169" fontId="73" fillId="0" borderId="8" xfId="19" applyNumberFormat="1" applyFont="1" applyBorder="1"/>
    <xf numFmtId="169" fontId="73" fillId="0" borderId="12" xfId="19" applyNumberFormat="1" applyFont="1" applyBorder="1"/>
    <xf numFmtId="0" fontId="15" fillId="0" borderId="0" xfId="0" applyFont="1" applyFill="1" applyBorder="1" applyAlignment="1" applyProtection="1">
      <alignment horizontal="center" vertical="center"/>
    </xf>
    <xf numFmtId="165" fontId="76" fillId="0" borderId="0" xfId="0" applyNumberFormat="1" applyFont="1" applyFill="1" applyBorder="1" applyAlignment="1" applyProtection="1">
      <alignment horizontal="center" vertical="center" wrapText="1"/>
    </xf>
    <xf numFmtId="165" fontId="65" fillId="0" borderId="17" xfId="21" applyNumberFormat="1" applyFont="1" applyFill="1" applyBorder="1" applyAlignment="1" applyProtection="1">
      <alignment horizontal="right" vertical="center" wrapText="1" indent="1"/>
    </xf>
    <xf numFmtId="3" fontId="66" fillId="0" borderId="1" xfId="49" applyNumberFormat="1" applyFont="1" applyFill="1" applyBorder="1" applyAlignment="1" applyProtection="1">
      <alignment horizontal="right"/>
      <protection locked="0"/>
    </xf>
    <xf numFmtId="0" fontId="65" fillId="0" borderId="67" xfId="48" applyNumberFormat="1" applyFont="1" applyFill="1" applyBorder="1" applyAlignment="1" applyProtection="1">
      <alignment vertical="center" wrapText="1"/>
      <protection locked="0"/>
    </xf>
    <xf numFmtId="3" fontId="66" fillId="0" borderId="1" xfId="21" applyNumberFormat="1" applyFont="1" applyFill="1" applyBorder="1" applyAlignment="1" applyProtection="1">
      <alignment horizontal="right"/>
      <protection locked="0"/>
    </xf>
    <xf numFmtId="3" fontId="66" fillId="0" borderId="1" xfId="48" applyNumberFormat="1" applyFont="1" applyFill="1" applyBorder="1" applyAlignment="1" applyProtection="1">
      <alignment horizontal="right" vertical="center" wrapText="1"/>
      <protection locked="0"/>
    </xf>
    <xf numFmtId="0" fontId="65" fillId="0" borderId="2" xfId="21" applyFont="1" applyFill="1" applyBorder="1" applyAlignment="1" applyProtection="1">
      <alignment horizontal="left"/>
      <protection locked="0"/>
    </xf>
    <xf numFmtId="166" fontId="65" fillId="0" borderId="23" xfId="26" applyNumberFormat="1" applyFont="1" applyFill="1" applyBorder="1" applyProtection="1">
      <protection locked="0"/>
    </xf>
    <xf numFmtId="165" fontId="110" fillId="0" borderId="18" xfId="0" applyNumberFormat="1" applyFont="1" applyFill="1" applyBorder="1" applyAlignment="1" applyProtection="1">
      <alignment vertical="center" wrapText="1"/>
    </xf>
    <xf numFmtId="165" fontId="110" fillId="0" borderId="20" xfId="0" applyNumberFormat="1" applyFont="1" applyFill="1" applyBorder="1" applyAlignment="1" applyProtection="1">
      <alignment vertical="center" wrapText="1"/>
    </xf>
    <xf numFmtId="165" fontId="65" fillId="0" borderId="59" xfId="50" applyNumberFormat="1" applyFont="1" applyFill="1" applyBorder="1" applyAlignment="1" applyProtection="1">
      <alignment horizontal="center" vertical="center" wrapText="1"/>
    </xf>
    <xf numFmtId="165" fontId="65" fillId="0" borderId="77" xfId="50" applyNumberFormat="1" applyFont="1" applyFill="1" applyBorder="1" applyAlignment="1" applyProtection="1">
      <alignment vertical="center" wrapText="1"/>
    </xf>
    <xf numFmtId="0" fontId="65" fillId="0" borderId="1" xfId="50" applyNumberFormat="1" applyFont="1" applyFill="1" applyBorder="1" applyAlignment="1" applyProtection="1">
      <alignment horizontal="left" vertical="center" wrapText="1" indent="2"/>
      <protection locked="0"/>
    </xf>
    <xf numFmtId="3" fontId="65" fillId="0" borderId="1" xfId="50" applyNumberFormat="1" applyFont="1" applyFill="1" applyBorder="1" applyAlignment="1" applyProtection="1">
      <alignment horizontal="center" vertical="center" wrapText="1"/>
      <protection locked="0"/>
    </xf>
    <xf numFmtId="3" fontId="65" fillId="0" borderId="40" xfId="50" applyNumberFormat="1" applyFont="1" applyFill="1" applyBorder="1" applyAlignment="1" applyProtection="1">
      <alignment horizontal="center" vertical="center" wrapText="1"/>
    </xf>
    <xf numFmtId="169" fontId="42" fillId="0" borderId="46" xfId="19" applyNumberFormat="1" applyFont="1" applyBorder="1"/>
    <xf numFmtId="169" fontId="42" fillId="0" borderId="67" xfId="19" applyNumberFormat="1" applyFont="1" applyFill="1" applyBorder="1"/>
    <xf numFmtId="169" fontId="73" fillId="0" borderId="9" xfId="19" applyNumberFormat="1" applyFont="1" applyBorder="1"/>
    <xf numFmtId="3" fontId="65" fillId="0" borderId="2" xfId="26" quotePrefix="1" applyNumberFormat="1" applyFont="1" applyFill="1" applyBorder="1" applyAlignment="1">
      <alignment horizontal="right"/>
    </xf>
    <xf numFmtId="165" fontId="65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0" fontId="114" fillId="0" borderId="75" xfId="0" applyFont="1" applyFill="1" applyBorder="1" applyAlignment="1">
      <alignment vertical="center"/>
    </xf>
    <xf numFmtId="165" fontId="114" fillId="0" borderId="9" xfId="0" applyNumberFormat="1" applyFont="1" applyFill="1" applyBorder="1" applyAlignment="1" applyProtection="1">
      <alignment horizontal="right" vertical="center" wrapText="1"/>
      <protection locked="0"/>
    </xf>
    <xf numFmtId="49" fontId="114" fillId="0" borderId="3" xfId="0" applyNumberFormat="1" applyFont="1" applyFill="1" applyBorder="1" applyAlignment="1" applyProtection="1">
      <alignment horizontal="center" vertical="center" wrapText="1"/>
      <protection locked="0"/>
    </xf>
    <xf numFmtId="165" fontId="114" fillId="0" borderId="3" xfId="0" applyNumberFormat="1" applyFont="1" applyFill="1" applyBorder="1" applyAlignment="1" applyProtection="1">
      <alignment horizontal="right" vertical="center" wrapText="1"/>
      <protection locked="0"/>
    </xf>
    <xf numFmtId="165" fontId="8" fillId="0" borderId="6" xfId="0" applyNumberFormat="1" applyFont="1" applyFill="1" applyBorder="1" applyAlignment="1" applyProtection="1">
      <alignment horizontal="right" vertical="center" wrapText="1"/>
      <protection locked="0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165" fontId="114" fillId="0" borderId="11" xfId="0" applyNumberFormat="1" applyFont="1" applyFill="1" applyBorder="1" applyAlignment="1" applyProtection="1">
      <alignment horizontal="right" vertical="center" wrapText="1"/>
      <protection locked="0"/>
    </xf>
    <xf numFmtId="165" fontId="114" fillId="0" borderId="4" xfId="0" applyNumberFormat="1" applyFont="1" applyFill="1" applyBorder="1" applyAlignment="1" applyProtection="1">
      <alignment horizontal="right" vertical="center" wrapText="1"/>
      <protection locked="0"/>
    </xf>
    <xf numFmtId="0" fontId="114" fillId="0" borderId="60" xfId="0" quotePrefix="1" applyFont="1" applyFill="1" applyBorder="1" applyAlignment="1">
      <alignment vertical="center"/>
    </xf>
    <xf numFmtId="0" fontId="110" fillId="0" borderId="64" xfId="0" quotePrefix="1" applyFont="1" applyFill="1" applyBorder="1" applyAlignment="1">
      <alignment vertical="center"/>
    </xf>
    <xf numFmtId="165" fontId="114" fillId="0" borderId="39" xfId="0" applyNumberFormat="1" applyFont="1" applyFill="1" applyBorder="1" applyAlignment="1" applyProtection="1">
      <alignment horizontal="right" vertical="center" wrapText="1"/>
      <protection locked="0"/>
    </xf>
    <xf numFmtId="49" fontId="114" fillId="0" borderId="25" xfId="0" applyNumberFormat="1" applyFont="1" applyFill="1" applyBorder="1" applyAlignment="1" applyProtection="1">
      <alignment horizontal="center" vertical="center" wrapText="1"/>
      <protection locked="0"/>
    </xf>
    <xf numFmtId="165" fontId="114" fillId="0" borderId="25" xfId="0" applyNumberFormat="1" applyFont="1" applyFill="1" applyBorder="1" applyAlignment="1" applyProtection="1">
      <alignment horizontal="right" vertical="center" wrapText="1"/>
      <protection locked="0"/>
    </xf>
    <xf numFmtId="165" fontId="114" fillId="0" borderId="26" xfId="0" applyNumberFormat="1" applyFont="1" applyFill="1" applyBorder="1" applyAlignment="1" applyProtection="1">
      <alignment vertical="center" wrapText="1"/>
    </xf>
    <xf numFmtId="165" fontId="114" fillId="0" borderId="8" xfId="0" applyNumberFormat="1" applyFont="1" applyFill="1" applyBorder="1" applyAlignment="1" applyProtection="1">
      <alignment horizontal="right" vertical="center" wrapText="1"/>
      <protection locked="0"/>
    </xf>
    <xf numFmtId="3" fontId="65" fillId="0" borderId="3" xfId="0" applyNumberFormat="1" applyFont="1" applyFill="1" applyBorder="1" applyAlignment="1" applyProtection="1">
      <alignment vertical="center"/>
      <protection locked="0"/>
    </xf>
    <xf numFmtId="165" fontId="65" fillId="0" borderId="57" xfId="21" applyNumberFormat="1" applyFont="1" applyFill="1" applyBorder="1" applyAlignment="1" applyProtection="1">
      <alignment horizontal="right" vertical="center" wrapText="1" indent="1"/>
      <protection locked="0"/>
    </xf>
    <xf numFmtId="4" fontId="68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3" fontId="34" fillId="0" borderId="2" xfId="25" applyNumberFormat="1" applyFont="1" applyBorder="1" applyAlignment="1">
      <alignment horizontal="right"/>
    </xf>
    <xf numFmtId="169" fontId="42" fillId="0" borderId="15" xfId="19" applyNumberFormat="1" applyFont="1" applyBorder="1"/>
    <xf numFmtId="0" fontId="106" fillId="0" borderId="0" xfId="0" applyFont="1" applyAlignment="1">
      <alignment horizontal="center"/>
    </xf>
    <xf numFmtId="0" fontId="30" fillId="9" borderId="0" xfId="0" applyFont="1" applyFill="1" applyAlignment="1" applyProtection="1">
      <alignment horizontal="center"/>
      <protection locked="0"/>
    </xf>
    <xf numFmtId="0" fontId="40" fillId="9" borderId="0" xfId="0" applyFont="1" applyFill="1" applyAlignment="1" applyProtection="1">
      <alignment horizontal="center"/>
      <protection locked="0"/>
    </xf>
    <xf numFmtId="0" fontId="30" fillId="0" borderId="0" xfId="21" applyFont="1" applyFill="1" applyAlignment="1" applyProtection="1">
      <alignment horizontal="center"/>
    </xf>
    <xf numFmtId="0" fontId="30" fillId="0" borderId="0" xfId="0" applyFont="1" applyAlignment="1" applyProtection="1">
      <alignment horizontal="center"/>
      <protection locked="0"/>
    </xf>
    <xf numFmtId="0" fontId="8" fillId="0" borderId="0" xfId="21" applyFont="1" applyFill="1" applyAlignment="1" applyProtection="1">
      <alignment horizontal="right"/>
    </xf>
    <xf numFmtId="165" fontId="41" fillId="0" borderId="24" xfId="21" applyNumberFormat="1" applyFont="1" applyFill="1" applyBorder="1" applyAlignment="1" applyProtection="1">
      <alignment horizontal="left" vertical="center"/>
    </xf>
    <xf numFmtId="165" fontId="14" fillId="0" borderId="0" xfId="21" applyNumberFormat="1" applyFont="1" applyFill="1" applyBorder="1" applyAlignment="1" applyProtection="1">
      <alignment horizontal="center" vertical="center"/>
    </xf>
    <xf numFmtId="165" fontId="41" fillId="0" borderId="24" xfId="21" applyNumberFormat="1" applyFont="1" applyFill="1" applyBorder="1" applyAlignment="1" applyProtection="1">
      <alignment horizontal="left"/>
    </xf>
    <xf numFmtId="165" fontId="36" fillId="0" borderId="24" xfId="21" applyNumberFormat="1" applyFont="1" applyFill="1" applyBorder="1" applyAlignment="1" applyProtection="1">
      <alignment horizontal="center" vertical="center"/>
    </xf>
    <xf numFmtId="165" fontId="0" fillId="0" borderId="0" xfId="0" applyNumberFormat="1" applyFont="1" applyFill="1" applyAlignment="1" applyProtection="1">
      <alignment horizontal="center" vertical="center" textRotation="180" wrapText="1"/>
    </xf>
    <xf numFmtId="165" fontId="36" fillId="0" borderId="61" xfId="0" applyNumberFormat="1" applyFont="1" applyFill="1" applyBorder="1" applyAlignment="1" applyProtection="1">
      <alignment horizontal="center" vertical="center" wrapText="1"/>
    </xf>
    <xf numFmtId="165" fontId="36" fillId="0" borderId="59" xfId="0" applyNumberFormat="1" applyFont="1" applyFill="1" applyBorder="1" applyAlignment="1" applyProtection="1">
      <alignment horizontal="center" vertical="center" wrapText="1"/>
    </xf>
    <xf numFmtId="165" fontId="47" fillId="0" borderId="51" xfId="0" applyNumberFormat="1" applyFont="1" applyFill="1" applyBorder="1" applyAlignment="1" applyProtection="1">
      <alignment horizontal="center" vertical="center" wrapText="1"/>
    </xf>
    <xf numFmtId="165" fontId="30" fillId="0" borderId="24" xfId="0" applyNumberFormat="1" applyFont="1" applyFill="1" applyBorder="1" applyAlignment="1" applyProtection="1">
      <alignment horizontal="center" vertical="center" wrapText="1"/>
    </xf>
    <xf numFmtId="165" fontId="14" fillId="0" borderId="24" xfId="0" applyNumberFormat="1" applyFont="1" applyFill="1" applyBorder="1" applyAlignment="1" applyProtection="1">
      <alignment horizontal="center" vertical="center" wrapText="1"/>
    </xf>
    <xf numFmtId="0" fontId="22" fillId="0" borderId="0" xfId="21" applyFont="1" applyFill="1" applyAlignment="1">
      <alignment horizontal="right"/>
    </xf>
    <xf numFmtId="165" fontId="12" fillId="0" borderId="0" xfId="21" applyNumberFormat="1" applyFont="1" applyFill="1" applyBorder="1" applyAlignment="1" applyProtection="1">
      <alignment horizontal="center" vertical="center" wrapText="1"/>
    </xf>
    <xf numFmtId="0" fontId="18" fillId="0" borderId="0" xfId="48" applyFont="1" applyFill="1" applyBorder="1" applyAlignment="1" applyProtection="1">
      <alignment horizontal="right"/>
    </xf>
    <xf numFmtId="0" fontId="27" fillId="0" borderId="0" xfId="48" applyFont="1" applyFill="1" applyBorder="1" applyAlignment="1" applyProtection="1">
      <alignment horizontal="right"/>
    </xf>
    <xf numFmtId="0" fontId="37" fillId="0" borderId="11" xfId="21" applyFont="1" applyFill="1" applyBorder="1" applyAlignment="1">
      <alignment horizontal="center" vertical="center" wrapText="1"/>
    </xf>
    <xf numFmtId="0" fontId="37" fillId="0" borderId="10" xfId="21" applyFont="1" applyFill="1" applyBorder="1" applyAlignment="1">
      <alignment horizontal="center" vertical="center" wrapText="1"/>
    </xf>
    <xf numFmtId="0" fontId="37" fillId="0" borderId="4" xfId="21" applyFont="1" applyFill="1" applyBorder="1" applyAlignment="1">
      <alignment horizontal="center" vertical="center" wrapText="1"/>
    </xf>
    <xf numFmtId="0" fontId="37" fillId="0" borderId="6" xfId="21" applyFont="1" applyFill="1" applyBorder="1" applyAlignment="1">
      <alignment horizontal="center" vertical="center" wrapText="1"/>
    </xf>
    <xf numFmtId="0" fontId="37" fillId="0" borderId="17" xfId="21" applyFont="1" applyFill="1" applyBorder="1" applyAlignment="1">
      <alignment horizontal="center" vertical="center" wrapText="1"/>
    </xf>
    <xf numFmtId="0" fontId="37" fillId="0" borderId="23" xfId="21" applyFont="1" applyFill="1" applyBorder="1" applyAlignment="1">
      <alignment horizontal="center" vertical="center" wrapText="1"/>
    </xf>
    <xf numFmtId="0" fontId="36" fillId="0" borderId="39" xfId="21" applyFont="1" applyFill="1" applyBorder="1" applyAlignment="1" applyProtection="1">
      <alignment horizontal="left"/>
    </xf>
    <xf numFmtId="0" fontId="36" fillId="0" borderId="25" xfId="21" applyFont="1" applyFill="1" applyBorder="1" applyAlignment="1" applyProtection="1">
      <alignment horizontal="left"/>
    </xf>
    <xf numFmtId="0" fontId="28" fillId="0" borderId="51" xfId="21" applyFont="1" applyFill="1" applyBorder="1" applyAlignment="1">
      <alignment horizontal="justify" vertical="center" wrapText="1"/>
    </xf>
    <xf numFmtId="165" fontId="69" fillId="0" borderId="0" xfId="0" applyNumberFormat="1" applyFont="1" applyFill="1" applyAlignment="1">
      <alignment horizontal="right" vertical="center" wrapText="1"/>
    </xf>
    <xf numFmtId="165" fontId="82" fillId="0" borderId="0" xfId="0" applyNumberFormat="1" applyFont="1" applyFill="1" applyAlignment="1">
      <alignment horizontal="center" vertical="center" wrapText="1"/>
    </xf>
    <xf numFmtId="165" fontId="19" fillId="0" borderId="0" xfId="0" applyNumberFormat="1" applyFont="1" applyFill="1" applyAlignment="1">
      <alignment horizontal="right" vertical="center" wrapText="1"/>
    </xf>
    <xf numFmtId="165" fontId="30" fillId="0" borderId="0" xfId="0" applyNumberFormat="1" applyFont="1" applyFill="1" applyAlignment="1">
      <alignment horizontal="center" vertical="center" wrapText="1"/>
    </xf>
    <xf numFmtId="165" fontId="87" fillId="0" borderId="47" xfId="0" applyNumberFormat="1" applyFont="1" applyFill="1" applyBorder="1" applyAlignment="1" applyProtection="1">
      <alignment horizontal="left" vertical="center" wrapText="1"/>
      <protection locked="0"/>
    </xf>
    <xf numFmtId="165" fontId="87" fillId="0" borderId="72" xfId="0" applyNumberFormat="1" applyFont="1" applyFill="1" applyBorder="1" applyAlignment="1" applyProtection="1">
      <alignment horizontal="left" vertical="center" wrapText="1"/>
      <protection locked="0"/>
    </xf>
    <xf numFmtId="165" fontId="87" fillId="0" borderId="36" xfId="0" applyNumberFormat="1" applyFont="1" applyFill="1" applyBorder="1" applyAlignment="1" applyProtection="1">
      <alignment horizontal="left" vertical="center" wrapText="1"/>
      <protection locked="0"/>
    </xf>
    <xf numFmtId="165" fontId="111" fillId="0" borderId="8" xfId="28" applyNumberFormat="1" applyFont="1" applyFill="1" applyBorder="1" applyAlignment="1" applyProtection="1">
      <alignment horizontal="left" vertical="center" wrapText="1"/>
      <protection locked="0"/>
    </xf>
    <xf numFmtId="165" fontId="111" fillId="0" borderId="2" xfId="28" applyNumberFormat="1" applyFont="1" applyFill="1" applyBorder="1" applyAlignment="1" applyProtection="1">
      <alignment horizontal="left" vertical="center" wrapText="1"/>
      <protection locked="0"/>
    </xf>
    <xf numFmtId="165" fontId="111" fillId="0" borderId="18" xfId="28" applyNumberFormat="1" applyFont="1" applyFill="1" applyBorder="1" applyAlignment="1" applyProtection="1">
      <alignment horizontal="left" vertical="center" wrapText="1"/>
      <protection locked="0"/>
    </xf>
    <xf numFmtId="0" fontId="0" fillId="0" borderId="0" xfId="0" applyFont="1" applyFill="1" applyAlignment="1">
      <alignment horizontal="right"/>
    </xf>
    <xf numFmtId="0" fontId="30" fillId="0" borderId="0" xfId="0" applyFont="1" applyFill="1" applyAlignment="1" applyProtection="1">
      <alignment horizontal="center" wrapText="1"/>
    </xf>
    <xf numFmtId="0" fontId="38" fillId="0" borderId="0" xfId="0" applyFont="1" applyFill="1" applyBorder="1" applyAlignment="1" applyProtection="1">
      <alignment horizontal="right"/>
    </xf>
    <xf numFmtId="0" fontId="30" fillId="0" borderId="0" xfId="0" applyFont="1" applyFill="1" applyAlignment="1" applyProtection="1">
      <alignment horizontal="center" vertical="center" wrapText="1"/>
    </xf>
    <xf numFmtId="0" fontId="0" fillId="0" borderId="0" xfId="0" applyFill="1" applyAlignment="1">
      <alignment horizontal="right"/>
    </xf>
    <xf numFmtId="0" fontId="82" fillId="0" borderId="0" xfId="0" applyFont="1" applyFill="1" applyAlignment="1" applyProtection="1">
      <alignment horizontal="center" vertical="center" wrapText="1"/>
    </xf>
    <xf numFmtId="0" fontId="102" fillId="0" borderId="24" xfId="0" applyFont="1" applyFill="1" applyBorder="1" applyAlignment="1" applyProtection="1">
      <alignment horizontal="right"/>
    </xf>
    <xf numFmtId="0" fontId="82" fillId="0" borderId="0" xfId="0" applyFont="1" applyFill="1" applyAlignment="1" applyProtection="1">
      <alignment horizontal="center" wrapText="1"/>
    </xf>
    <xf numFmtId="0" fontId="38" fillId="0" borderId="24" xfId="0" applyFont="1" applyFill="1" applyBorder="1" applyAlignment="1" applyProtection="1">
      <alignment horizontal="right"/>
    </xf>
    <xf numFmtId="0" fontId="8" fillId="0" borderId="0" xfId="0" applyFont="1" applyFill="1" applyAlignment="1" applyProtection="1">
      <alignment horizontal="right" vertical="center" wrapText="1"/>
    </xf>
    <xf numFmtId="0" fontId="11" fillId="0" borderId="34" xfId="0" applyFont="1" applyFill="1" applyBorder="1" applyAlignment="1" applyProtection="1">
      <alignment horizontal="left" vertical="center"/>
    </xf>
    <xf numFmtId="0" fontId="11" fillId="0" borderId="33" xfId="0" applyFont="1" applyFill="1" applyBorder="1" applyAlignment="1" applyProtection="1">
      <alignment horizontal="left" vertical="center"/>
    </xf>
    <xf numFmtId="0" fontId="15" fillId="0" borderId="34" xfId="0" applyFont="1" applyFill="1" applyBorder="1" applyAlignment="1" applyProtection="1">
      <alignment horizontal="center" vertical="center" wrapText="1"/>
    </xf>
    <xf numFmtId="0" fontId="15" fillId="0" borderId="35" xfId="0" applyFont="1" applyFill="1" applyBorder="1" applyAlignment="1" applyProtection="1">
      <alignment horizontal="center" vertical="center" wrapText="1"/>
    </xf>
    <xf numFmtId="0" fontId="15" fillId="0" borderId="44" xfId="0" applyFont="1" applyFill="1" applyBorder="1" applyAlignment="1" applyProtection="1">
      <alignment horizontal="center" vertical="center" wrapText="1"/>
    </xf>
    <xf numFmtId="0" fontId="0" fillId="0" borderId="0" xfId="0" applyFill="1" applyAlignment="1" applyProtection="1">
      <alignment horizontal="right" vertical="center" wrapText="1"/>
    </xf>
    <xf numFmtId="0" fontId="71" fillId="0" borderId="12" xfId="0" applyFont="1" applyFill="1" applyBorder="1" applyAlignment="1" applyProtection="1">
      <alignment horizontal="left" vertical="center" wrapText="1"/>
    </xf>
    <xf numFmtId="0" fontId="71" fillId="0" borderId="21" xfId="0" applyFont="1" applyFill="1" applyBorder="1" applyAlignment="1" applyProtection="1">
      <alignment horizontal="left" vertical="center" wrapText="1"/>
    </xf>
    <xf numFmtId="0" fontId="11" fillId="0" borderId="46" xfId="0" applyFont="1" applyFill="1" applyBorder="1" applyAlignment="1" applyProtection="1">
      <alignment horizontal="left" vertical="center"/>
    </xf>
    <xf numFmtId="0" fontId="11" fillId="0" borderId="55" xfId="0" applyFont="1" applyFill="1" applyBorder="1" applyAlignment="1" applyProtection="1">
      <alignment horizontal="left" vertical="center"/>
    </xf>
    <xf numFmtId="0" fontId="69" fillId="0" borderId="39" xfId="0" applyFont="1" applyFill="1" applyBorder="1" applyAlignment="1" applyProtection="1">
      <alignment horizontal="left" vertical="center" wrapText="1"/>
    </xf>
    <xf numFmtId="0" fontId="69" fillId="0" borderId="25" xfId="0" applyFont="1" applyFill="1" applyBorder="1" applyAlignment="1" applyProtection="1">
      <alignment horizontal="left" vertical="center" wrapText="1"/>
    </xf>
    <xf numFmtId="0" fontId="0" fillId="0" borderId="34" xfId="0" applyFill="1" applyBorder="1" applyAlignment="1" applyProtection="1">
      <alignment horizontal="left" vertical="center" wrapText="1"/>
    </xf>
    <xf numFmtId="0" fontId="0" fillId="0" borderId="35" xfId="0" applyFill="1" applyBorder="1" applyAlignment="1" applyProtection="1">
      <alignment horizontal="left" vertical="center" wrapText="1"/>
    </xf>
    <xf numFmtId="0" fontId="0" fillId="0" borderId="34" xfId="0" applyFont="1" applyFill="1" applyBorder="1" applyAlignment="1" applyProtection="1">
      <alignment horizontal="left" vertical="center"/>
    </xf>
    <xf numFmtId="0" fontId="0" fillId="0" borderId="33" xfId="0" applyFont="1" applyFill="1" applyBorder="1" applyAlignment="1" applyProtection="1">
      <alignment horizontal="left" vertical="center"/>
    </xf>
    <xf numFmtId="0" fontId="22" fillId="0" borderId="12" xfId="0" applyFont="1" applyFill="1" applyBorder="1" applyAlignment="1" applyProtection="1">
      <alignment horizontal="left" vertical="center" wrapText="1"/>
    </xf>
    <xf numFmtId="0" fontId="22" fillId="0" borderId="21" xfId="0" applyFont="1" applyFill="1" applyBorder="1" applyAlignment="1" applyProtection="1">
      <alignment horizontal="left" vertical="center" wrapText="1"/>
    </xf>
    <xf numFmtId="0" fontId="78" fillId="0" borderId="0" xfId="25" applyFont="1" applyAlignment="1">
      <alignment horizontal="right"/>
    </xf>
    <xf numFmtId="0" fontId="72" fillId="0" borderId="15" xfId="25" applyFont="1" applyBorder="1" applyAlignment="1">
      <alignment horizontal="center" vertical="center"/>
    </xf>
    <xf numFmtId="0" fontId="72" fillId="0" borderId="7" xfId="25" applyFont="1" applyBorder="1" applyAlignment="1">
      <alignment horizontal="center" vertical="center"/>
    </xf>
    <xf numFmtId="0" fontId="72" fillId="0" borderId="9" xfId="25" applyFont="1" applyBorder="1" applyAlignment="1">
      <alignment horizontal="center" vertical="center"/>
    </xf>
    <xf numFmtId="0" fontId="72" fillId="0" borderId="69" xfId="25" applyFont="1" applyBorder="1" applyAlignment="1">
      <alignment horizontal="center"/>
    </xf>
    <xf numFmtId="0" fontId="89" fillId="0" borderId="71" xfId="25" applyFont="1" applyBorder="1" applyAlignment="1">
      <alignment horizontal="center"/>
    </xf>
    <xf numFmtId="0" fontId="89" fillId="0" borderId="55" xfId="25" applyFont="1" applyBorder="1" applyAlignment="1">
      <alignment horizontal="center"/>
    </xf>
    <xf numFmtId="0" fontId="72" fillId="0" borderId="4" xfId="25" applyFont="1" applyBorder="1" applyAlignment="1">
      <alignment horizontal="center"/>
    </xf>
    <xf numFmtId="0" fontId="89" fillId="0" borderId="4" xfId="25" applyFont="1" applyBorder="1" applyAlignment="1">
      <alignment horizontal="center"/>
    </xf>
    <xf numFmtId="0" fontId="89" fillId="0" borderId="17" xfId="25" applyFont="1" applyBorder="1" applyAlignment="1">
      <alignment horizontal="center"/>
    </xf>
    <xf numFmtId="0" fontId="72" fillId="0" borderId="6" xfId="25" applyFont="1" applyBorder="1" applyAlignment="1">
      <alignment horizontal="center" vertical="top" wrapText="1"/>
    </xf>
    <xf numFmtId="0" fontId="72" fillId="0" borderId="3" xfId="25" applyFont="1" applyBorder="1" applyAlignment="1">
      <alignment horizontal="center" vertical="top" wrapText="1"/>
    </xf>
    <xf numFmtId="0" fontId="93" fillId="0" borderId="0" xfId="25" applyFont="1" applyAlignment="1">
      <alignment horizontal="center"/>
    </xf>
    <xf numFmtId="0" fontId="72" fillId="0" borderId="6" xfId="25" applyFont="1" applyBorder="1" applyAlignment="1">
      <alignment horizontal="center" wrapText="1"/>
    </xf>
    <xf numFmtId="0" fontId="72" fillId="0" borderId="3" xfId="25" applyFont="1" applyBorder="1" applyAlignment="1">
      <alignment horizontal="center" wrapText="1"/>
    </xf>
    <xf numFmtId="0" fontId="72" fillId="0" borderId="23" xfId="25" applyFont="1" applyBorder="1" applyAlignment="1">
      <alignment horizontal="center" wrapText="1"/>
    </xf>
    <xf numFmtId="0" fontId="72" fillId="0" borderId="20" xfId="25" applyFont="1" applyBorder="1" applyAlignment="1">
      <alignment horizontal="center" wrapText="1"/>
    </xf>
    <xf numFmtId="0" fontId="22" fillId="0" borderId="0" xfId="20" applyFont="1" applyAlignment="1">
      <alignment horizontal="right"/>
    </xf>
    <xf numFmtId="0" fontId="51" fillId="0" borderId="0" xfId="20" applyFont="1" applyAlignment="1">
      <alignment horizontal="center" vertical="center"/>
    </xf>
    <xf numFmtId="0" fontId="51" fillId="0" borderId="0" xfId="20" applyFont="1" applyAlignment="1">
      <alignment horizontal="center"/>
    </xf>
    <xf numFmtId="0" fontId="8" fillId="0" borderId="0" xfId="21" applyFont="1" applyFill="1" applyAlignment="1">
      <alignment horizontal="right"/>
    </xf>
    <xf numFmtId="0" fontId="30" fillId="0" borderId="0" xfId="21" applyFont="1" applyFill="1" applyAlignment="1">
      <alignment horizontal="center" wrapText="1"/>
    </xf>
    <xf numFmtId="0" fontId="30" fillId="0" borderId="0" xfId="21" applyFont="1" applyFill="1" applyAlignment="1">
      <alignment horizontal="center"/>
    </xf>
    <xf numFmtId="165" fontId="15" fillId="0" borderId="34" xfId="50" applyNumberFormat="1" applyFont="1" applyFill="1" applyBorder="1" applyAlignment="1" applyProtection="1">
      <alignment horizontal="left" vertical="center" wrapText="1" indent="2"/>
    </xf>
    <xf numFmtId="165" fontId="15" fillId="0" borderId="44" xfId="50" applyNumberFormat="1" applyFont="1" applyFill="1" applyBorder="1" applyAlignment="1" applyProtection="1">
      <alignment horizontal="left" vertical="center" wrapText="1" indent="2"/>
    </xf>
    <xf numFmtId="165" fontId="0" fillId="0" borderId="0" xfId="0" applyNumberFormat="1" applyFont="1" applyFill="1" applyAlignment="1">
      <alignment horizontal="right" vertical="center" wrapText="1"/>
    </xf>
    <xf numFmtId="165" fontId="106" fillId="0" borderId="0" xfId="0" applyNumberFormat="1" applyFont="1" applyFill="1" applyAlignment="1">
      <alignment horizontal="center" vertical="center" wrapText="1"/>
    </xf>
    <xf numFmtId="0" fontId="15" fillId="0" borderId="61" xfId="50" applyNumberFormat="1" applyFont="1" applyFill="1" applyBorder="1" applyAlignment="1" applyProtection="1">
      <alignment horizontal="center" vertical="center" wrapText="1"/>
    </xf>
    <xf numFmtId="0" fontId="15" fillId="0" borderId="59" xfId="50" applyNumberFormat="1" applyFont="1" applyFill="1" applyBorder="1" applyAlignment="1" applyProtection="1">
      <alignment horizontal="center" vertical="center" wrapText="1"/>
    </xf>
    <xf numFmtId="0" fontId="15" fillId="0" borderId="61" xfId="50" applyNumberFormat="1" applyFont="1" applyFill="1" applyBorder="1" applyAlignment="1" applyProtection="1">
      <alignment horizontal="center" vertical="center"/>
    </xf>
    <xf numFmtId="0" fontId="15" fillId="0" borderId="59" xfId="50" applyNumberFormat="1" applyFont="1" applyFill="1" applyBorder="1" applyAlignment="1" applyProtection="1">
      <alignment horizontal="center" vertical="center"/>
    </xf>
    <xf numFmtId="0" fontId="15" fillId="0" borderId="46" xfId="50" applyNumberFormat="1" applyFont="1" applyFill="1" applyBorder="1" applyAlignment="1" applyProtection="1">
      <alignment horizontal="center" vertical="center"/>
    </xf>
    <xf numFmtId="0" fontId="15" fillId="0" borderId="71" xfId="50" applyNumberFormat="1" applyFont="1" applyFill="1" applyBorder="1" applyAlignment="1" applyProtection="1">
      <alignment horizontal="center" vertical="center"/>
    </xf>
    <xf numFmtId="0" fontId="15" fillId="0" borderId="57" xfId="50" applyNumberFormat="1" applyFont="1" applyFill="1" applyBorder="1" applyAlignment="1" applyProtection="1">
      <alignment horizontal="center" vertical="center"/>
    </xf>
    <xf numFmtId="165" fontId="0" fillId="0" borderId="0" xfId="0" applyNumberFormat="1" applyFill="1" applyAlignment="1">
      <alignment horizontal="right" vertical="center" wrapText="1"/>
    </xf>
    <xf numFmtId="0" fontId="23" fillId="0" borderId="0" xfId="0" applyFont="1" applyAlignment="1">
      <alignment horizontal="center" wrapText="1"/>
    </xf>
    <xf numFmtId="0" fontId="35" fillId="0" borderId="51" xfId="0" applyFont="1" applyFill="1" applyBorder="1" applyAlignment="1">
      <alignment horizontal="justify" vertical="center" wrapText="1"/>
    </xf>
    <xf numFmtId="0" fontId="8" fillId="0" borderId="0" xfId="23" applyFont="1" applyFill="1" applyAlignment="1" applyProtection="1">
      <alignment horizontal="right"/>
    </xf>
    <xf numFmtId="0" fontId="106" fillId="0" borderId="0" xfId="23" applyFont="1" applyFill="1" applyAlignment="1" applyProtection="1">
      <alignment horizontal="center" wrapText="1"/>
    </xf>
    <xf numFmtId="0" fontId="106" fillId="0" borderId="0" xfId="23" applyFont="1" applyFill="1" applyAlignment="1" applyProtection="1">
      <alignment horizontal="center"/>
    </xf>
    <xf numFmtId="0" fontId="27" fillId="0" borderId="68" xfId="23" applyFont="1" applyFill="1" applyBorder="1" applyAlignment="1" applyProtection="1">
      <alignment horizontal="center" vertical="center"/>
    </xf>
    <xf numFmtId="0" fontId="27" fillId="0" borderId="35" xfId="23" applyFont="1" applyFill="1" applyBorder="1" applyAlignment="1" applyProtection="1">
      <alignment horizontal="center" vertical="center"/>
    </xf>
    <xf numFmtId="0" fontId="27" fillId="0" borderId="44" xfId="23" applyFont="1" applyFill="1" applyBorder="1" applyAlignment="1" applyProtection="1">
      <alignment horizontal="center" vertical="center"/>
    </xf>
    <xf numFmtId="0" fontId="118" fillId="0" borderId="68" xfId="18" applyFont="1" applyBorder="1" applyAlignment="1">
      <alignment horizontal="right" vertical="center"/>
    </xf>
    <xf numFmtId="0" fontId="118" fillId="0" borderId="33" xfId="18" applyFont="1" applyBorder="1" applyAlignment="1">
      <alignment horizontal="right" vertical="center"/>
    </xf>
    <xf numFmtId="0" fontId="8" fillId="0" borderId="0" xfId="18" applyFont="1" applyAlignment="1">
      <alignment horizontal="right"/>
    </xf>
    <xf numFmtId="0" fontId="123" fillId="0" borderId="0" xfId="52" applyFont="1" applyFill="1" applyBorder="1" applyAlignment="1" applyProtection="1">
      <alignment horizontal="center" vertical="center"/>
    </xf>
    <xf numFmtId="0" fontId="0" fillId="0" borderId="0" xfId="0" applyAlignment="1">
      <alignment horizontal="right"/>
    </xf>
    <xf numFmtId="0" fontId="30" fillId="0" borderId="0" xfId="0" applyFont="1" applyAlignment="1">
      <alignment horizontal="center" wrapText="1"/>
    </xf>
    <xf numFmtId="0" fontId="41" fillId="0" borderId="0" xfId="0" applyFont="1" applyAlignment="1" applyProtection="1">
      <alignment horizontal="right"/>
    </xf>
    <xf numFmtId="0" fontId="36" fillId="0" borderId="34" xfId="0" applyFont="1" applyBorder="1" applyAlignment="1" applyProtection="1">
      <alignment horizontal="right" vertical="center"/>
    </xf>
    <xf numFmtId="0" fontId="36" fillId="0" borderId="44" xfId="0" applyFont="1" applyBorder="1" applyAlignment="1" applyProtection="1">
      <alignment horizontal="right" vertical="center"/>
    </xf>
    <xf numFmtId="0" fontId="110" fillId="0" borderId="0" xfId="19" applyFont="1" applyAlignment="1">
      <alignment horizontal="right"/>
    </xf>
    <xf numFmtId="3" fontId="8" fillId="0" borderId="0" xfId="21" applyNumberFormat="1" applyFont="1" applyFill="1" applyAlignment="1">
      <alignment horizontal="right"/>
    </xf>
    <xf numFmtId="49" fontId="51" fillId="0" borderId="0" xfId="19" applyNumberFormat="1" applyFont="1" applyAlignment="1">
      <alignment horizontal="center"/>
    </xf>
    <xf numFmtId="0" fontId="51" fillId="0" borderId="0" xfId="19" applyFont="1" applyAlignment="1">
      <alignment horizontal="center"/>
    </xf>
    <xf numFmtId="0" fontId="14" fillId="0" borderId="11" xfId="19" applyFont="1" applyBorder="1" applyAlignment="1">
      <alignment horizontal="center"/>
    </xf>
    <xf numFmtId="0" fontId="14" fillId="0" borderId="4" xfId="19" applyFont="1" applyBorder="1" applyAlignment="1">
      <alignment horizontal="center"/>
    </xf>
    <xf numFmtId="0" fontId="14" fillId="0" borderId="17" xfId="19" applyFont="1" applyBorder="1" applyAlignment="1">
      <alignment horizontal="center"/>
    </xf>
    <xf numFmtId="0" fontId="64" fillId="0" borderId="61" xfId="19" applyFont="1" applyBorder="1" applyAlignment="1">
      <alignment horizontal="center" vertical="center" wrapText="1"/>
    </xf>
    <xf numFmtId="0" fontId="64" fillId="0" borderId="59" xfId="19" applyFont="1" applyBorder="1" applyAlignment="1">
      <alignment horizontal="center" vertical="center" wrapText="1"/>
    </xf>
    <xf numFmtId="0" fontId="14" fillId="0" borderId="61" xfId="19" applyFont="1" applyBorder="1" applyAlignment="1">
      <alignment horizontal="center" vertical="center" wrapText="1"/>
    </xf>
    <xf numFmtId="0" fontId="14" fillId="0" borderId="59" xfId="19" applyFont="1" applyBorder="1" applyAlignment="1">
      <alignment horizontal="center" vertical="center" wrapText="1"/>
    </xf>
    <xf numFmtId="0" fontId="15" fillId="0" borderId="34" xfId="19" applyFont="1" applyBorder="1" applyAlignment="1">
      <alignment horizontal="right"/>
    </xf>
    <xf numFmtId="0" fontId="15" fillId="0" borderId="44" xfId="19" applyFont="1" applyBorder="1" applyAlignment="1">
      <alignment horizontal="right"/>
    </xf>
    <xf numFmtId="0" fontId="38" fillId="0" borderId="63" xfId="19" applyFont="1" applyBorder="1" applyAlignment="1">
      <alignment horizontal="center"/>
    </xf>
    <xf numFmtId="0" fontId="38" fillId="0" borderId="51" xfId="19" applyFont="1" applyBorder="1" applyAlignment="1">
      <alignment horizontal="center"/>
    </xf>
    <xf numFmtId="0" fontId="38" fillId="0" borderId="35" xfId="19" applyFont="1" applyBorder="1" applyAlignment="1">
      <alignment horizontal="center"/>
    </xf>
    <xf numFmtId="0" fontId="38" fillId="0" borderId="44" xfId="19" applyFont="1" applyBorder="1" applyAlignment="1">
      <alignment horizontal="center"/>
    </xf>
    <xf numFmtId="0" fontId="38" fillId="0" borderId="43" xfId="19" applyFont="1" applyBorder="1" applyAlignment="1">
      <alignment horizontal="center"/>
    </xf>
    <xf numFmtId="0" fontId="38" fillId="0" borderId="0" xfId="19" applyFont="1" applyBorder="1" applyAlignment="1">
      <alignment horizontal="center"/>
    </xf>
    <xf numFmtId="0" fontId="38" fillId="0" borderId="52" xfId="19" applyFont="1" applyBorder="1" applyAlignment="1">
      <alignment horizontal="center"/>
    </xf>
    <xf numFmtId="0" fontId="38" fillId="0" borderId="48" xfId="19" applyFont="1" applyBorder="1" applyAlignment="1">
      <alignment horizontal="center"/>
    </xf>
    <xf numFmtId="49" fontId="38" fillId="0" borderId="43" xfId="19" applyNumberFormat="1" applyFont="1" applyBorder="1" applyAlignment="1">
      <alignment horizontal="center"/>
    </xf>
    <xf numFmtId="49" fontId="38" fillId="0" borderId="0" xfId="19" applyNumberFormat="1" applyFont="1" applyBorder="1" applyAlignment="1">
      <alignment horizontal="center"/>
    </xf>
    <xf numFmtId="49" fontId="38" fillId="0" borderId="24" xfId="19" applyNumberFormat="1" applyFont="1" applyBorder="1" applyAlignment="1">
      <alignment horizontal="center"/>
    </xf>
    <xf numFmtId="49" fontId="38" fillId="0" borderId="45" xfId="19" applyNumberFormat="1" applyFont="1" applyBorder="1" applyAlignment="1">
      <alignment horizontal="center"/>
    </xf>
    <xf numFmtId="0" fontId="86" fillId="0" borderId="43" xfId="19" applyFont="1" applyBorder="1" applyAlignment="1">
      <alignment horizontal="center"/>
    </xf>
    <xf numFmtId="0" fontId="86" fillId="0" borderId="0" xfId="19" applyFont="1" applyBorder="1" applyAlignment="1">
      <alignment horizontal="center"/>
    </xf>
    <xf numFmtId="0" fontId="86" fillId="0" borderId="48" xfId="19" applyFont="1" applyBorder="1" applyAlignment="1">
      <alignment horizontal="center"/>
    </xf>
    <xf numFmtId="0" fontId="38" fillId="0" borderId="24" xfId="19" applyFont="1" applyBorder="1" applyAlignment="1">
      <alignment horizontal="center"/>
    </xf>
    <xf numFmtId="0" fontId="38" fillId="0" borderId="45" xfId="19" applyFont="1" applyBorder="1" applyAlignment="1">
      <alignment horizontal="center"/>
    </xf>
    <xf numFmtId="0" fontId="25" fillId="0" borderId="34" xfId="19" quotePrefix="1" applyFont="1" applyBorder="1" applyAlignment="1">
      <alignment horizontal="right"/>
    </xf>
    <xf numFmtId="0" fontId="25" fillId="0" borderId="44" xfId="19" quotePrefix="1" applyFont="1" applyBorder="1" applyAlignment="1">
      <alignment horizontal="right"/>
    </xf>
    <xf numFmtId="0" fontId="30" fillId="0" borderId="0" xfId="21" applyFont="1" applyFill="1" applyAlignment="1" applyProtection="1">
      <alignment horizontal="center" wrapText="1"/>
    </xf>
    <xf numFmtId="0" fontId="22" fillId="0" borderId="0" xfId="25" applyFont="1" applyAlignment="1">
      <alignment horizontal="right"/>
    </xf>
    <xf numFmtId="0" fontId="51" fillId="0" borderId="0" xfId="25" applyFont="1" applyAlignment="1">
      <alignment horizontal="center" vertical="center" wrapText="1"/>
    </xf>
  </cellXfs>
  <cellStyles count="102">
    <cellStyle name="1. jelölőszín" xfId="1"/>
    <cellStyle name="2. jelölőszín" xfId="2"/>
    <cellStyle name="3. jelölőszín" xfId="3"/>
    <cellStyle name="4. jelölőszín" xfId="4"/>
    <cellStyle name="5. jelölőszín" xfId="5"/>
    <cellStyle name="6. jelölőszín" xfId="6"/>
    <cellStyle name="Ezres" xfId="27" builtinId="3"/>
    <cellStyle name="Ezres 2" xfId="7"/>
    <cellStyle name="Ezres 2 2" xfId="31"/>
    <cellStyle name="Ezres 2 3" xfId="29"/>
    <cellStyle name="Ezres 2 4" xfId="35"/>
    <cellStyle name="Ezres 3" xfId="8"/>
    <cellStyle name="Ezres 3 2" xfId="32"/>
    <cellStyle name="Ezres 3 3" xfId="30"/>
    <cellStyle name="Ezres 4" xfId="9"/>
    <cellStyle name="Ezres 4 2" xfId="10"/>
    <cellStyle name="Ezres 4 2 2" xfId="26"/>
    <cellStyle name="Ezres 5" xfId="34"/>
    <cellStyle name="Ezres 5 2" xfId="43"/>
    <cellStyle name="Ezres 5 2 2" xfId="71"/>
    <cellStyle name="Ezres 5 2 2 2" xfId="99"/>
    <cellStyle name="Ezres 5 2 3" xfId="65"/>
    <cellStyle name="Ezres 5 2 3 2" xfId="94"/>
    <cellStyle name="Ezres 5 2 4" xfId="81"/>
    <cellStyle name="Ezres 5 3" xfId="53"/>
    <cellStyle name="Ezres 5 3 2" xfId="91"/>
    <cellStyle name="Ezres 5 4" xfId="57"/>
    <cellStyle name="Ezres 5 5" xfId="75"/>
    <cellStyle name="Ezres 6" xfId="39"/>
    <cellStyle name="Ezres 6 2" xfId="45"/>
    <cellStyle name="Ezres 6 2 2" xfId="73"/>
    <cellStyle name="Ezres 6 2 2 2" xfId="101"/>
    <cellStyle name="Ezres 6 2 3" xfId="68"/>
    <cellStyle name="Ezres 6 2 3 2" xfId="96"/>
    <cellStyle name="Ezres 6 2 4" xfId="83"/>
    <cellStyle name="Ezres 6 3" xfId="49"/>
    <cellStyle name="Ezres 6 3 2" xfId="87"/>
    <cellStyle name="Ezres 6 4" xfId="62"/>
    <cellStyle name="Ezres 6 5" xfId="77"/>
    <cellStyle name="Ezres 7" xfId="41"/>
    <cellStyle name="Ezres 7 2" xfId="47"/>
    <cellStyle name="Ezres 7 2 2" xfId="85"/>
    <cellStyle name="Ezres 7 3" xfId="51"/>
    <cellStyle name="Ezres 7 3 2" xfId="89"/>
    <cellStyle name="Ezres 7 4" xfId="60"/>
    <cellStyle name="Ezres 7 5" xfId="79"/>
    <cellStyle name="hetmál kút" xfId="11"/>
    <cellStyle name="Hiperhivatkozás" xfId="12"/>
    <cellStyle name="Már látott hiperhivatkozás" xfId="13"/>
    <cellStyle name="Normál" xfId="0" builtinId="0"/>
    <cellStyle name="Normál 2" xfId="14"/>
    <cellStyle name="Normál 2 2" xfId="28"/>
    <cellStyle name="Normál 2 3" xfId="36"/>
    <cellStyle name="Normál 3" xfId="15"/>
    <cellStyle name="Normál 3 2" xfId="16"/>
    <cellStyle name="Normál 3 2 2" xfId="17"/>
    <cellStyle name="Normál 4" xfId="33"/>
    <cellStyle name="Normál 4 2" xfId="42"/>
    <cellStyle name="Normál 4 2 2" xfId="70"/>
    <cellStyle name="Normál 4 2 2 2" xfId="98"/>
    <cellStyle name="Normál 4 2 3" xfId="64"/>
    <cellStyle name="Normál 4 2 3 2" xfId="93"/>
    <cellStyle name="Normál 4 2 4" xfId="80"/>
    <cellStyle name="Normál 4 3" xfId="52"/>
    <cellStyle name="Normál 4 3 2" xfId="90"/>
    <cellStyle name="Normál 4 4" xfId="56"/>
    <cellStyle name="Normál 4 5" xfId="74"/>
    <cellStyle name="Normál 5" xfId="38"/>
    <cellStyle name="Normál 5 2" xfId="44"/>
    <cellStyle name="Normál 5 2 2" xfId="72"/>
    <cellStyle name="Normál 5 2 2 2" xfId="100"/>
    <cellStyle name="Normál 5 2 3" xfId="67"/>
    <cellStyle name="Normál 5 2 3 2" xfId="95"/>
    <cellStyle name="Normál 5 2 4" xfId="82"/>
    <cellStyle name="Normál 5 3" xfId="48"/>
    <cellStyle name="Normál 5 3 2" xfId="86"/>
    <cellStyle name="Normál 5 4" xfId="61"/>
    <cellStyle name="Normál 5 5" xfId="76"/>
    <cellStyle name="Normál 6" xfId="40"/>
    <cellStyle name="Normál 6 2" xfId="46"/>
    <cellStyle name="Normál 6 2 2" xfId="84"/>
    <cellStyle name="Normál 6 3" xfId="50"/>
    <cellStyle name="Normál 6 3 2" xfId="88"/>
    <cellStyle name="Normál 6 4" xfId="59"/>
    <cellStyle name="Normál 6 5" xfId="78"/>
    <cellStyle name="Normál 7" xfId="54"/>
    <cellStyle name="Normál 7 2" xfId="69"/>
    <cellStyle name="Normál 7 2 2" xfId="97"/>
    <cellStyle name="Normál 7 3" xfId="92"/>
    <cellStyle name="Normál 8" xfId="55"/>
    <cellStyle name="Normál_2013.évi normatíva költségvetéshez" xfId="18"/>
    <cellStyle name="Normál_Göngyölített 12.13 2 2" xfId="19"/>
    <cellStyle name="Normál_költségvetési rend. mód. melléklet 2 2" xfId="20"/>
    <cellStyle name="Normál_KVRENMUNKA" xfId="21"/>
    <cellStyle name="Normál_Önkormányzati%20melléklet%202013.(1) 2 2" xfId="22"/>
    <cellStyle name="Normál_SEGEDLETEK" xfId="23"/>
    <cellStyle name="Normál_szakfeladat táblázat költségvetéshez" xfId="24"/>
    <cellStyle name="Normál_szakfeladatokhoz táblázat 2 2" xfId="25"/>
    <cellStyle name="Százalék 2" xfId="37"/>
    <cellStyle name="Százalék 2 2" xfId="66"/>
    <cellStyle name="Százalék 2 3" xfId="63"/>
    <cellStyle name="Százalék 3" xfId="58"/>
  </cellStyles>
  <dxfs count="59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10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theme" Target="theme/theme1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5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2.bin"/></Relationships>
</file>

<file path=xl/worksheets/_rels/sheet5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3.bin"/></Relationships>
</file>

<file path=xl/worksheets/_rels/sheet5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4.bin"/></Relationships>
</file>

<file path=xl/worksheets/_rels/sheet5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"/>
  <dimension ref="A1:J19"/>
  <sheetViews>
    <sheetView zoomScale="130" zoomScaleNormal="130" workbookViewId="0">
      <selection activeCell="F8" sqref="F8"/>
    </sheetView>
  </sheetViews>
  <sheetFormatPr defaultRowHeight="12.75" x14ac:dyDescent="0.2"/>
  <cols>
    <col min="1" max="1" width="32" bestFit="1" customWidth="1"/>
    <col min="3" max="3" width="1.83203125" bestFit="1" customWidth="1"/>
    <col min="5" max="5" width="1.83203125" bestFit="1" customWidth="1"/>
    <col min="7" max="7" width="1.83203125" bestFit="1" customWidth="1"/>
    <col min="8" max="8" width="26.1640625" customWidth="1"/>
  </cols>
  <sheetData>
    <row r="1" spans="1:10" ht="18.75" x14ac:dyDescent="0.3">
      <c r="A1" s="1428" t="s">
        <v>701</v>
      </c>
      <c r="B1" s="1428"/>
      <c r="C1" s="1428"/>
      <c r="D1" s="1428"/>
      <c r="E1" s="1428"/>
      <c r="F1" s="1428"/>
      <c r="G1" s="1428"/>
      <c r="H1" s="1428"/>
      <c r="I1" s="1428"/>
      <c r="J1" s="1428"/>
    </row>
    <row r="2" spans="1:10" x14ac:dyDescent="0.2">
      <c r="A2" s="669">
        <v>2021</v>
      </c>
      <c r="B2" s="669" t="s">
        <v>702</v>
      </c>
      <c r="C2" s="660"/>
      <c r="D2" s="660"/>
      <c r="E2" s="660"/>
      <c r="F2" s="660"/>
      <c r="G2" s="660"/>
      <c r="H2" s="660"/>
      <c r="I2" s="660"/>
      <c r="J2" s="660"/>
    </row>
    <row r="3" spans="1:10" ht="15.75" x14ac:dyDescent="0.25">
      <c r="A3" s="1429" t="s">
        <v>710</v>
      </c>
      <c r="B3" s="1429"/>
      <c r="C3" s="1429"/>
      <c r="D3" s="1429"/>
      <c r="E3" s="1429"/>
      <c r="F3" s="1429"/>
      <c r="G3" s="1429"/>
      <c r="H3" s="1429"/>
      <c r="I3" s="660"/>
      <c r="J3" s="660"/>
    </row>
    <row r="6" spans="1:10" ht="15" x14ac:dyDescent="0.25">
      <c r="A6" s="664" t="s">
        <v>703</v>
      </c>
      <c r="B6" s="660"/>
      <c r="C6" s="660"/>
      <c r="D6" s="660"/>
      <c r="E6" s="660"/>
      <c r="F6" s="660"/>
      <c r="G6" s="660"/>
      <c r="H6" s="660"/>
      <c r="I6" s="660"/>
      <c r="J6" s="660"/>
    </row>
    <row r="7" spans="1:10" x14ac:dyDescent="0.2">
      <c r="A7" s="665" t="s">
        <v>704</v>
      </c>
      <c r="B7" s="666">
        <v>19</v>
      </c>
      <c r="C7" s="667" t="s">
        <v>705</v>
      </c>
      <c r="D7" s="667" t="s">
        <v>797</v>
      </c>
      <c r="E7" s="667" t="s">
        <v>706</v>
      </c>
      <c r="F7" s="666" t="s">
        <v>1090</v>
      </c>
      <c r="G7" s="667" t="s">
        <v>707</v>
      </c>
      <c r="H7" s="667" t="s">
        <v>780</v>
      </c>
      <c r="I7" s="667"/>
      <c r="J7" s="667"/>
    </row>
    <row r="8" spans="1:10" x14ac:dyDescent="0.2">
      <c r="A8" s="661"/>
      <c r="B8" s="661"/>
      <c r="C8" s="661"/>
      <c r="D8" s="661"/>
      <c r="E8" s="661"/>
      <c r="F8" s="661"/>
      <c r="G8" s="661"/>
      <c r="H8" s="661"/>
      <c r="I8" s="661"/>
      <c r="J8" s="661"/>
    </row>
    <row r="11" spans="1:10" ht="14.25" x14ac:dyDescent="0.2">
      <c r="A11" s="668" t="s">
        <v>708</v>
      </c>
      <c r="B11" s="1430" t="s">
        <v>709</v>
      </c>
      <c r="C11" s="1430"/>
      <c r="D11" s="1430"/>
      <c r="E11" s="1430"/>
      <c r="F11" s="1430"/>
      <c r="G11" s="1430"/>
      <c r="H11" s="1430"/>
      <c r="I11" s="663"/>
      <c r="J11" s="663"/>
    </row>
    <row r="12" spans="1:10" ht="14.25" x14ac:dyDescent="0.2">
      <c r="A12" s="668" t="s">
        <v>711</v>
      </c>
    </row>
    <row r="13" spans="1:10" ht="14.25" x14ac:dyDescent="0.2">
      <c r="A13" s="668" t="s">
        <v>712</v>
      </c>
    </row>
    <row r="14" spans="1:10" ht="14.25" x14ac:dyDescent="0.2">
      <c r="A14" s="668" t="s">
        <v>713</v>
      </c>
    </row>
    <row r="15" spans="1:10" ht="14.25" x14ac:dyDescent="0.2">
      <c r="A15" s="668" t="s">
        <v>708</v>
      </c>
    </row>
    <row r="16" spans="1:10" ht="14.25" x14ac:dyDescent="0.2">
      <c r="A16" s="668" t="s">
        <v>708</v>
      </c>
    </row>
    <row r="17" spans="1:1" ht="14.25" x14ac:dyDescent="0.2">
      <c r="A17" s="668" t="s">
        <v>708</v>
      </c>
    </row>
    <row r="18" spans="1:1" ht="14.25" x14ac:dyDescent="0.2">
      <c r="A18" s="668" t="s">
        <v>708</v>
      </c>
    </row>
    <row r="19" spans="1:1" ht="14.25" x14ac:dyDescent="0.2">
      <c r="A19" s="668" t="s">
        <v>708</v>
      </c>
    </row>
  </sheetData>
  <mergeCells count="3">
    <mergeCell ref="A1:J1"/>
    <mergeCell ref="A3:H3"/>
    <mergeCell ref="B11:H11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8"/>
  <dimension ref="A1:K31"/>
  <sheetViews>
    <sheetView zoomScaleSheetLayoutView="85" workbookViewId="0">
      <selection activeCell="A2" sqref="A2"/>
    </sheetView>
  </sheetViews>
  <sheetFormatPr defaultRowHeight="15" x14ac:dyDescent="0.25"/>
  <cols>
    <col min="1" max="1" width="5.6640625" style="693" customWidth="1"/>
    <col min="2" max="2" width="41.1640625" style="693" customWidth="1"/>
    <col min="3" max="3" width="17.6640625" style="693" customWidth="1"/>
    <col min="4" max="7" width="14" style="693" customWidth="1"/>
    <col min="8" max="8" width="16.6640625" style="693" customWidth="1"/>
    <col min="9" max="256" width="9.33203125" style="693"/>
    <col min="257" max="257" width="5.6640625" style="693" customWidth="1"/>
    <col min="258" max="258" width="41.1640625" style="693" customWidth="1"/>
    <col min="259" max="259" width="17.6640625" style="693" customWidth="1"/>
    <col min="260" max="263" width="14" style="693" customWidth="1"/>
    <col min="264" max="264" width="16.6640625" style="693" customWidth="1"/>
    <col min="265" max="512" width="9.33203125" style="693"/>
    <col min="513" max="513" width="5.6640625" style="693" customWidth="1"/>
    <col min="514" max="514" width="41.1640625" style="693" customWidth="1"/>
    <col min="515" max="515" width="17.6640625" style="693" customWidth="1"/>
    <col min="516" max="519" width="14" style="693" customWidth="1"/>
    <col min="520" max="520" width="16.6640625" style="693" customWidth="1"/>
    <col min="521" max="768" width="9.33203125" style="693"/>
    <col min="769" max="769" width="5.6640625" style="693" customWidth="1"/>
    <col min="770" max="770" width="41.1640625" style="693" customWidth="1"/>
    <col min="771" max="771" width="17.6640625" style="693" customWidth="1"/>
    <col min="772" max="775" width="14" style="693" customWidth="1"/>
    <col min="776" max="776" width="16.6640625" style="693" customWidth="1"/>
    <col min="777" max="1024" width="9.33203125" style="693"/>
    <col min="1025" max="1025" width="5.6640625" style="693" customWidth="1"/>
    <col min="1026" max="1026" width="41.1640625" style="693" customWidth="1"/>
    <col min="1027" max="1027" width="17.6640625" style="693" customWidth="1"/>
    <col min="1028" max="1031" width="14" style="693" customWidth="1"/>
    <col min="1032" max="1032" width="16.6640625" style="693" customWidth="1"/>
    <col min="1033" max="1280" width="9.33203125" style="693"/>
    <col min="1281" max="1281" width="5.6640625" style="693" customWidth="1"/>
    <col min="1282" max="1282" width="41.1640625" style="693" customWidth="1"/>
    <col min="1283" max="1283" width="17.6640625" style="693" customWidth="1"/>
    <col min="1284" max="1287" width="14" style="693" customWidth="1"/>
    <col min="1288" max="1288" width="16.6640625" style="693" customWidth="1"/>
    <col min="1289" max="1536" width="9.33203125" style="693"/>
    <col min="1537" max="1537" width="5.6640625" style="693" customWidth="1"/>
    <col min="1538" max="1538" width="41.1640625" style="693" customWidth="1"/>
    <col min="1539" max="1539" width="17.6640625" style="693" customWidth="1"/>
    <col min="1540" max="1543" width="14" style="693" customWidth="1"/>
    <col min="1544" max="1544" width="16.6640625" style="693" customWidth="1"/>
    <col min="1545" max="1792" width="9.33203125" style="693"/>
    <col min="1793" max="1793" width="5.6640625" style="693" customWidth="1"/>
    <col min="1794" max="1794" width="41.1640625" style="693" customWidth="1"/>
    <col min="1795" max="1795" width="17.6640625" style="693" customWidth="1"/>
    <col min="1796" max="1799" width="14" style="693" customWidth="1"/>
    <col min="1800" max="1800" width="16.6640625" style="693" customWidth="1"/>
    <col min="1801" max="2048" width="9.33203125" style="693"/>
    <col min="2049" max="2049" width="5.6640625" style="693" customWidth="1"/>
    <col min="2050" max="2050" width="41.1640625" style="693" customWidth="1"/>
    <col min="2051" max="2051" width="17.6640625" style="693" customWidth="1"/>
    <col min="2052" max="2055" width="14" style="693" customWidth="1"/>
    <col min="2056" max="2056" width="16.6640625" style="693" customWidth="1"/>
    <col min="2057" max="2304" width="9.33203125" style="693"/>
    <col min="2305" max="2305" width="5.6640625" style="693" customWidth="1"/>
    <col min="2306" max="2306" width="41.1640625" style="693" customWidth="1"/>
    <col min="2307" max="2307" width="17.6640625" style="693" customWidth="1"/>
    <col min="2308" max="2311" width="14" style="693" customWidth="1"/>
    <col min="2312" max="2312" width="16.6640625" style="693" customWidth="1"/>
    <col min="2313" max="2560" width="9.33203125" style="693"/>
    <col min="2561" max="2561" width="5.6640625" style="693" customWidth="1"/>
    <col min="2562" max="2562" width="41.1640625" style="693" customWidth="1"/>
    <col min="2563" max="2563" width="17.6640625" style="693" customWidth="1"/>
    <col min="2564" max="2567" width="14" style="693" customWidth="1"/>
    <col min="2568" max="2568" width="16.6640625" style="693" customWidth="1"/>
    <col min="2569" max="2816" width="9.33203125" style="693"/>
    <col min="2817" max="2817" width="5.6640625" style="693" customWidth="1"/>
    <col min="2818" max="2818" width="41.1640625" style="693" customWidth="1"/>
    <col min="2819" max="2819" width="17.6640625" style="693" customWidth="1"/>
    <col min="2820" max="2823" width="14" style="693" customWidth="1"/>
    <col min="2824" max="2824" width="16.6640625" style="693" customWidth="1"/>
    <col min="2825" max="3072" width="9.33203125" style="693"/>
    <col min="3073" max="3073" width="5.6640625" style="693" customWidth="1"/>
    <col min="3074" max="3074" width="41.1640625" style="693" customWidth="1"/>
    <col min="3075" max="3075" width="17.6640625" style="693" customWidth="1"/>
    <col min="3076" max="3079" width="14" style="693" customWidth="1"/>
    <col min="3080" max="3080" width="16.6640625" style="693" customWidth="1"/>
    <col min="3081" max="3328" width="9.33203125" style="693"/>
    <col min="3329" max="3329" width="5.6640625" style="693" customWidth="1"/>
    <col min="3330" max="3330" width="41.1640625" style="693" customWidth="1"/>
    <col min="3331" max="3331" width="17.6640625" style="693" customWidth="1"/>
    <col min="3332" max="3335" width="14" style="693" customWidth="1"/>
    <col min="3336" max="3336" width="16.6640625" style="693" customWidth="1"/>
    <col min="3337" max="3584" width="9.33203125" style="693"/>
    <col min="3585" max="3585" width="5.6640625" style="693" customWidth="1"/>
    <col min="3586" max="3586" width="41.1640625" style="693" customWidth="1"/>
    <col min="3587" max="3587" width="17.6640625" style="693" customWidth="1"/>
    <col min="3588" max="3591" width="14" style="693" customWidth="1"/>
    <col min="3592" max="3592" width="16.6640625" style="693" customWidth="1"/>
    <col min="3593" max="3840" width="9.33203125" style="693"/>
    <col min="3841" max="3841" width="5.6640625" style="693" customWidth="1"/>
    <col min="3842" max="3842" width="41.1640625" style="693" customWidth="1"/>
    <col min="3843" max="3843" width="17.6640625" style="693" customWidth="1"/>
    <col min="3844" max="3847" width="14" style="693" customWidth="1"/>
    <col min="3848" max="3848" width="16.6640625" style="693" customWidth="1"/>
    <col min="3849" max="4096" width="9.33203125" style="693"/>
    <col min="4097" max="4097" width="5.6640625" style="693" customWidth="1"/>
    <col min="4098" max="4098" width="41.1640625" style="693" customWidth="1"/>
    <col min="4099" max="4099" width="17.6640625" style="693" customWidth="1"/>
    <col min="4100" max="4103" width="14" style="693" customWidth="1"/>
    <col min="4104" max="4104" width="16.6640625" style="693" customWidth="1"/>
    <col min="4105" max="4352" width="9.33203125" style="693"/>
    <col min="4353" max="4353" width="5.6640625" style="693" customWidth="1"/>
    <col min="4354" max="4354" width="41.1640625" style="693" customWidth="1"/>
    <col min="4355" max="4355" width="17.6640625" style="693" customWidth="1"/>
    <col min="4356" max="4359" width="14" style="693" customWidth="1"/>
    <col min="4360" max="4360" width="16.6640625" style="693" customWidth="1"/>
    <col min="4361" max="4608" width="9.33203125" style="693"/>
    <col min="4609" max="4609" width="5.6640625" style="693" customWidth="1"/>
    <col min="4610" max="4610" width="41.1640625" style="693" customWidth="1"/>
    <col min="4611" max="4611" width="17.6640625" style="693" customWidth="1"/>
    <col min="4612" max="4615" width="14" style="693" customWidth="1"/>
    <col min="4616" max="4616" width="16.6640625" style="693" customWidth="1"/>
    <col min="4617" max="4864" width="9.33203125" style="693"/>
    <col min="4865" max="4865" width="5.6640625" style="693" customWidth="1"/>
    <col min="4866" max="4866" width="41.1640625" style="693" customWidth="1"/>
    <col min="4867" max="4867" width="17.6640625" style="693" customWidth="1"/>
    <col min="4868" max="4871" width="14" style="693" customWidth="1"/>
    <col min="4872" max="4872" width="16.6640625" style="693" customWidth="1"/>
    <col min="4873" max="5120" width="9.33203125" style="693"/>
    <col min="5121" max="5121" width="5.6640625" style="693" customWidth="1"/>
    <col min="5122" max="5122" width="41.1640625" style="693" customWidth="1"/>
    <col min="5123" max="5123" width="17.6640625" style="693" customWidth="1"/>
    <col min="5124" max="5127" width="14" style="693" customWidth="1"/>
    <col min="5128" max="5128" width="16.6640625" style="693" customWidth="1"/>
    <col min="5129" max="5376" width="9.33203125" style="693"/>
    <col min="5377" max="5377" width="5.6640625" style="693" customWidth="1"/>
    <col min="5378" max="5378" width="41.1640625" style="693" customWidth="1"/>
    <col min="5379" max="5379" width="17.6640625" style="693" customWidth="1"/>
    <col min="5380" max="5383" width="14" style="693" customWidth="1"/>
    <col min="5384" max="5384" width="16.6640625" style="693" customWidth="1"/>
    <col min="5385" max="5632" width="9.33203125" style="693"/>
    <col min="5633" max="5633" width="5.6640625" style="693" customWidth="1"/>
    <col min="5634" max="5634" width="41.1640625" style="693" customWidth="1"/>
    <col min="5635" max="5635" width="17.6640625" style="693" customWidth="1"/>
    <col min="5636" max="5639" width="14" style="693" customWidth="1"/>
    <col min="5640" max="5640" width="16.6640625" style="693" customWidth="1"/>
    <col min="5641" max="5888" width="9.33203125" style="693"/>
    <col min="5889" max="5889" width="5.6640625" style="693" customWidth="1"/>
    <col min="5890" max="5890" width="41.1640625" style="693" customWidth="1"/>
    <col min="5891" max="5891" width="17.6640625" style="693" customWidth="1"/>
    <col min="5892" max="5895" width="14" style="693" customWidth="1"/>
    <col min="5896" max="5896" width="16.6640625" style="693" customWidth="1"/>
    <col min="5897" max="6144" width="9.33203125" style="693"/>
    <col min="6145" max="6145" width="5.6640625" style="693" customWidth="1"/>
    <col min="6146" max="6146" width="41.1640625" style="693" customWidth="1"/>
    <col min="6147" max="6147" width="17.6640625" style="693" customWidth="1"/>
    <col min="6148" max="6151" width="14" style="693" customWidth="1"/>
    <col min="6152" max="6152" width="16.6640625" style="693" customWidth="1"/>
    <col min="6153" max="6400" width="9.33203125" style="693"/>
    <col min="6401" max="6401" width="5.6640625" style="693" customWidth="1"/>
    <col min="6402" max="6402" width="41.1640625" style="693" customWidth="1"/>
    <col min="6403" max="6403" width="17.6640625" style="693" customWidth="1"/>
    <col min="6404" max="6407" width="14" style="693" customWidth="1"/>
    <col min="6408" max="6408" width="16.6640625" style="693" customWidth="1"/>
    <col min="6409" max="6656" width="9.33203125" style="693"/>
    <col min="6657" max="6657" width="5.6640625" style="693" customWidth="1"/>
    <col min="6658" max="6658" width="41.1640625" style="693" customWidth="1"/>
    <col min="6659" max="6659" width="17.6640625" style="693" customWidth="1"/>
    <col min="6660" max="6663" width="14" style="693" customWidth="1"/>
    <col min="6664" max="6664" width="16.6640625" style="693" customWidth="1"/>
    <col min="6665" max="6912" width="9.33203125" style="693"/>
    <col min="6913" max="6913" width="5.6640625" style="693" customWidth="1"/>
    <col min="6914" max="6914" width="41.1640625" style="693" customWidth="1"/>
    <col min="6915" max="6915" width="17.6640625" style="693" customWidth="1"/>
    <col min="6916" max="6919" width="14" style="693" customWidth="1"/>
    <col min="6920" max="6920" width="16.6640625" style="693" customWidth="1"/>
    <col min="6921" max="7168" width="9.33203125" style="693"/>
    <col min="7169" max="7169" width="5.6640625" style="693" customWidth="1"/>
    <col min="7170" max="7170" width="41.1640625" style="693" customWidth="1"/>
    <col min="7171" max="7171" width="17.6640625" style="693" customWidth="1"/>
    <col min="7172" max="7175" width="14" style="693" customWidth="1"/>
    <col min="7176" max="7176" width="16.6640625" style="693" customWidth="1"/>
    <col min="7177" max="7424" width="9.33203125" style="693"/>
    <col min="7425" max="7425" width="5.6640625" style="693" customWidth="1"/>
    <col min="7426" max="7426" width="41.1640625" style="693" customWidth="1"/>
    <col min="7427" max="7427" width="17.6640625" style="693" customWidth="1"/>
    <col min="7428" max="7431" width="14" style="693" customWidth="1"/>
    <col min="7432" max="7432" width="16.6640625" style="693" customWidth="1"/>
    <col min="7433" max="7680" width="9.33203125" style="693"/>
    <col min="7681" max="7681" width="5.6640625" style="693" customWidth="1"/>
    <col min="7682" max="7682" width="41.1640625" style="693" customWidth="1"/>
    <col min="7683" max="7683" width="17.6640625" style="693" customWidth="1"/>
    <col min="7684" max="7687" width="14" style="693" customWidth="1"/>
    <col min="7688" max="7688" width="16.6640625" style="693" customWidth="1"/>
    <col min="7689" max="7936" width="9.33203125" style="693"/>
    <col min="7937" max="7937" width="5.6640625" style="693" customWidth="1"/>
    <col min="7938" max="7938" width="41.1640625" style="693" customWidth="1"/>
    <col min="7939" max="7939" width="17.6640625" style="693" customWidth="1"/>
    <col min="7940" max="7943" width="14" style="693" customWidth="1"/>
    <col min="7944" max="7944" width="16.6640625" style="693" customWidth="1"/>
    <col min="7945" max="8192" width="9.33203125" style="693"/>
    <col min="8193" max="8193" width="5.6640625" style="693" customWidth="1"/>
    <col min="8194" max="8194" width="41.1640625" style="693" customWidth="1"/>
    <col min="8195" max="8195" width="17.6640625" style="693" customWidth="1"/>
    <col min="8196" max="8199" width="14" style="693" customWidth="1"/>
    <col min="8200" max="8200" width="16.6640625" style="693" customWidth="1"/>
    <col min="8201" max="8448" width="9.33203125" style="693"/>
    <col min="8449" max="8449" width="5.6640625" style="693" customWidth="1"/>
    <col min="8450" max="8450" width="41.1640625" style="693" customWidth="1"/>
    <col min="8451" max="8451" width="17.6640625" style="693" customWidth="1"/>
    <col min="8452" max="8455" width="14" style="693" customWidth="1"/>
    <col min="8456" max="8456" width="16.6640625" style="693" customWidth="1"/>
    <col min="8457" max="8704" width="9.33203125" style="693"/>
    <col min="8705" max="8705" width="5.6640625" style="693" customWidth="1"/>
    <col min="8706" max="8706" width="41.1640625" style="693" customWidth="1"/>
    <col min="8707" max="8707" width="17.6640625" style="693" customWidth="1"/>
    <col min="8708" max="8711" width="14" style="693" customWidth="1"/>
    <col min="8712" max="8712" width="16.6640625" style="693" customWidth="1"/>
    <col min="8713" max="8960" width="9.33203125" style="693"/>
    <col min="8961" max="8961" width="5.6640625" style="693" customWidth="1"/>
    <col min="8962" max="8962" width="41.1640625" style="693" customWidth="1"/>
    <col min="8963" max="8963" width="17.6640625" style="693" customWidth="1"/>
    <col min="8964" max="8967" width="14" style="693" customWidth="1"/>
    <col min="8968" max="8968" width="16.6640625" style="693" customWidth="1"/>
    <col min="8969" max="9216" width="9.33203125" style="693"/>
    <col min="9217" max="9217" width="5.6640625" style="693" customWidth="1"/>
    <col min="9218" max="9218" width="41.1640625" style="693" customWidth="1"/>
    <col min="9219" max="9219" width="17.6640625" style="693" customWidth="1"/>
    <col min="9220" max="9223" width="14" style="693" customWidth="1"/>
    <col min="9224" max="9224" width="16.6640625" style="693" customWidth="1"/>
    <col min="9225" max="9472" width="9.33203125" style="693"/>
    <col min="9473" max="9473" width="5.6640625" style="693" customWidth="1"/>
    <col min="9474" max="9474" width="41.1640625" style="693" customWidth="1"/>
    <col min="9475" max="9475" width="17.6640625" style="693" customWidth="1"/>
    <col min="9476" max="9479" width="14" style="693" customWidth="1"/>
    <col min="9480" max="9480" width="16.6640625" style="693" customWidth="1"/>
    <col min="9481" max="9728" width="9.33203125" style="693"/>
    <col min="9729" max="9729" width="5.6640625" style="693" customWidth="1"/>
    <col min="9730" max="9730" width="41.1640625" style="693" customWidth="1"/>
    <col min="9731" max="9731" width="17.6640625" style="693" customWidth="1"/>
    <col min="9732" max="9735" width="14" style="693" customWidth="1"/>
    <col min="9736" max="9736" width="16.6640625" style="693" customWidth="1"/>
    <col min="9737" max="9984" width="9.33203125" style="693"/>
    <col min="9985" max="9985" width="5.6640625" style="693" customWidth="1"/>
    <col min="9986" max="9986" width="41.1640625" style="693" customWidth="1"/>
    <col min="9987" max="9987" width="17.6640625" style="693" customWidth="1"/>
    <col min="9988" max="9991" width="14" style="693" customWidth="1"/>
    <col min="9992" max="9992" width="16.6640625" style="693" customWidth="1"/>
    <col min="9993" max="10240" width="9.33203125" style="693"/>
    <col min="10241" max="10241" width="5.6640625" style="693" customWidth="1"/>
    <col min="10242" max="10242" width="41.1640625" style="693" customWidth="1"/>
    <col min="10243" max="10243" width="17.6640625" style="693" customWidth="1"/>
    <col min="10244" max="10247" width="14" style="693" customWidth="1"/>
    <col min="10248" max="10248" width="16.6640625" style="693" customWidth="1"/>
    <col min="10249" max="10496" width="9.33203125" style="693"/>
    <col min="10497" max="10497" width="5.6640625" style="693" customWidth="1"/>
    <col min="10498" max="10498" width="41.1640625" style="693" customWidth="1"/>
    <col min="10499" max="10499" width="17.6640625" style="693" customWidth="1"/>
    <col min="10500" max="10503" width="14" style="693" customWidth="1"/>
    <col min="10504" max="10504" width="16.6640625" style="693" customWidth="1"/>
    <col min="10505" max="10752" width="9.33203125" style="693"/>
    <col min="10753" max="10753" width="5.6640625" style="693" customWidth="1"/>
    <col min="10754" max="10754" width="41.1640625" style="693" customWidth="1"/>
    <col min="10755" max="10755" width="17.6640625" style="693" customWidth="1"/>
    <col min="10756" max="10759" width="14" style="693" customWidth="1"/>
    <col min="10760" max="10760" width="16.6640625" style="693" customWidth="1"/>
    <col min="10761" max="11008" width="9.33203125" style="693"/>
    <col min="11009" max="11009" width="5.6640625" style="693" customWidth="1"/>
    <col min="11010" max="11010" width="41.1640625" style="693" customWidth="1"/>
    <col min="11011" max="11011" width="17.6640625" style="693" customWidth="1"/>
    <col min="11012" max="11015" width="14" style="693" customWidth="1"/>
    <col min="11016" max="11016" width="16.6640625" style="693" customWidth="1"/>
    <col min="11017" max="11264" width="9.33203125" style="693"/>
    <col min="11265" max="11265" width="5.6640625" style="693" customWidth="1"/>
    <col min="11266" max="11266" width="41.1640625" style="693" customWidth="1"/>
    <col min="11267" max="11267" width="17.6640625" style="693" customWidth="1"/>
    <col min="11268" max="11271" width="14" style="693" customWidth="1"/>
    <col min="11272" max="11272" width="16.6640625" style="693" customWidth="1"/>
    <col min="11273" max="11520" width="9.33203125" style="693"/>
    <col min="11521" max="11521" width="5.6640625" style="693" customWidth="1"/>
    <col min="11522" max="11522" width="41.1640625" style="693" customWidth="1"/>
    <col min="11523" max="11523" width="17.6640625" style="693" customWidth="1"/>
    <col min="11524" max="11527" width="14" style="693" customWidth="1"/>
    <col min="11528" max="11528" width="16.6640625" style="693" customWidth="1"/>
    <col min="11529" max="11776" width="9.33203125" style="693"/>
    <col min="11777" max="11777" width="5.6640625" style="693" customWidth="1"/>
    <col min="11778" max="11778" width="41.1640625" style="693" customWidth="1"/>
    <col min="11779" max="11779" width="17.6640625" style="693" customWidth="1"/>
    <col min="11780" max="11783" width="14" style="693" customWidth="1"/>
    <col min="11784" max="11784" width="16.6640625" style="693" customWidth="1"/>
    <col min="11785" max="12032" width="9.33203125" style="693"/>
    <col min="12033" max="12033" width="5.6640625" style="693" customWidth="1"/>
    <col min="12034" max="12034" width="41.1640625" style="693" customWidth="1"/>
    <col min="12035" max="12035" width="17.6640625" style="693" customWidth="1"/>
    <col min="12036" max="12039" width="14" style="693" customWidth="1"/>
    <col min="12040" max="12040" width="16.6640625" style="693" customWidth="1"/>
    <col min="12041" max="12288" width="9.33203125" style="693"/>
    <col min="12289" max="12289" width="5.6640625" style="693" customWidth="1"/>
    <col min="12290" max="12290" width="41.1640625" style="693" customWidth="1"/>
    <col min="12291" max="12291" width="17.6640625" style="693" customWidth="1"/>
    <col min="12292" max="12295" width="14" style="693" customWidth="1"/>
    <col min="12296" max="12296" width="16.6640625" style="693" customWidth="1"/>
    <col min="12297" max="12544" width="9.33203125" style="693"/>
    <col min="12545" max="12545" width="5.6640625" style="693" customWidth="1"/>
    <col min="12546" max="12546" width="41.1640625" style="693" customWidth="1"/>
    <col min="12547" max="12547" width="17.6640625" style="693" customWidth="1"/>
    <col min="12548" max="12551" width="14" style="693" customWidth="1"/>
    <col min="12552" max="12552" width="16.6640625" style="693" customWidth="1"/>
    <col min="12553" max="12800" width="9.33203125" style="693"/>
    <col min="12801" max="12801" width="5.6640625" style="693" customWidth="1"/>
    <col min="12802" max="12802" width="41.1640625" style="693" customWidth="1"/>
    <col min="12803" max="12803" width="17.6640625" style="693" customWidth="1"/>
    <col min="12804" max="12807" width="14" style="693" customWidth="1"/>
    <col min="12808" max="12808" width="16.6640625" style="693" customWidth="1"/>
    <col min="12809" max="13056" width="9.33203125" style="693"/>
    <col min="13057" max="13057" width="5.6640625" style="693" customWidth="1"/>
    <col min="13058" max="13058" width="41.1640625" style="693" customWidth="1"/>
    <col min="13059" max="13059" width="17.6640625" style="693" customWidth="1"/>
    <col min="13060" max="13063" width="14" style="693" customWidth="1"/>
    <col min="13064" max="13064" width="16.6640625" style="693" customWidth="1"/>
    <col min="13065" max="13312" width="9.33203125" style="693"/>
    <col min="13313" max="13313" width="5.6640625" style="693" customWidth="1"/>
    <col min="13314" max="13314" width="41.1640625" style="693" customWidth="1"/>
    <col min="13315" max="13315" width="17.6640625" style="693" customWidth="1"/>
    <col min="13316" max="13319" width="14" style="693" customWidth="1"/>
    <col min="13320" max="13320" width="16.6640625" style="693" customWidth="1"/>
    <col min="13321" max="13568" width="9.33203125" style="693"/>
    <col min="13569" max="13569" width="5.6640625" style="693" customWidth="1"/>
    <col min="13570" max="13570" width="41.1640625" style="693" customWidth="1"/>
    <col min="13571" max="13571" width="17.6640625" style="693" customWidth="1"/>
    <col min="13572" max="13575" width="14" style="693" customWidth="1"/>
    <col min="13576" max="13576" width="16.6640625" style="693" customWidth="1"/>
    <col min="13577" max="13824" width="9.33203125" style="693"/>
    <col min="13825" max="13825" width="5.6640625" style="693" customWidth="1"/>
    <col min="13826" max="13826" width="41.1640625" style="693" customWidth="1"/>
    <col min="13827" max="13827" width="17.6640625" style="693" customWidth="1"/>
    <col min="13828" max="13831" width="14" style="693" customWidth="1"/>
    <col min="13832" max="13832" width="16.6640625" style="693" customWidth="1"/>
    <col min="13833" max="14080" width="9.33203125" style="693"/>
    <col min="14081" max="14081" width="5.6640625" style="693" customWidth="1"/>
    <col min="14082" max="14082" width="41.1640625" style="693" customWidth="1"/>
    <col min="14083" max="14083" width="17.6640625" style="693" customWidth="1"/>
    <col min="14084" max="14087" width="14" style="693" customWidth="1"/>
    <col min="14088" max="14088" width="16.6640625" style="693" customWidth="1"/>
    <col min="14089" max="14336" width="9.33203125" style="693"/>
    <col min="14337" max="14337" width="5.6640625" style="693" customWidth="1"/>
    <col min="14338" max="14338" width="41.1640625" style="693" customWidth="1"/>
    <col min="14339" max="14339" width="17.6640625" style="693" customWidth="1"/>
    <col min="14340" max="14343" width="14" style="693" customWidth="1"/>
    <col min="14344" max="14344" width="16.6640625" style="693" customWidth="1"/>
    <col min="14345" max="14592" width="9.33203125" style="693"/>
    <col min="14593" max="14593" width="5.6640625" style="693" customWidth="1"/>
    <col min="14594" max="14594" width="41.1640625" style="693" customWidth="1"/>
    <col min="14595" max="14595" width="17.6640625" style="693" customWidth="1"/>
    <col min="14596" max="14599" width="14" style="693" customWidth="1"/>
    <col min="14600" max="14600" width="16.6640625" style="693" customWidth="1"/>
    <col min="14601" max="14848" width="9.33203125" style="693"/>
    <col min="14849" max="14849" width="5.6640625" style="693" customWidth="1"/>
    <col min="14850" max="14850" width="41.1640625" style="693" customWidth="1"/>
    <col min="14851" max="14851" width="17.6640625" style="693" customWidth="1"/>
    <col min="14852" max="14855" width="14" style="693" customWidth="1"/>
    <col min="14856" max="14856" width="16.6640625" style="693" customWidth="1"/>
    <col min="14857" max="15104" width="9.33203125" style="693"/>
    <col min="15105" max="15105" width="5.6640625" style="693" customWidth="1"/>
    <col min="15106" max="15106" width="41.1640625" style="693" customWidth="1"/>
    <col min="15107" max="15107" width="17.6640625" style="693" customWidth="1"/>
    <col min="15108" max="15111" width="14" style="693" customWidth="1"/>
    <col min="15112" max="15112" width="16.6640625" style="693" customWidth="1"/>
    <col min="15113" max="15360" width="9.33203125" style="693"/>
    <col min="15361" max="15361" width="5.6640625" style="693" customWidth="1"/>
    <col min="15362" max="15362" width="41.1640625" style="693" customWidth="1"/>
    <col min="15363" max="15363" width="17.6640625" style="693" customWidth="1"/>
    <col min="15364" max="15367" width="14" style="693" customWidth="1"/>
    <col min="15368" max="15368" width="16.6640625" style="693" customWidth="1"/>
    <col min="15369" max="15616" width="9.33203125" style="693"/>
    <col min="15617" max="15617" width="5.6640625" style="693" customWidth="1"/>
    <col min="15618" max="15618" width="41.1640625" style="693" customWidth="1"/>
    <col min="15619" max="15619" width="17.6640625" style="693" customWidth="1"/>
    <col min="15620" max="15623" width="14" style="693" customWidth="1"/>
    <col min="15624" max="15624" width="16.6640625" style="693" customWidth="1"/>
    <col min="15625" max="15872" width="9.33203125" style="693"/>
    <col min="15873" max="15873" width="5.6640625" style="693" customWidth="1"/>
    <col min="15874" max="15874" width="41.1640625" style="693" customWidth="1"/>
    <col min="15875" max="15875" width="17.6640625" style="693" customWidth="1"/>
    <col min="15876" max="15879" width="14" style="693" customWidth="1"/>
    <col min="15880" max="15880" width="16.6640625" style="693" customWidth="1"/>
    <col min="15881" max="16128" width="9.33203125" style="693"/>
    <col min="16129" max="16129" width="5.6640625" style="693" customWidth="1"/>
    <col min="16130" max="16130" width="41.1640625" style="693" customWidth="1"/>
    <col min="16131" max="16131" width="17.6640625" style="693" customWidth="1"/>
    <col min="16132" max="16135" width="14" style="693" customWidth="1"/>
    <col min="16136" max="16136" width="16.6640625" style="693" customWidth="1"/>
    <col min="16137" max="16384" width="9.33203125" style="693"/>
  </cols>
  <sheetData>
    <row r="1" spans="1:11" x14ac:dyDescent="0.25">
      <c r="A1" s="1444" t="str">
        <f>CONCATENATE("6. melléklet ",ALAPADATOK!A7," ",ALAPADATOK!B7," ",ALAPADATOK!C7," ",ALAPADATOK!D7," ",ALAPADATOK!E7," ",ALAPADATOK!F7," ",ALAPADATOK!G7," ",ALAPADATOK!H7)</f>
        <v>6. melléklet a 19 / 2021. ( XI.29. ) önkormányzati rendelethez</v>
      </c>
      <c r="B1" s="1444"/>
      <c r="C1" s="1444"/>
      <c r="D1" s="1444"/>
      <c r="E1" s="1444"/>
      <c r="F1" s="1444"/>
      <c r="G1" s="1444"/>
      <c r="H1" s="1444"/>
    </row>
    <row r="3" spans="1:11" x14ac:dyDescent="0.25">
      <c r="A3" s="1445" t="s">
        <v>388</v>
      </c>
      <c r="B3" s="1445"/>
      <c r="C3" s="1445"/>
      <c r="D3" s="1445"/>
      <c r="E3" s="1445"/>
      <c r="F3" s="1445"/>
      <c r="G3" s="1445"/>
      <c r="H3" s="1445"/>
    </row>
    <row r="4" spans="1:11" ht="15.75" thickBot="1" x14ac:dyDescent="0.3">
      <c r="A4" s="694"/>
      <c r="B4" s="695"/>
      <c r="C4" s="695"/>
      <c r="D4" s="1446"/>
      <c r="E4" s="1446"/>
      <c r="F4" s="1446"/>
      <c r="G4" s="1447" t="s">
        <v>504</v>
      </c>
      <c r="H4" s="1447"/>
      <c r="I4" s="879"/>
    </row>
    <row r="5" spans="1:11" ht="25.5" x14ac:dyDescent="0.25">
      <c r="A5" s="1448" t="s">
        <v>14</v>
      </c>
      <c r="B5" s="1450" t="s">
        <v>148</v>
      </c>
      <c r="C5" s="696" t="s">
        <v>810</v>
      </c>
      <c r="D5" s="1450" t="s">
        <v>180</v>
      </c>
      <c r="E5" s="1450"/>
      <c r="F5" s="1450"/>
      <c r="G5" s="1450"/>
      <c r="H5" s="1452" t="s">
        <v>509</v>
      </c>
    </row>
    <row r="6" spans="1:11" ht="15.75" thickBot="1" x14ac:dyDescent="0.3">
      <c r="A6" s="1449"/>
      <c r="B6" s="1451"/>
      <c r="C6" s="933"/>
      <c r="D6" s="933">
        <v>2021</v>
      </c>
      <c r="E6" s="933">
        <v>2022</v>
      </c>
      <c r="F6" s="933">
        <v>2023</v>
      </c>
      <c r="G6" s="1172">
        <v>2024</v>
      </c>
      <c r="H6" s="1453"/>
    </row>
    <row r="7" spans="1:11" ht="15.75" thickBot="1" x14ac:dyDescent="0.3">
      <c r="A7" s="697" t="s">
        <v>16</v>
      </c>
      <c r="B7" s="698">
        <v>2</v>
      </c>
      <c r="C7" s="699">
        <v>3</v>
      </c>
      <c r="D7" s="699">
        <v>4</v>
      </c>
      <c r="E7" s="699">
        <v>5</v>
      </c>
      <c r="F7" s="699">
        <v>6</v>
      </c>
      <c r="G7" s="700">
        <v>7</v>
      </c>
      <c r="H7" s="700">
        <v>8</v>
      </c>
    </row>
    <row r="8" spans="1:11" ht="26.25" x14ac:dyDescent="0.25">
      <c r="A8" s="701" t="s">
        <v>16</v>
      </c>
      <c r="B8" s="702" t="s">
        <v>811</v>
      </c>
      <c r="C8" s="703">
        <v>0</v>
      </c>
      <c r="D8" s="880">
        <v>0</v>
      </c>
      <c r="E8" s="880">
        <v>0</v>
      </c>
      <c r="F8" s="880">
        <v>0</v>
      </c>
      <c r="G8" s="880">
        <v>0</v>
      </c>
      <c r="H8" s="881">
        <f t="shared" ref="H8:H26" si="0">SUM(D8:G8)</f>
        <v>0</v>
      </c>
    </row>
    <row r="9" spans="1:11" ht="39" x14ac:dyDescent="0.25">
      <c r="A9" s="701" t="s">
        <v>17</v>
      </c>
      <c r="B9" s="702" t="s">
        <v>514</v>
      </c>
      <c r="C9" s="703">
        <v>0</v>
      </c>
      <c r="D9" s="880">
        <v>0</v>
      </c>
      <c r="E9" s="880">
        <v>0</v>
      </c>
      <c r="F9" s="880">
        <v>0</v>
      </c>
      <c r="G9" s="880">
        <v>0</v>
      </c>
      <c r="H9" s="881">
        <f t="shared" si="0"/>
        <v>0</v>
      </c>
      <c r="K9" s="704"/>
    </row>
    <row r="10" spans="1:11" ht="39" x14ac:dyDescent="0.25">
      <c r="A10" s="701" t="s">
        <v>18</v>
      </c>
      <c r="B10" s="702" t="s">
        <v>515</v>
      </c>
      <c r="C10" s="703">
        <v>5887000</v>
      </c>
      <c r="D10" s="882">
        <v>1472000</v>
      </c>
      <c r="E10" s="882">
        <v>1472000</v>
      </c>
      <c r="F10" s="880">
        <v>1472000</v>
      </c>
      <c r="G10" s="880">
        <v>1471000</v>
      </c>
      <c r="H10" s="881">
        <f t="shared" si="0"/>
        <v>5887000</v>
      </c>
      <c r="I10" s="705"/>
      <c r="J10" s="706"/>
      <c r="K10" s="707"/>
    </row>
    <row r="11" spans="1:11" ht="26.25" x14ac:dyDescent="0.25">
      <c r="A11" s="701" t="s">
        <v>19</v>
      </c>
      <c r="B11" s="702" t="s">
        <v>599</v>
      </c>
      <c r="C11" s="703">
        <v>443461</v>
      </c>
      <c r="D11" s="882">
        <v>443461</v>
      </c>
      <c r="E11" s="882">
        <v>0</v>
      </c>
      <c r="F11" s="880">
        <v>0</v>
      </c>
      <c r="G11" s="880">
        <v>0</v>
      </c>
      <c r="H11" s="881">
        <f t="shared" si="0"/>
        <v>443461</v>
      </c>
    </row>
    <row r="12" spans="1:11" ht="26.25" x14ac:dyDescent="0.25">
      <c r="A12" s="701" t="s">
        <v>20</v>
      </c>
      <c r="B12" s="702" t="s">
        <v>600</v>
      </c>
      <c r="C12" s="703">
        <v>556539</v>
      </c>
      <c r="D12" s="882">
        <v>556539</v>
      </c>
      <c r="E12" s="882">
        <v>0</v>
      </c>
      <c r="F12" s="880">
        <v>0</v>
      </c>
      <c r="G12" s="880">
        <v>0</v>
      </c>
      <c r="H12" s="881">
        <f t="shared" si="0"/>
        <v>556539</v>
      </c>
    </row>
    <row r="13" spans="1:11" ht="26.25" customHeight="1" x14ac:dyDescent="0.25">
      <c r="A13" s="701" t="s">
        <v>21</v>
      </c>
      <c r="B13" s="708" t="s">
        <v>510</v>
      </c>
      <c r="C13" s="709">
        <v>31221155</v>
      </c>
      <c r="D13" s="880">
        <v>4940000</v>
      </c>
      <c r="E13" s="880">
        <v>4940000</v>
      </c>
      <c r="F13" s="880">
        <v>4940000</v>
      </c>
      <c r="G13" s="880">
        <v>4940000</v>
      </c>
      <c r="H13" s="881">
        <f t="shared" si="0"/>
        <v>19760000</v>
      </c>
    </row>
    <row r="14" spans="1:11" ht="39" x14ac:dyDescent="0.25">
      <c r="A14" s="701" t="s">
        <v>22</v>
      </c>
      <c r="B14" s="710" t="s">
        <v>516</v>
      </c>
      <c r="C14" s="711">
        <v>2572000</v>
      </c>
      <c r="D14" s="883">
        <v>1464000</v>
      </c>
      <c r="E14" s="883">
        <v>1108000</v>
      </c>
      <c r="F14" s="884">
        <v>0</v>
      </c>
      <c r="G14" s="884">
        <v>0</v>
      </c>
      <c r="H14" s="881">
        <f t="shared" si="0"/>
        <v>2572000</v>
      </c>
    </row>
    <row r="15" spans="1:11" ht="26.25" x14ac:dyDescent="0.25">
      <c r="A15" s="701" t="s">
        <v>23</v>
      </c>
      <c r="B15" s="712" t="s">
        <v>601</v>
      </c>
      <c r="C15" s="703">
        <v>1725452</v>
      </c>
      <c r="D15" s="880">
        <v>984000</v>
      </c>
      <c r="E15" s="880">
        <v>741452</v>
      </c>
      <c r="F15" s="880">
        <v>0</v>
      </c>
      <c r="G15" s="880">
        <v>0</v>
      </c>
      <c r="H15" s="881">
        <f t="shared" si="0"/>
        <v>1725452</v>
      </c>
    </row>
    <row r="16" spans="1:11" ht="26.25" x14ac:dyDescent="0.25">
      <c r="A16" s="701" t="s">
        <v>24</v>
      </c>
      <c r="B16" s="712" t="s">
        <v>602</v>
      </c>
      <c r="C16" s="703">
        <v>1118946</v>
      </c>
      <c r="D16" s="880">
        <v>1118946</v>
      </c>
      <c r="E16" s="880">
        <v>0</v>
      </c>
      <c r="F16" s="880">
        <v>0</v>
      </c>
      <c r="G16" s="880">
        <v>0</v>
      </c>
      <c r="H16" s="881">
        <f t="shared" si="0"/>
        <v>1118946</v>
      </c>
    </row>
    <row r="17" spans="1:8" ht="26.25" x14ac:dyDescent="0.25">
      <c r="A17" s="701" t="s">
        <v>25</v>
      </c>
      <c r="B17" s="712" t="s">
        <v>603</v>
      </c>
      <c r="C17" s="703">
        <v>3281242</v>
      </c>
      <c r="D17" s="880">
        <v>1270000</v>
      </c>
      <c r="E17" s="880">
        <v>1270000</v>
      </c>
      <c r="F17" s="880">
        <v>741242</v>
      </c>
      <c r="G17" s="880">
        <v>0</v>
      </c>
      <c r="H17" s="881">
        <f t="shared" si="0"/>
        <v>3281242</v>
      </c>
    </row>
    <row r="18" spans="1:8" ht="26.25" x14ac:dyDescent="0.25">
      <c r="A18" s="701" t="s">
        <v>26</v>
      </c>
      <c r="B18" s="708" t="s">
        <v>604</v>
      </c>
      <c r="C18" s="703">
        <v>7393526</v>
      </c>
      <c r="D18" s="880">
        <v>1668000</v>
      </c>
      <c r="E18" s="880">
        <v>1668000</v>
      </c>
      <c r="F18" s="880">
        <v>1668000</v>
      </c>
      <c r="G18" s="880">
        <v>1668000</v>
      </c>
      <c r="H18" s="881">
        <f t="shared" si="0"/>
        <v>6672000</v>
      </c>
    </row>
    <row r="19" spans="1:8" ht="27.75" customHeight="1" x14ac:dyDescent="0.25">
      <c r="A19" s="701" t="s">
        <v>27</v>
      </c>
      <c r="B19" s="708" t="s">
        <v>605</v>
      </c>
      <c r="C19" s="703">
        <v>7208258</v>
      </c>
      <c r="D19" s="880">
        <v>1834504</v>
      </c>
      <c r="E19" s="880">
        <v>1834504</v>
      </c>
      <c r="F19" s="880">
        <v>1834504</v>
      </c>
      <c r="G19" s="880">
        <v>1704746</v>
      </c>
      <c r="H19" s="881">
        <f t="shared" si="0"/>
        <v>7208258</v>
      </c>
    </row>
    <row r="20" spans="1:8" ht="27" customHeight="1" x14ac:dyDescent="0.25">
      <c r="A20" s="701" t="s">
        <v>28</v>
      </c>
      <c r="B20" s="708" t="s">
        <v>606</v>
      </c>
      <c r="C20" s="703">
        <v>1848697</v>
      </c>
      <c r="D20" s="880">
        <v>1848697</v>
      </c>
      <c r="E20" s="880">
        <v>0</v>
      </c>
      <c r="F20" s="880">
        <v>0</v>
      </c>
      <c r="G20" s="880">
        <v>0</v>
      </c>
      <c r="H20" s="881">
        <f t="shared" si="0"/>
        <v>1848697</v>
      </c>
    </row>
    <row r="21" spans="1:8" ht="27" customHeight="1" x14ac:dyDescent="0.25">
      <c r="A21" s="701" t="s">
        <v>29</v>
      </c>
      <c r="B21" s="708" t="s">
        <v>607</v>
      </c>
      <c r="C21" s="703">
        <v>22222400</v>
      </c>
      <c r="D21" s="880">
        <v>2777600</v>
      </c>
      <c r="E21" s="880">
        <v>2777600</v>
      </c>
      <c r="F21" s="880">
        <v>2777600</v>
      </c>
      <c r="G21" s="880">
        <v>2777600</v>
      </c>
      <c r="H21" s="881">
        <f t="shared" si="0"/>
        <v>11110400</v>
      </c>
    </row>
    <row r="22" spans="1:8" ht="26.25" customHeight="1" x14ac:dyDescent="0.25">
      <c r="A22" s="701" t="s">
        <v>30</v>
      </c>
      <c r="B22" s="708" t="s">
        <v>608</v>
      </c>
      <c r="C22" s="703">
        <v>3501644</v>
      </c>
      <c r="D22" s="880">
        <v>1016000</v>
      </c>
      <c r="E22" s="880">
        <v>1016000</v>
      </c>
      <c r="F22" s="880">
        <v>1016000</v>
      </c>
      <c r="G22" s="880">
        <v>453644</v>
      </c>
      <c r="H22" s="881">
        <f t="shared" si="0"/>
        <v>3501644</v>
      </c>
    </row>
    <row r="23" spans="1:8" ht="26.25" x14ac:dyDescent="0.25">
      <c r="A23" s="701" t="s">
        <v>31</v>
      </c>
      <c r="B23" s="708" t="s">
        <v>609</v>
      </c>
      <c r="C23" s="703">
        <v>16409597</v>
      </c>
      <c r="D23" s="880">
        <v>3600000</v>
      </c>
      <c r="E23" s="880">
        <v>3600000</v>
      </c>
      <c r="F23" s="880">
        <v>3600000</v>
      </c>
      <c r="G23" s="880">
        <v>3600000</v>
      </c>
      <c r="H23" s="881">
        <f t="shared" si="0"/>
        <v>14400000</v>
      </c>
    </row>
    <row r="24" spans="1:8" x14ac:dyDescent="0.25">
      <c r="A24" s="701" t="s">
        <v>32</v>
      </c>
      <c r="B24" s="1173" t="s">
        <v>964</v>
      </c>
      <c r="C24" s="946">
        <v>0</v>
      </c>
      <c r="D24" s="947">
        <v>0</v>
      </c>
      <c r="E24" s="947">
        <v>2300740</v>
      </c>
      <c r="F24" s="947">
        <v>2300740</v>
      </c>
      <c r="G24" s="948">
        <v>2300740</v>
      </c>
      <c r="H24" s="881">
        <f t="shared" si="0"/>
        <v>6902220</v>
      </c>
    </row>
    <row r="25" spans="1:8" ht="22.5" x14ac:dyDescent="0.25">
      <c r="A25" s="937" t="s">
        <v>33</v>
      </c>
      <c r="B25" s="949" t="s">
        <v>965</v>
      </c>
      <c r="C25" s="946">
        <v>0</v>
      </c>
      <c r="D25" s="947">
        <v>0</v>
      </c>
      <c r="E25" s="947">
        <v>0</v>
      </c>
      <c r="F25" s="947">
        <v>1568620</v>
      </c>
      <c r="G25" s="948">
        <v>1568620</v>
      </c>
      <c r="H25" s="950">
        <f t="shared" si="0"/>
        <v>3137240</v>
      </c>
    </row>
    <row r="26" spans="1:8" ht="21.75" thickBot="1" x14ac:dyDescent="0.3">
      <c r="A26" s="936" t="s">
        <v>34</v>
      </c>
      <c r="B26" s="1391" t="s">
        <v>1083</v>
      </c>
      <c r="C26" s="1392">
        <v>0</v>
      </c>
      <c r="D26" s="1393">
        <v>0</v>
      </c>
      <c r="E26" s="1393">
        <v>0</v>
      </c>
      <c r="F26" s="1393">
        <v>0</v>
      </c>
      <c r="G26" s="1390">
        <v>13750000</v>
      </c>
      <c r="H26" s="935">
        <f t="shared" si="0"/>
        <v>13750000</v>
      </c>
    </row>
    <row r="27" spans="1:8" ht="24" customHeight="1" thickBot="1" x14ac:dyDescent="0.3">
      <c r="A27" s="713"/>
      <c r="B27" s="714" t="s">
        <v>149</v>
      </c>
      <c r="C27" s="715">
        <f t="shared" ref="C27:G27" si="1">SUM(C8:C26)</f>
        <v>105389917</v>
      </c>
      <c r="D27" s="715">
        <f t="shared" si="1"/>
        <v>24993747</v>
      </c>
      <c r="E27" s="715">
        <f t="shared" si="1"/>
        <v>22728296</v>
      </c>
      <c r="F27" s="715">
        <f t="shared" si="1"/>
        <v>21918706</v>
      </c>
      <c r="G27" s="715">
        <f t="shared" si="1"/>
        <v>34234350</v>
      </c>
      <c r="H27" s="718">
        <f>SUM(H8:H26)</f>
        <v>103875099</v>
      </c>
    </row>
    <row r="29" spans="1:8" x14ac:dyDescent="0.25">
      <c r="B29" s="716" t="s">
        <v>610</v>
      </c>
    </row>
    <row r="31" spans="1:8" x14ac:dyDescent="0.25">
      <c r="B31" s="717"/>
    </row>
  </sheetData>
  <mergeCells count="8">
    <mergeCell ref="A1:H1"/>
    <mergeCell ref="A3:H3"/>
    <mergeCell ref="D4:F4"/>
    <mergeCell ref="G4:H4"/>
    <mergeCell ref="A5:A6"/>
    <mergeCell ref="B5:B6"/>
    <mergeCell ref="D5:G5"/>
    <mergeCell ref="H5:H6"/>
  </mergeCells>
  <pageMargins left="0.7" right="0.7" top="0.75" bottom="0.75" header="0.3" footer="0.3"/>
  <pageSetup paperSize="9" scale="71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1"/>
  <dimension ref="A1:D14"/>
  <sheetViews>
    <sheetView zoomScale="120" zoomScaleNormal="120" zoomScaleSheetLayoutView="115" zoomScalePageLayoutView="115" workbookViewId="0">
      <selection activeCell="E9" sqref="E9"/>
    </sheetView>
  </sheetViews>
  <sheetFormatPr defaultRowHeight="15" x14ac:dyDescent="0.25"/>
  <cols>
    <col min="1" max="1" width="5.6640625" style="693" customWidth="1"/>
    <col min="2" max="2" width="68.6640625" style="693" customWidth="1"/>
    <col min="3" max="3" width="19.5" style="693" customWidth="1"/>
    <col min="4" max="4" width="11.33203125" style="693" customWidth="1"/>
    <col min="5" max="16384" width="9.33203125" style="693"/>
  </cols>
  <sheetData>
    <row r="1" spans="1:4" x14ac:dyDescent="0.25">
      <c r="A1" s="1444" t="str">
        <f>CONCATENATE("6. melléklet ",ALAPADATOK!A7," ",ALAPADATOK!B7," ",ALAPADATOK!C7," ",ALAPADATOK!D7," ",ALAPADATOK!E7," ",ALAPADATOK!F7," ",ALAPADATOK!G7," ",ALAPADATOK!H7)</f>
        <v>6. melléklet a 19 / 2021. ( XI.29. ) önkormányzati rendelethez</v>
      </c>
      <c r="B1" s="1444"/>
      <c r="C1" s="1444"/>
    </row>
    <row r="3" spans="1:4" ht="33" customHeight="1" x14ac:dyDescent="0.25">
      <c r="A3" s="1445" t="s">
        <v>524</v>
      </c>
      <c r="B3" s="1445"/>
      <c r="C3" s="1445"/>
    </row>
    <row r="4" spans="1:4" ht="15.95" customHeight="1" thickBot="1" x14ac:dyDescent="0.3">
      <c r="A4" s="694"/>
      <c r="B4" s="694"/>
      <c r="C4" s="63" t="s">
        <v>495</v>
      </c>
      <c r="D4" s="438"/>
    </row>
    <row r="5" spans="1:4" ht="26.25" customHeight="1" thickBot="1" x14ac:dyDescent="0.3">
      <c r="A5" s="64" t="s">
        <v>14</v>
      </c>
      <c r="B5" s="65" t="s">
        <v>525</v>
      </c>
      <c r="C5" s="66" t="s">
        <v>796</v>
      </c>
    </row>
    <row r="6" spans="1:4" ht="15.75" thickBot="1" x14ac:dyDescent="0.3">
      <c r="A6" s="439">
        <v>1</v>
      </c>
      <c r="B6" s="440">
        <v>2</v>
      </c>
      <c r="C6" s="441">
        <v>3</v>
      </c>
    </row>
    <row r="7" spans="1:4" x14ac:dyDescent="0.25">
      <c r="A7" s="67" t="s">
        <v>16</v>
      </c>
      <c r="B7" s="1058" t="s">
        <v>769</v>
      </c>
      <c r="C7" s="592">
        <v>385080000</v>
      </c>
    </row>
    <row r="8" spans="1:4" ht="24.75" x14ac:dyDescent="0.25">
      <c r="A8" s="68" t="s">
        <v>17</v>
      </c>
      <c r="B8" s="442" t="s">
        <v>526</v>
      </c>
      <c r="C8" s="1377">
        <f>3743473+3078700</f>
        <v>6822173</v>
      </c>
    </row>
    <row r="9" spans="1:4" x14ac:dyDescent="0.25">
      <c r="A9" s="68" t="s">
        <v>18</v>
      </c>
      <c r="B9" s="444" t="s">
        <v>527</v>
      </c>
      <c r="C9" s="443"/>
    </row>
    <row r="10" spans="1:4" ht="24.75" x14ac:dyDescent="0.25">
      <c r="A10" s="68" t="s">
        <v>19</v>
      </c>
      <c r="B10" s="444" t="s">
        <v>528</v>
      </c>
      <c r="C10" s="443">
        <v>63000000</v>
      </c>
    </row>
    <row r="11" spans="1:4" x14ac:dyDescent="0.25">
      <c r="A11" s="68" t="s">
        <v>20</v>
      </c>
      <c r="B11" s="444" t="s">
        <v>596</v>
      </c>
      <c r="C11" s="1059">
        <v>13520000</v>
      </c>
    </row>
    <row r="12" spans="1:4" ht="15.75" thickBot="1" x14ac:dyDescent="0.3">
      <c r="A12" s="445" t="s">
        <v>21</v>
      </c>
      <c r="B12" s="446" t="s">
        <v>529</v>
      </c>
      <c r="C12" s="447"/>
    </row>
    <row r="13" spans="1:4" ht="15.75" thickBot="1" x14ac:dyDescent="0.3">
      <c r="A13" s="1454" t="s">
        <v>530</v>
      </c>
      <c r="B13" s="1455"/>
      <c r="C13" s="448">
        <f>SUM(C7:C12)</f>
        <v>468422173</v>
      </c>
    </row>
    <row r="14" spans="1:4" ht="23.25" customHeight="1" x14ac:dyDescent="0.25">
      <c r="A14" s="1456" t="s">
        <v>531</v>
      </c>
      <c r="B14" s="1456"/>
      <c r="C14" s="1456"/>
    </row>
  </sheetData>
  <mergeCells count="4">
    <mergeCell ref="A1:C1"/>
    <mergeCell ref="A3:C3"/>
    <mergeCell ref="A13:B13"/>
    <mergeCell ref="A14:C14"/>
  </mergeCells>
  <printOptions horizontalCentered="1"/>
  <pageMargins left="0.78740157480314965" right="0.78740157480314965" top="1.4566929133858268" bottom="0.86614173228346458" header="0.78740157480314965" footer="0.59055118110236227"/>
  <pageSetup paperSize="9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2"/>
  <dimension ref="A1:E18"/>
  <sheetViews>
    <sheetView zoomScale="145" zoomScaleNormal="145" zoomScaleSheetLayoutView="130" workbookViewId="0">
      <selection activeCell="A2" sqref="A2"/>
    </sheetView>
  </sheetViews>
  <sheetFormatPr defaultRowHeight="15" x14ac:dyDescent="0.25"/>
  <cols>
    <col min="1" max="1" width="5.6640625" style="693" customWidth="1"/>
    <col min="2" max="2" width="66.83203125" style="693" customWidth="1"/>
    <col min="3" max="3" width="27" style="693" customWidth="1"/>
    <col min="4" max="16384" width="9.33203125" style="693"/>
  </cols>
  <sheetData>
    <row r="1" spans="1:5" x14ac:dyDescent="0.25">
      <c r="A1" s="1444" t="str">
        <f>CONCATENATE("7. melléklet ",ALAPADATOK!A7," ",ALAPADATOK!B7," ",ALAPADATOK!C7," ",ALAPADATOK!D7," ",ALAPADATOK!E7," ",ALAPADATOK!F7," ",ALAPADATOK!G7," ",ALAPADATOK!H7)</f>
        <v>7. melléklet a 19 / 2021. ( XI.29. ) önkormányzati rendelethez</v>
      </c>
      <c r="B1" s="1444"/>
      <c r="C1" s="1444"/>
    </row>
    <row r="3" spans="1:5" ht="33" customHeight="1" x14ac:dyDescent="0.25">
      <c r="A3" s="1445" t="s">
        <v>799</v>
      </c>
      <c r="B3" s="1445"/>
      <c r="C3" s="1445"/>
    </row>
    <row r="4" spans="1:5" ht="15.95" customHeight="1" thickBot="1" x14ac:dyDescent="0.3">
      <c r="A4" s="694"/>
      <c r="B4" s="694"/>
      <c r="C4" s="63" t="s">
        <v>495</v>
      </c>
      <c r="D4" s="62"/>
    </row>
    <row r="5" spans="1:5" ht="26.25" customHeight="1" thickBot="1" x14ac:dyDescent="0.3">
      <c r="A5" s="523" t="s">
        <v>14</v>
      </c>
      <c r="B5" s="524" t="s">
        <v>150</v>
      </c>
      <c r="C5" s="525" t="s">
        <v>155</v>
      </c>
    </row>
    <row r="6" spans="1:5" ht="15.75" thickBot="1" x14ac:dyDescent="0.3">
      <c r="A6" s="526">
        <v>1</v>
      </c>
      <c r="B6" s="527">
        <v>2</v>
      </c>
      <c r="C6" s="528">
        <v>3</v>
      </c>
    </row>
    <row r="7" spans="1:5" x14ac:dyDescent="0.25">
      <c r="A7" s="67" t="s">
        <v>16</v>
      </c>
      <c r="B7" s="949" t="s">
        <v>963</v>
      </c>
      <c r="C7" s="1166">
        <v>11503705</v>
      </c>
      <c r="D7" s="1165"/>
      <c r="E7" s="1165"/>
    </row>
    <row r="8" spans="1:5" x14ac:dyDescent="0.25">
      <c r="A8" s="68" t="s">
        <v>17</v>
      </c>
      <c r="B8" s="949" t="s">
        <v>966</v>
      </c>
      <c r="C8" s="531">
        <v>7058824</v>
      </c>
    </row>
    <row r="9" spans="1:5" x14ac:dyDescent="0.25">
      <c r="A9" s="593" t="s">
        <v>18</v>
      </c>
      <c r="B9" s="1394" t="s">
        <v>1083</v>
      </c>
      <c r="C9" s="1395">
        <v>167000000</v>
      </c>
    </row>
    <row r="10" spans="1:5" x14ac:dyDescent="0.25">
      <c r="A10" s="68" t="s">
        <v>19</v>
      </c>
      <c r="B10" s="939"/>
      <c r="C10" s="940"/>
    </row>
    <row r="11" spans="1:5" x14ac:dyDescent="0.25">
      <c r="A11" s="68" t="s">
        <v>20</v>
      </c>
      <c r="B11" s="938"/>
      <c r="C11" s="941"/>
    </row>
    <row r="12" spans="1:5" x14ac:dyDescent="0.25">
      <c r="A12" s="593" t="s">
        <v>21</v>
      </c>
      <c r="B12" s="529"/>
      <c r="C12" s="531"/>
    </row>
    <row r="13" spans="1:5" x14ac:dyDescent="0.25">
      <c r="A13" s="593" t="s">
        <v>22</v>
      </c>
      <c r="B13" s="530"/>
      <c r="C13" s="532"/>
    </row>
    <row r="14" spans="1:5" x14ac:dyDescent="0.25">
      <c r="A14" s="593" t="s">
        <v>23</v>
      </c>
      <c r="B14" s="533"/>
      <c r="C14" s="532"/>
    </row>
    <row r="15" spans="1:5" s="535" customFormat="1" thickBot="1" x14ac:dyDescent="0.25">
      <c r="A15" s="593" t="s">
        <v>24</v>
      </c>
      <c r="B15" s="534"/>
      <c r="C15" s="531"/>
    </row>
    <row r="16" spans="1:5" s="535" customFormat="1" ht="17.25" customHeight="1" thickBot="1" x14ac:dyDescent="0.25">
      <c r="A16" s="536" t="s">
        <v>25</v>
      </c>
      <c r="B16" s="537" t="s">
        <v>151</v>
      </c>
      <c r="C16" s="538">
        <f>SUM(C7:C15)</f>
        <v>185562529</v>
      </c>
    </row>
    <row r="18" spans="2:2" x14ac:dyDescent="0.25">
      <c r="B18" s="266" t="s">
        <v>770</v>
      </c>
    </row>
  </sheetData>
  <mergeCells count="2">
    <mergeCell ref="A1:C1"/>
    <mergeCell ref="A3:C3"/>
  </mergeCells>
  <printOptions horizontalCentered="1"/>
  <pageMargins left="0.78740157480314965" right="0.78740157480314965" top="1.4566929133858268" bottom="0.86614173228346458" header="0.78740157480314965" footer="0.59055118110236227"/>
  <pageSetup paperSize="9" scale="95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3">
    <pageSetUpPr fitToPage="1"/>
  </sheetPr>
  <dimension ref="A1:H66"/>
  <sheetViews>
    <sheetView zoomScaleNormal="100" zoomScaleSheetLayoutView="100" workbookViewId="0">
      <selection activeCell="A2" sqref="A2"/>
    </sheetView>
  </sheetViews>
  <sheetFormatPr defaultColWidth="9.33203125" defaultRowHeight="12.75" x14ac:dyDescent="0.2"/>
  <cols>
    <col min="1" max="1" width="61.33203125" style="437" customWidth="1"/>
    <col min="2" max="2" width="15.6640625" style="626" customWidth="1"/>
    <col min="3" max="3" width="16.33203125" style="626" customWidth="1"/>
    <col min="4" max="5" width="18" style="626" customWidth="1"/>
    <col min="6" max="6" width="16.6640625" style="626" customWidth="1"/>
    <col min="7" max="7" width="18.83203125" style="429" customWidth="1"/>
    <col min="8" max="9" width="12.83203125" style="770" customWidth="1"/>
    <col min="10" max="10" width="13.83203125" style="770" customWidth="1"/>
    <col min="11" max="11" width="12.6640625" style="770" bestFit="1" customWidth="1"/>
    <col min="12" max="12" width="12.6640625" style="770" customWidth="1"/>
    <col min="13" max="13" width="11.1640625" style="770" bestFit="1" customWidth="1"/>
    <col min="14" max="16384" width="9.33203125" style="770"/>
  </cols>
  <sheetData>
    <row r="1" spans="1:8" x14ac:dyDescent="0.2">
      <c r="A1" s="1457" t="str">
        <f>CONCATENATE("6. melléklet"," ",ALAPADATOK!A7," ",ALAPADATOK!B7," ",ALAPADATOK!C7," ",ALAPADATOK!D7," ",ALAPADATOK!E7," ",ALAPADATOK!F7," ",ALAPADATOK!G7," ",ALAPADATOK!H7)</f>
        <v>6. melléklet a 19 / 2021. ( XI.29. ) önkormányzati rendelethez</v>
      </c>
      <c r="B1" s="1457"/>
      <c r="C1" s="1457"/>
      <c r="D1" s="1457"/>
      <c r="E1" s="1457"/>
      <c r="F1" s="1457"/>
      <c r="G1" s="1457"/>
    </row>
    <row r="3" spans="1:8" ht="25.5" customHeight="1" x14ac:dyDescent="0.2">
      <c r="A3" s="1458" t="s">
        <v>4</v>
      </c>
      <c r="B3" s="1458"/>
      <c r="C3" s="1458"/>
      <c r="D3" s="1458"/>
      <c r="E3" s="1458"/>
      <c r="F3" s="1458"/>
      <c r="G3" s="1458"/>
    </row>
    <row r="4" spans="1:8" ht="22.5" customHeight="1" thickBot="1" x14ac:dyDescent="0.3">
      <c r="B4" s="1304"/>
      <c r="C4" s="1304"/>
      <c r="D4" s="1304"/>
      <c r="E4" s="1304"/>
      <c r="F4" s="1304"/>
      <c r="G4" s="1299"/>
    </row>
    <row r="5" spans="1:8" s="621" customFormat="1" ht="44.25" customHeight="1" thickBot="1" x14ac:dyDescent="0.25">
      <c r="A5" s="1037" t="s">
        <v>1024</v>
      </c>
      <c r="B5" s="430" t="s">
        <v>61</v>
      </c>
      <c r="C5" s="431" t="s">
        <v>62</v>
      </c>
      <c r="D5" s="431" t="s">
        <v>816</v>
      </c>
      <c r="E5" s="431" t="s">
        <v>800</v>
      </c>
      <c r="F5" s="431" t="s">
        <v>796</v>
      </c>
      <c r="G5" s="432" t="s">
        <v>801</v>
      </c>
      <c r="H5" s="433"/>
    </row>
    <row r="6" spans="1:8" s="676" customFormat="1" ht="12" customHeight="1" thickBot="1" x14ac:dyDescent="0.25">
      <c r="A6" s="1038">
        <v>1</v>
      </c>
      <c r="B6" s="434">
        <v>2</v>
      </c>
      <c r="C6" s="435">
        <v>3</v>
      </c>
      <c r="D6" s="435">
        <v>4</v>
      </c>
      <c r="E6" s="435">
        <v>5</v>
      </c>
      <c r="F6" s="435">
        <v>6</v>
      </c>
      <c r="G6" s="436" t="s">
        <v>788</v>
      </c>
    </row>
    <row r="7" spans="1:8" s="676" customFormat="1" ht="12" customHeight="1" thickBot="1" x14ac:dyDescent="0.25">
      <c r="A7" s="1036" t="s">
        <v>688</v>
      </c>
      <c r="B7" s="1039">
        <f>SUM(B8:B35)</f>
        <v>982247864</v>
      </c>
      <c r="C7" s="733"/>
      <c r="D7" s="734">
        <f>SUM(D8:D35)</f>
        <v>68659507</v>
      </c>
      <c r="E7" s="734">
        <f t="shared" ref="E7:F7" si="0">SUM(E8:E35)</f>
        <v>48414661</v>
      </c>
      <c r="F7" s="734">
        <f t="shared" si="0"/>
        <v>865173696</v>
      </c>
      <c r="G7" s="734">
        <f>SUM(G8:G35)</f>
        <v>0</v>
      </c>
    </row>
    <row r="8" spans="1:8" s="628" customFormat="1" ht="15.95" customHeight="1" x14ac:dyDescent="0.2">
      <c r="A8" s="1031" t="s">
        <v>683</v>
      </c>
      <c r="B8" s="1046">
        <v>2869994</v>
      </c>
      <c r="C8" s="1047">
        <v>2021</v>
      </c>
      <c r="D8" s="1048"/>
      <c r="E8" s="1048"/>
      <c r="F8" s="1048">
        <v>2869994</v>
      </c>
      <c r="G8" s="1049">
        <f t="shared" ref="G8:G54" si="1">B8-D8-F8-E8</f>
        <v>0</v>
      </c>
    </row>
    <row r="9" spans="1:8" s="626" customFormat="1" ht="15.95" customHeight="1" x14ac:dyDescent="0.2">
      <c r="A9" s="684" t="s">
        <v>684</v>
      </c>
      <c r="B9" s="951">
        <f>267489554-142138515+16601097+401550</f>
        <v>142353686</v>
      </c>
      <c r="C9" s="952" t="s">
        <v>1005</v>
      </c>
      <c r="D9" s="953">
        <f>13586200-204600</f>
        <v>13381600</v>
      </c>
      <c r="E9" s="953">
        <v>16601097</v>
      </c>
      <c r="F9" s="953">
        <f>254107954-142138515+401550</f>
        <v>112370989</v>
      </c>
      <c r="G9" s="1379">
        <f t="shared" si="1"/>
        <v>0</v>
      </c>
    </row>
    <row r="10" spans="1:8" s="625" customFormat="1" ht="25.5" x14ac:dyDescent="0.2">
      <c r="A10" s="684" t="s">
        <v>685</v>
      </c>
      <c r="B10" s="951">
        <f>12274550-2533650</f>
        <v>9740900</v>
      </c>
      <c r="C10" s="952" t="s">
        <v>802</v>
      </c>
      <c r="D10" s="953">
        <v>5715000</v>
      </c>
      <c r="E10" s="953"/>
      <c r="F10" s="953">
        <v>4025900</v>
      </c>
      <c r="G10" s="722">
        <f t="shared" si="1"/>
        <v>0</v>
      </c>
    </row>
    <row r="11" spans="1:8" s="626" customFormat="1" ht="18.75" customHeight="1" x14ac:dyDescent="0.2">
      <c r="A11" s="1040" t="s">
        <v>583</v>
      </c>
      <c r="B11" s="723">
        <v>17562217</v>
      </c>
      <c r="C11" s="686" t="s">
        <v>802</v>
      </c>
      <c r="D11" s="719">
        <v>17312217</v>
      </c>
      <c r="E11" s="719"/>
      <c r="F11" s="719">
        <v>250000</v>
      </c>
      <c r="G11" s="689">
        <f t="shared" si="1"/>
        <v>0</v>
      </c>
    </row>
    <row r="12" spans="1:8" s="626" customFormat="1" ht="28.5" customHeight="1" x14ac:dyDescent="0.2">
      <c r="A12" s="1041" t="s">
        <v>584</v>
      </c>
      <c r="B12" s="850">
        <v>15969872</v>
      </c>
      <c r="C12" s="686" t="s">
        <v>617</v>
      </c>
      <c r="D12" s="719">
        <v>15874872</v>
      </c>
      <c r="E12" s="719"/>
      <c r="F12" s="719">
        <v>95000</v>
      </c>
      <c r="G12" s="689">
        <f t="shared" si="1"/>
        <v>0</v>
      </c>
    </row>
    <row r="13" spans="1:8" s="626" customFormat="1" ht="15.95" customHeight="1" x14ac:dyDescent="0.2">
      <c r="A13" s="1042" t="s">
        <v>585</v>
      </c>
      <c r="B13" s="723">
        <v>359410</v>
      </c>
      <c r="C13" s="686">
        <v>2021</v>
      </c>
      <c r="D13" s="719"/>
      <c r="E13" s="719"/>
      <c r="F13" s="719">
        <v>359410</v>
      </c>
      <c r="G13" s="689">
        <f t="shared" si="1"/>
        <v>0</v>
      </c>
    </row>
    <row r="14" spans="1:8" s="626" customFormat="1" ht="15.95" customHeight="1" x14ac:dyDescent="0.2">
      <c r="A14" s="1042" t="s">
        <v>586</v>
      </c>
      <c r="B14" s="723">
        <v>381000</v>
      </c>
      <c r="C14" s="686">
        <v>2021</v>
      </c>
      <c r="D14" s="719"/>
      <c r="E14" s="719"/>
      <c r="F14" s="719">
        <v>381000</v>
      </c>
      <c r="G14" s="724">
        <f t="shared" si="1"/>
        <v>0</v>
      </c>
    </row>
    <row r="15" spans="1:8" s="626" customFormat="1" ht="15.95" customHeight="1" x14ac:dyDescent="0.2">
      <c r="A15" s="1043" t="s">
        <v>587</v>
      </c>
      <c r="B15" s="1034">
        <v>2540000</v>
      </c>
      <c r="C15" s="1032">
        <v>2021</v>
      </c>
      <c r="D15" s="1033"/>
      <c r="E15" s="1033"/>
      <c r="F15" s="1033">
        <v>2540000</v>
      </c>
      <c r="G15" s="1035">
        <f t="shared" si="1"/>
        <v>0</v>
      </c>
    </row>
    <row r="16" spans="1:8" s="626" customFormat="1" ht="31.5" customHeight="1" x14ac:dyDescent="0.2">
      <c r="A16" s="1041" t="s">
        <v>907</v>
      </c>
      <c r="B16" s="723">
        <v>100000</v>
      </c>
      <c r="C16" s="686">
        <v>2021</v>
      </c>
      <c r="D16" s="719"/>
      <c r="E16" s="719"/>
      <c r="F16" s="719">
        <v>100000</v>
      </c>
      <c r="G16" s="724">
        <f t="shared" si="1"/>
        <v>0</v>
      </c>
    </row>
    <row r="17" spans="1:7" s="625" customFormat="1" ht="15.75" customHeight="1" x14ac:dyDescent="0.2">
      <c r="A17" s="1044" t="s">
        <v>588</v>
      </c>
      <c r="B17" s="723">
        <v>166015</v>
      </c>
      <c r="C17" s="686">
        <v>2021</v>
      </c>
      <c r="D17" s="719"/>
      <c r="E17" s="719"/>
      <c r="F17" s="719">
        <v>166015</v>
      </c>
      <c r="G17" s="724">
        <f t="shared" si="1"/>
        <v>0</v>
      </c>
    </row>
    <row r="18" spans="1:7" s="626" customFormat="1" ht="25.5" x14ac:dyDescent="0.2">
      <c r="A18" s="1042" t="s">
        <v>618</v>
      </c>
      <c r="B18" s="850">
        <f>6704583+2425</f>
        <v>6707008</v>
      </c>
      <c r="C18" s="686" t="s">
        <v>617</v>
      </c>
      <c r="D18" s="719">
        <f>1295700+3842258</f>
        <v>5137958</v>
      </c>
      <c r="E18" s="719"/>
      <c r="F18" s="719">
        <f>1566625+2425</f>
        <v>1569050</v>
      </c>
      <c r="G18" s="724">
        <f t="shared" si="1"/>
        <v>0</v>
      </c>
    </row>
    <row r="19" spans="1:7" s="627" customFormat="1" ht="29.25" customHeight="1" x14ac:dyDescent="0.2">
      <c r="A19" s="1045" t="s">
        <v>908</v>
      </c>
      <c r="B19" s="725">
        <v>127000</v>
      </c>
      <c r="C19" s="726">
        <v>2021</v>
      </c>
      <c r="D19" s="727"/>
      <c r="E19" s="727"/>
      <c r="F19" s="727">
        <v>127000</v>
      </c>
      <c r="G19" s="685">
        <f t="shared" si="1"/>
        <v>0</v>
      </c>
    </row>
    <row r="20" spans="1:7" s="627" customFormat="1" ht="25.5" x14ac:dyDescent="0.2">
      <c r="A20" s="1378" t="s">
        <v>997</v>
      </c>
      <c r="B20" s="942">
        <f>1369240+500000-50800</f>
        <v>1818440</v>
      </c>
      <c r="C20" s="726" t="s">
        <v>911</v>
      </c>
      <c r="D20" s="727">
        <v>455240</v>
      </c>
      <c r="E20" s="727"/>
      <c r="F20" s="727">
        <f>914000+500000-50800</f>
        <v>1363200</v>
      </c>
      <c r="G20" s="728">
        <f t="shared" si="1"/>
        <v>0</v>
      </c>
    </row>
    <row r="21" spans="1:7" s="625" customFormat="1" x14ac:dyDescent="0.2">
      <c r="A21" s="1042" t="s">
        <v>597</v>
      </c>
      <c r="B21" s="850">
        <v>355600</v>
      </c>
      <c r="C21" s="686">
        <v>2021</v>
      </c>
      <c r="D21" s="719"/>
      <c r="E21" s="719"/>
      <c r="F21" s="719">
        <v>355600</v>
      </c>
      <c r="G21" s="724">
        <f t="shared" si="1"/>
        <v>0</v>
      </c>
    </row>
    <row r="22" spans="1:7" s="628" customFormat="1" ht="15.75" customHeight="1" x14ac:dyDescent="0.2">
      <c r="A22" s="1042" t="s">
        <v>686</v>
      </c>
      <c r="B22" s="850">
        <v>30000000</v>
      </c>
      <c r="C22" s="686" t="s">
        <v>802</v>
      </c>
      <c r="D22" s="719">
        <v>2679620</v>
      </c>
      <c r="E22" s="719"/>
      <c r="F22" s="719">
        <v>27320380</v>
      </c>
      <c r="G22" s="724">
        <f t="shared" si="1"/>
        <v>0</v>
      </c>
    </row>
    <row r="23" spans="1:7" s="627" customFormat="1" ht="15.75" customHeight="1" x14ac:dyDescent="0.2">
      <c r="A23" s="1042" t="s">
        <v>687</v>
      </c>
      <c r="B23" s="1329">
        <f>162236150-1049020+35000</f>
        <v>161222130</v>
      </c>
      <c r="C23" s="726" t="s">
        <v>802</v>
      </c>
      <c r="D23" s="727">
        <v>8103000</v>
      </c>
      <c r="E23" s="727">
        <f>10800000+11255853</f>
        <v>22055853</v>
      </c>
      <c r="F23" s="1331">
        <f>132077297-1049020+35000</f>
        <v>131063277</v>
      </c>
      <c r="G23" s="728">
        <f t="shared" si="1"/>
        <v>0</v>
      </c>
    </row>
    <row r="24" spans="1:7" s="630" customFormat="1" ht="15.75" customHeight="1" x14ac:dyDescent="0.2">
      <c r="A24" s="1042" t="s">
        <v>906</v>
      </c>
      <c r="B24" s="850">
        <f>97575000+1809000</f>
        <v>99384000</v>
      </c>
      <c r="C24" s="686" t="s">
        <v>804</v>
      </c>
      <c r="D24" s="719"/>
      <c r="E24" s="719"/>
      <c r="F24" s="719">
        <f>97575000+1809000</f>
        <v>99384000</v>
      </c>
      <c r="G24" s="724">
        <f t="shared" si="1"/>
        <v>0</v>
      </c>
    </row>
    <row r="25" spans="1:7" s="630" customFormat="1" ht="15.75" customHeight="1" x14ac:dyDescent="0.2">
      <c r="A25" s="1042" t="s">
        <v>781</v>
      </c>
      <c r="B25" s="850">
        <v>1017270</v>
      </c>
      <c r="C25" s="686">
        <v>2021</v>
      </c>
      <c r="D25" s="719"/>
      <c r="E25" s="719"/>
      <c r="F25" s="719">
        <v>1017270</v>
      </c>
      <c r="G25" s="724">
        <f t="shared" si="1"/>
        <v>0</v>
      </c>
    </row>
    <row r="26" spans="1:7" s="630" customFormat="1" ht="15.75" customHeight="1" x14ac:dyDescent="0.2">
      <c r="A26" s="1226" t="s">
        <v>982</v>
      </c>
      <c r="B26" s="942">
        <v>254000</v>
      </c>
      <c r="C26" s="726" t="s">
        <v>941</v>
      </c>
      <c r="D26" s="727"/>
      <c r="E26" s="727"/>
      <c r="F26" s="727">
        <v>254000</v>
      </c>
      <c r="G26" s="728">
        <f t="shared" si="1"/>
        <v>0</v>
      </c>
    </row>
    <row r="27" spans="1:7" s="630" customFormat="1" ht="15.75" customHeight="1" x14ac:dyDescent="0.2">
      <c r="A27" s="1226" t="s">
        <v>787</v>
      </c>
      <c r="B27" s="942">
        <f>10147300+1707640</f>
        <v>11854940</v>
      </c>
      <c r="C27" s="726" t="s">
        <v>803</v>
      </c>
      <c r="D27" s="727"/>
      <c r="E27" s="727"/>
      <c r="F27" s="727">
        <f>10147300+1707640</f>
        <v>11854940</v>
      </c>
      <c r="G27" s="728">
        <f t="shared" ref="G27" si="2">B27-D27-F27-E27</f>
        <v>0</v>
      </c>
    </row>
    <row r="28" spans="1:7" s="630" customFormat="1" ht="33" customHeight="1" x14ac:dyDescent="0.2">
      <c r="A28" s="1226" t="s">
        <v>986</v>
      </c>
      <c r="B28" s="942">
        <v>9195000</v>
      </c>
      <c r="C28" s="726" t="s">
        <v>941</v>
      </c>
      <c r="D28" s="727"/>
      <c r="E28" s="727"/>
      <c r="F28" s="727">
        <v>9195000</v>
      </c>
      <c r="G28" s="728">
        <f t="shared" si="1"/>
        <v>0</v>
      </c>
    </row>
    <row r="29" spans="1:7" s="630" customFormat="1" x14ac:dyDescent="0.2">
      <c r="A29" s="1226" t="s">
        <v>1071</v>
      </c>
      <c r="B29" s="942">
        <v>4293870</v>
      </c>
      <c r="C29" s="726" t="s">
        <v>941</v>
      </c>
      <c r="D29" s="727"/>
      <c r="E29" s="727"/>
      <c r="F29" s="727">
        <v>4293870</v>
      </c>
      <c r="G29" s="728">
        <f t="shared" si="1"/>
        <v>0</v>
      </c>
    </row>
    <row r="30" spans="1:7" s="630" customFormat="1" ht="33" customHeight="1" x14ac:dyDescent="0.2">
      <c r="A30" s="1226" t="s">
        <v>996</v>
      </c>
      <c r="B30" s="942">
        <f>39476378+212598+10311024</f>
        <v>50000000</v>
      </c>
      <c r="C30" s="726" t="s">
        <v>804</v>
      </c>
      <c r="D30" s="727"/>
      <c r="E30" s="727">
        <f>10311024-553313</f>
        <v>9757711</v>
      </c>
      <c r="F30" s="727">
        <f>39688976-1234646+1574803+213156</f>
        <v>40242289</v>
      </c>
      <c r="G30" s="728"/>
    </row>
    <row r="31" spans="1:7" s="630" customFormat="1" ht="25.5" x14ac:dyDescent="0.2">
      <c r="A31" s="1226" t="s">
        <v>998</v>
      </c>
      <c r="B31" s="942">
        <f>2360000+637200</f>
        <v>2997200</v>
      </c>
      <c r="C31" s="726" t="s">
        <v>804</v>
      </c>
      <c r="D31" s="727"/>
      <c r="E31" s="727"/>
      <c r="F31" s="727">
        <v>2997200</v>
      </c>
      <c r="G31" s="728"/>
    </row>
    <row r="32" spans="1:7" s="630" customFormat="1" ht="25.5" x14ac:dyDescent="0.2">
      <c r="A32" s="1226" t="s">
        <v>999</v>
      </c>
      <c r="B32" s="942">
        <f>3937008+1062992</f>
        <v>5000000</v>
      </c>
      <c r="C32" s="726" t="s">
        <v>804</v>
      </c>
      <c r="D32" s="727"/>
      <c r="E32" s="727"/>
      <c r="F32" s="727">
        <v>5000000</v>
      </c>
      <c r="G32" s="728"/>
    </row>
    <row r="33" spans="1:7" s="630" customFormat="1" ht="25.5" x14ac:dyDescent="0.2">
      <c r="A33" s="1226" t="s">
        <v>1001</v>
      </c>
      <c r="B33" s="942">
        <f>1547000+417690</f>
        <v>1964690</v>
      </c>
      <c r="C33" s="726" t="s">
        <v>804</v>
      </c>
      <c r="D33" s="727"/>
      <c r="E33" s="727"/>
      <c r="F33" s="727">
        <f>1547000+417690</f>
        <v>1964690</v>
      </c>
      <c r="G33" s="728"/>
    </row>
    <row r="34" spans="1:7" s="630" customFormat="1" x14ac:dyDescent="0.2">
      <c r="A34" s="1328" t="s">
        <v>1086</v>
      </c>
      <c r="B34" s="1329">
        <v>239013622</v>
      </c>
      <c r="C34" s="1330" t="s">
        <v>1084</v>
      </c>
      <c r="D34" s="1331"/>
      <c r="E34" s="1331"/>
      <c r="F34" s="1331">
        <v>239013622</v>
      </c>
      <c r="G34" s="728"/>
    </row>
    <row r="35" spans="1:7" s="630" customFormat="1" ht="26.25" thickBot="1" x14ac:dyDescent="0.25">
      <c r="A35" s="1226" t="s">
        <v>1083</v>
      </c>
      <c r="B35" s="942">
        <v>165000000</v>
      </c>
      <c r="C35" s="1413" t="s">
        <v>1084</v>
      </c>
      <c r="D35" s="1412"/>
      <c r="E35" s="1412"/>
      <c r="F35" s="1412">
        <v>165000000</v>
      </c>
      <c r="G35" s="728"/>
    </row>
    <row r="36" spans="1:7" s="626" customFormat="1" ht="13.5" thickBot="1" x14ac:dyDescent="0.25">
      <c r="A36" s="1053" t="s">
        <v>735</v>
      </c>
      <c r="B36" s="1054">
        <f>SUM(B37:B39)</f>
        <v>2765199</v>
      </c>
      <c r="C36" s="1055"/>
      <c r="D36" s="1056"/>
      <c r="E36" s="1056"/>
      <c r="F36" s="1056">
        <f>SUM(F37:F39)</f>
        <v>2765199</v>
      </c>
      <c r="G36" s="1057">
        <f t="shared" si="1"/>
        <v>0</v>
      </c>
    </row>
    <row r="37" spans="1:7" s="625" customFormat="1" x14ac:dyDescent="0.2">
      <c r="A37" s="1314" t="s">
        <v>581</v>
      </c>
      <c r="B37" s="1050">
        <v>1009999</v>
      </c>
      <c r="C37" s="1032">
        <v>2021</v>
      </c>
      <c r="D37" s="1051"/>
      <c r="E37" s="1051"/>
      <c r="F37" s="1051">
        <v>1009999</v>
      </c>
      <c r="G37" s="1052">
        <f t="shared" si="1"/>
        <v>0</v>
      </c>
    </row>
    <row r="38" spans="1:7" s="626" customFormat="1" x14ac:dyDescent="0.2">
      <c r="A38" s="1315" t="s">
        <v>733</v>
      </c>
      <c r="B38" s="721">
        <v>967100</v>
      </c>
      <c r="C38" s="686">
        <v>2021</v>
      </c>
      <c r="D38" s="719"/>
      <c r="E38" s="719"/>
      <c r="F38" s="719">
        <v>967100</v>
      </c>
      <c r="G38" s="729">
        <f t="shared" si="1"/>
        <v>0</v>
      </c>
    </row>
    <row r="39" spans="1:7" s="626" customFormat="1" ht="27" customHeight="1" thickBot="1" x14ac:dyDescent="0.25">
      <c r="A39" s="1316" t="s">
        <v>909</v>
      </c>
      <c r="B39" s="730">
        <v>788100</v>
      </c>
      <c r="C39" s="691">
        <v>2021</v>
      </c>
      <c r="D39" s="731"/>
      <c r="E39" s="731"/>
      <c r="F39" s="731">
        <v>788100</v>
      </c>
      <c r="G39" s="732">
        <f t="shared" si="1"/>
        <v>0</v>
      </c>
    </row>
    <row r="40" spans="1:7" s="627" customFormat="1" ht="15.75" customHeight="1" thickBot="1" x14ac:dyDescent="0.25">
      <c r="A40" s="1317" t="s">
        <v>736</v>
      </c>
      <c r="B40" s="1148">
        <f>SUM(B41:B41)</f>
        <v>0</v>
      </c>
      <c r="C40" s="1149"/>
      <c r="D40" s="1150"/>
      <c r="E40" s="1151"/>
      <c r="F40" s="1148">
        <f>SUM(F41:F41)</f>
        <v>0</v>
      </c>
      <c r="G40" s="1152">
        <f t="shared" si="1"/>
        <v>0</v>
      </c>
    </row>
    <row r="41" spans="1:7" s="627" customFormat="1" ht="13.5" thickBot="1" x14ac:dyDescent="0.25">
      <c r="A41" s="1318"/>
      <c r="B41" s="1142"/>
      <c r="C41" s="1143"/>
      <c r="D41" s="1144"/>
      <c r="E41" s="1144"/>
      <c r="F41" s="1144"/>
      <c r="G41" s="1153">
        <f t="shared" si="1"/>
        <v>0</v>
      </c>
    </row>
    <row r="42" spans="1:7" s="628" customFormat="1" ht="15.75" customHeight="1" thickBot="1" x14ac:dyDescent="0.25">
      <c r="A42" s="1317" t="s">
        <v>737</v>
      </c>
      <c r="B42" s="1148">
        <f>SUM(B43:B43)</f>
        <v>800000</v>
      </c>
      <c r="C42" s="1154"/>
      <c r="D42" s="1148">
        <f>SUM(D43:D43)</f>
        <v>0</v>
      </c>
      <c r="E42" s="1148"/>
      <c r="F42" s="1148">
        <f>SUM(F43:F43)</f>
        <v>800000</v>
      </c>
      <c r="G42" s="651">
        <f t="shared" si="1"/>
        <v>0</v>
      </c>
    </row>
    <row r="43" spans="1:7" s="627" customFormat="1" ht="15.75" customHeight="1" thickBot="1" x14ac:dyDescent="0.25">
      <c r="A43" s="1319" t="s">
        <v>696</v>
      </c>
      <c r="B43" s="1136">
        <v>800000</v>
      </c>
      <c r="C43" s="1137">
        <v>2021</v>
      </c>
      <c r="D43" s="1138"/>
      <c r="E43" s="1138"/>
      <c r="F43" s="1138">
        <v>800000</v>
      </c>
      <c r="G43" s="1146">
        <f t="shared" si="1"/>
        <v>0</v>
      </c>
    </row>
    <row r="44" spans="1:7" s="626" customFormat="1" ht="15.75" customHeight="1" thickBot="1" x14ac:dyDescent="0.25">
      <c r="A44" s="1320" t="s">
        <v>738</v>
      </c>
      <c r="B44" s="1148">
        <f>SUM(B45:B52)</f>
        <v>59766146</v>
      </c>
      <c r="C44" s="1154"/>
      <c r="D44" s="1148">
        <f>SUM(D45:D52)</f>
        <v>0</v>
      </c>
      <c r="E44" s="1148"/>
      <c r="F44" s="1148">
        <f>SUM(F45:F52)</f>
        <v>59766146</v>
      </c>
      <c r="G44" s="651">
        <f t="shared" si="1"/>
        <v>0</v>
      </c>
    </row>
    <row r="45" spans="1:7" s="626" customFormat="1" ht="15.75" customHeight="1" x14ac:dyDescent="0.2">
      <c r="A45" s="1321" t="s">
        <v>698</v>
      </c>
      <c r="B45" s="1136">
        <v>2828812</v>
      </c>
      <c r="C45" s="1137">
        <v>2021</v>
      </c>
      <c r="D45" s="1138"/>
      <c r="E45" s="1138"/>
      <c r="F45" s="1138">
        <v>2828812</v>
      </c>
      <c r="G45" s="1145">
        <f t="shared" si="1"/>
        <v>0</v>
      </c>
    </row>
    <row r="46" spans="1:7" s="626" customFormat="1" ht="15.75" customHeight="1" x14ac:dyDescent="0.2">
      <c r="A46" s="1325" t="s">
        <v>1070</v>
      </c>
      <c r="B46" s="1139">
        <v>112338</v>
      </c>
      <c r="C46" s="1140" t="s">
        <v>941</v>
      </c>
      <c r="D46" s="1141"/>
      <c r="E46" s="1141"/>
      <c r="F46" s="1141">
        <v>112338</v>
      </c>
      <c r="G46" s="1397"/>
    </row>
    <row r="47" spans="1:7" s="648" customFormat="1" ht="15.75" customHeight="1" x14ac:dyDescent="0.2">
      <c r="A47" s="1325" t="s">
        <v>937</v>
      </c>
      <c r="B47" s="1139">
        <v>311150</v>
      </c>
      <c r="C47" s="1140">
        <v>2021</v>
      </c>
      <c r="D47" s="1141"/>
      <c r="E47" s="1141"/>
      <c r="F47" s="1141">
        <v>311150</v>
      </c>
      <c r="G47" s="1396">
        <f t="shared" si="1"/>
        <v>0</v>
      </c>
    </row>
    <row r="48" spans="1:7" s="628" customFormat="1" ht="15.75" customHeight="1" x14ac:dyDescent="0.2">
      <c r="A48" s="1325" t="s">
        <v>938</v>
      </c>
      <c r="B48" s="1422">
        <f>47083234+381000</f>
        <v>47464234</v>
      </c>
      <c r="C48" s="1140">
        <v>2021</v>
      </c>
      <c r="D48" s="1141"/>
      <c r="E48" s="1141"/>
      <c r="F48" s="1306">
        <f>47083234+381000</f>
        <v>47464234</v>
      </c>
      <c r="G48" s="1396">
        <f t="shared" si="1"/>
        <v>0</v>
      </c>
    </row>
    <row r="49" spans="1:7" s="628" customFormat="1" ht="15.75" customHeight="1" x14ac:dyDescent="0.2">
      <c r="A49" s="1322" t="s">
        <v>939</v>
      </c>
      <c r="B49" s="1139">
        <f>2197788+1</f>
        <v>2197789</v>
      </c>
      <c r="C49" s="1140">
        <v>2021</v>
      </c>
      <c r="D49" s="1141"/>
      <c r="E49" s="1141"/>
      <c r="F49" s="1141">
        <f>2197788+1</f>
        <v>2197789</v>
      </c>
      <c r="G49" s="1396">
        <f t="shared" si="1"/>
        <v>0</v>
      </c>
    </row>
    <row r="50" spans="1:7" s="628" customFormat="1" ht="15.75" customHeight="1" x14ac:dyDescent="0.2">
      <c r="A50" s="1322" t="s">
        <v>940</v>
      </c>
      <c r="B50" s="1139">
        <v>1631608</v>
      </c>
      <c r="C50" s="1140">
        <v>2021</v>
      </c>
      <c r="D50" s="1141"/>
      <c r="E50" s="1141"/>
      <c r="F50" s="1141">
        <v>1631608</v>
      </c>
      <c r="G50" s="1396">
        <f t="shared" si="1"/>
        <v>0</v>
      </c>
    </row>
    <row r="51" spans="1:7" s="628" customFormat="1" ht="15.75" customHeight="1" x14ac:dyDescent="0.2">
      <c r="A51" s="1323" t="s">
        <v>980</v>
      </c>
      <c r="B51" s="1136">
        <v>1201000</v>
      </c>
      <c r="C51" s="1137" t="s">
        <v>941</v>
      </c>
      <c r="D51" s="1138"/>
      <c r="E51" s="1138"/>
      <c r="F51" s="1138">
        <v>1201000</v>
      </c>
      <c r="G51" s="1212">
        <v>0</v>
      </c>
    </row>
    <row r="52" spans="1:7" s="628" customFormat="1" ht="15.75" customHeight="1" thickBot="1" x14ac:dyDescent="0.25">
      <c r="A52" s="1323" t="s">
        <v>940</v>
      </c>
      <c r="B52" s="1136">
        <v>4019215</v>
      </c>
      <c r="C52" s="1137">
        <v>2021</v>
      </c>
      <c r="D52" s="1138"/>
      <c r="E52" s="1138"/>
      <c r="F52" s="1138">
        <v>4019215</v>
      </c>
      <c r="G52" s="1146">
        <f t="shared" si="1"/>
        <v>0</v>
      </c>
    </row>
    <row r="53" spans="1:7" s="649" customFormat="1" ht="35.25" customHeight="1" thickBot="1" x14ac:dyDescent="0.25">
      <c r="A53" s="1324" t="s">
        <v>740</v>
      </c>
      <c r="B53" s="1148">
        <f>SUM(B54:B58)</f>
        <v>22542737</v>
      </c>
      <c r="C53" s="1154"/>
      <c r="D53" s="1148">
        <f>SUM(D54:D58)</f>
        <v>0</v>
      </c>
      <c r="E53" s="1148"/>
      <c r="F53" s="1148">
        <f>SUM(F54:F58)</f>
        <v>22542737</v>
      </c>
      <c r="G53" s="651">
        <f t="shared" si="1"/>
        <v>0</v>
      </c>
    </row>
    <row r="54" spans="1:7" s="628" customFormat="1" ht="21" customHeight="1" x14ac:dyDescent="0.2">
      <c r="A54" s="1408" t="s">
        <v>696</v>
      </c>
      <c r="B54" s="1409">
        <f>4720850-195000-300000</f>
        <v>4225850</v>
      </c>
      <c r="C54" s="1410" t="s">
        <v>941</v>
      </c>
      <c r="D54" s="1411"/>
      <c r="E54" s="1411"/>
      <c r="F54" s="1411">
        <f>4720850-195000-300000</f>
        <v>4225850</v>
      </c>
      <c r="G54" s="1145">
        <f t="shared" si="1"/>
        <v>0</v>
      </c>
    </row>
    <row r="55" spans="1:7" s="628" customFormat="1" ht="21" customHeight="1" x14ac:dyDescent="0.2">
      <c r="A55" s="1408" t="s">
        <v>581</v>
      </c>
      <c r="B55" s="1409">
        <v>300000</v>
      </c>
      <c r="C55" s="1410" t="s">
        <v>941</v>
      </c>
      <c r="D55" s="1411"/>
      <c r="E55" s="1411"/>
      <c r="F55" s="1411">
        <v>300000</v>
      </c>
      <c r="G55" s="1145"/>
    </row>
    <row r="56" spans="1:7" s="628" customFormat="1" ht="21" customHeight="1" x14ac:dyDescent="0.2">
      <c r="A56" s="1323" t="s">
        <v>942</v>
      </c>
      <c r="B56" s="1136">
        <f>1092200+101600</f>
        <v>1193800</v>
      </c>
      <c r="C56" s="1137" t="s">
        <v>802</v>
      </c>
      <c r="D56" s="1138">
        <v>0</v>
      </c>
      <c r="E56" s="1138"/>
      <c r="F56" s="1138">
        <f>1092200+101600</f>
        <v>1193800</v>
      </c>
      <c r="G56" s="1146"/>
    </row>
    <row r="57" spans="1:7" s="628" customFormat="1" ht="21" customHeight="1" x14ac:dyDescent="0.2">
      <c r="A57" s="1325" t="s">
        <v>943</v>
      </c>
      <c r="B57" s="1139">
        <f>8884581+9062206-1206500</f>
        <v>16740287</v>
      </c>
      <c r="C57" s="1140" t="s">
        <v>941</v>
      </c>
      <c r="D57" s="1306"/>
      <c r="E57" s="1307"/>
      <c r="F57" s="1139">
        <f>8884581+9062206-1206500</f>
        <v>16740287</v>
      </c>
      <c r="G57" s="1212"/>
    </row>
    <row r="58" spans="1:7" s="628" customFormat="1" ht="21" customHeight="1" thickBot="1" x14ac:dyDescent="0.25">
      <c r="A58" s="1323" t="s">
        <v>944</v>
      </c>
      <c r="B58" s="1136">
        <v>82800</v>
      </c>
      <c r="C58" s="1137" t="s">
        <v>941</v>
      </c>
      <c r="D58" s="1138"/>
      <c r="E58" s="1147"/>
      <c r="F58" s="1136">
        <v>82800</v>
      </c>
      <c r="G58" s="1146"/>
    </row>
    <row r="59" spans="1:7" s="626" customFormat="1" ht="21" customHeight="1" thickBot="1" x14ac:dyDescent="0.25">
      <c r="A59" s="1326" t="s">
        <v>739</v>
      </c>
      <c r="B59" s="1155">
        <f>SUM(B60:B62)</f>
        <v>3325800</v>
      </c>
      <c r="C59" s="1156"/>
      <c r="D59" s="1155">
        <f>SUM(D60:D60)</f>
        <v>0</v>
      </c>
      <c r="E59" s="1155"/>
      <c r="F59" s="1155">
        <f>SUM(F60:F62)</f>
        <v>3325800</v>
      </c>
      <c r="G59" s="1157">
        <f t="shared" ref="G59:G64" si="3">B59-D59-F59-E59</f>
        <v>0</v>
      </c>
    </row>
    <row r="60" spans="1:7" s="625" customFormat="1" ht="19.5" customHeight="1" x14ac:dyDescent="0.2">
      <c r="A60" s="1417" t="s">
        <v>945</v>
      </c>
      <c r="B60" s="1414">
        <v>75800</v>
      </c>
      <c r="C60" s="1206">
        <v>2021</v>
      </c>
      <c r="D60" s="1205"/>
      <c r="E60" s="1205"/>
      <c r="F60" s="1415">
        <v>75800</v>
      </c>
      <c r="G60" s="1175">
        <f t="shared" si="3"/>
        <v>0</v>
      </c>
    </row>
    <row r="61" spans="1:7" s="625" customFormat="1" ht="19.5" customHeight="1" x14ac:dyDescent="0.2">
      <c r="A61" s="1325" t="s">
        <v>967</v>
      </c>
      <c r="B61" s="1139">
        <f>200000+50000</f>
        <v>250000</v>
      </c>
      <c r="C61" s="1140" t="s">
        <v>941</v>
      </c>
      <c r="D61" s="1141"/>
      <c r="E61" s="1141"/>
      <c r="F61" s="1141">
        <f>200000+50000</f>
        <v>250000</v>
      </c>
      <c r="G61" s="1146"/>
    </row>
    <row r="62" spans="1:7" s="625" customFormat="1" ht="19.5" customHeight="1" thickBot="1" x14ac:dyDescent="0.25">
      <c r="A62" s="1416" t="s">
        <v>1085</v>
      </c>
      <c r="B62" s="1418">
        <v>3000000</v>
      </c>
      <c r="C62" s="1419" t="s">
        <v>804</v>
      </c>
      <c r="D62" s="1420"/>
      <c r="E62" s="1420"/>
      <c r="F62" s="1420">
        <v>3000000</v>
      </c>
      <c r="G62" s="1421"/>
    </row>
    <row r="63" spans="1:7" s="626" customFormat="1" ht="19.5" customHeight="1" thickBot="1" x14ac:dyDescent="0.25">
      <c r="A63" s="650" t="s">
        <v>695</v>
      </c>
      <c r="B63" s="1327">
        <f>B59+B53+B44+B42+B40+B36</f>
        <v>89199882</v>
      </c>
      <c r="C63" s="720"/>
      <c r="D63" s="720">
        <f>D59+D53+D44+D42+D40+D36</f>
        <v>0</v>
      </c>
      <c r="E63" s="720"/>
      <c r="F63" s="720">
        <f>F59+F53+F44+F42+F40+F36</f>
        <v>89199882</v>
      </c>
      <c r="G63" s="651">
        <f t="shared" si="3"/>
        <v>0</v>
      </c>
    </row>
    <row r="64" spans="1:7" s="626" customFormat="1" ht="19.5" customHeight="1" thickBot="1" x14ac:dyDescent="0.25">
      <c r="A64" s="650" t="s">
        <v>741</v>
      </c>
      <c r="B64" s="1327">
        <f>B63+B7</f>
        <v>1071447746</v>
      </c>
      <c r="C64" s="720"/>
      <c r="D64" s="720">
        <f>D63+D7</f>
        <v>68659507</v>
      </c>
      <c r="E64" s="720">
        <f>+E63+E7</f>
        <v>48414661</v>
      </c>
      <c r="F64" s="720">
        <f>F63+F7</f>
        <v>954373578</v>
      </c>
      <c r="G64" s="651">
        <f t="shared" si="3"/>
        <v>0</v>
      </c>
    </row>
    <row r="65" spans="6:6" x14ac:dyDescent="0.2">
      <c r="F65" s="626">
        <f>'1.1.sz.mell. '!C121</f>
        <v>954373578</v>
      </c>
    </row>
    <row r="66" spans="6:6" x14ac:dyDescent="0.2">
      <c r="F66" s="626">
        <f>F64-F65</f>
        <v>0</v>
      </c>
    </row>
  </sheetData>
  <mergeCells count="2">
    <mergeCell ref="A1:G1"/>
    <mergeCell ref="A3:G3"/>
  </mergeCells>
  <printOptions horizontalCentered="1"/>
  <pageMargins left="0.78740157480314965" right="0.78740157480314965" top="0.39370078740157483" bottom="0.39370078740157483" header="0" footer="0"/>
  <pageSetup paperSize="9" scale="57" fitToHeight="0" orientation="portrait" verticalDpi="300" r:id="rId1"/>
  <headerFooter alignWithMargins="0"/>
  <colBreaks count="1" manualBreakCount="1">
    <brk id="7" max="1048575" man="1"/>
  </col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4">
    <pageSetUpPr fitToPage="1"/>
  </sheetPr>
  <dimension ref="A1:H31"/>
  <sheetViews>
    <sheetView zoomScaleNormal="100" zoomScaleSheetLayoutView="115" workbookViewId="0">
      <selection activeCell="A2" sqref="A2"/>
    </sheetView>
  </sheetViews>
  <sheetFormatPr defaultRowHeight="12.75" x14ac:dyDescent="0.2"/>
  <cols>
    <col min="1" max="1" width="60.6640625" style="629" customWidth="1"/>
    <col min="2" max="2" width="15.6640625" style="630" customWidth="1"/>
    <col min="3" max="3" width="16.33203125" style="630" customWidth="1"/>
    <col min="4" max="5" width="18" style="630" customWidth="1"/>
    <col min="6" max="6" width="16.6640625" style="630" customWidth="1"/>
    <col min="7" max="7" width="18.83203125" style="630" customWidth="1"/>
    <col min="8" max="9" width="12.83203125" style="770" customWidth="1"/>
    <col min="10" max="10" width="13.83203125" style="770" customWidth="1"/>
    <col min="11" max="16384" width="9.33203125" style="770"/>
  </cols>
  <sheetData>
    <row r="1" spans="1:8" s="630" customFormat="1" ht="15.75" x14ac:dyDescent="0.2">
      <c r="A1" s="1459" t="str">
        <f>CONCATENATE("7. melléklet"," ",ALAPADATOK!A7," ",ALAPADATOK!B7," ",ALAPADATOK!C7," ",ALAPADATOK!D7," ",ALAPADATOK!E7," ",ALAPADATOK!F7," ",ALAPADATOK!G7," ",ALAPADATOK!H7)</f>
        <v>7. melléklet a 19 / 2021. ( XI.29. ) önkormányzati rendelethez</v>
      </c>
      <c r="B1" s="1459"/>
      <c r="C1" s="1459"/>
      <c r="D1" s="1459"/>
      <c r="E1" s="1459"/>
      <c r="F1" s="1459"/>
      <c r="G1" s="1459"/>
    </row>
    <row r="3" spans="1:8" ht="24.75" customHeight="1" x14ac:dyDescent="0.2">
      <c r="A3" s="1460" t="s">
        <v>5</v>
      </c>
      <c r="B3" s="1460"/>
      <c r="C3" s="1460"/>
      <c r="D3" s="1460"/>
      <c r="E3" s="1460"/>
      <c r="F3" s="1460"/>
      <c r="G3" s="1460"/>
    </row>
    <row r="4" spans="1:8" ht="23.25" customHeight="1" thickBot="1" x14ac:dyDescent="0.3">
      <c r="B4" s="1305"/>
      <c r="C4" s="1305"/>
      <c r="D4" s="1305"/>
      <c r="E4" s="1305"/>
      <c r="F4" s="1305"/>
      <c r="G4" s="1300"/>
    </row>
    <row r="5" spans="1:8" s="621" customFormat="1" ht="48.75" customHeight="1" thickBot="1" x14ac:dyDescent="0.25">
      <c r="A5" s="652" t="s">
        <v>1025</v>
      </c>
      <c r="B5" s="653" t="s">
        <v>61</v>
      </c>
      <c r="C5" s="653" t="s">
        <v>62</v>
      </c>
      <c r="D5" s="653" t="s">
        <v>816</v>
      </c>
      <c r="E5" s="431" t="s">
        <v>800</v>
      </c>
      <c r="F5" s="653" t="s">
        <v>796</v>
      </c>
      <c r="G5" s="654" t="s">
        <v>1002</v>
      </c>
      <c r="H5" s="279"/>
    </row>
    <row r="6" spans="1:8" s="676" customFormat="1" ht="15" customHeight="1" x14ac:dyDescent="0.2">
      <c r="A6" s="655">
        <v>1</v>
      </c>
      <c r="B6" s="656">
        <v>2</v>
      </c>
      <c r="C6" s="656">
        <v>3</v>
      </c>
      <c r="D6" s="656">
        <v>4</v>
      </c>
      <c r="E6" s="656">
        <v>5</v>
      </c>
      <c r="F6" s="656">
        <v>6</v>
      </c>
      <c r="G6" s="657">
        <v>7</v>
      </c>
    </row>
    <row r="7" spans="1:8" s="676" customFormat="1" ht="15" customHeight="1" x14ac:dyDescent="0.2">
      <c r="A7" s="1461" t="s">
        <v>598</v>
      </c>
      <c r="B7" s="1462"/>
      <c r="C7" s="1462"/>
      <c r="D7" s="1462"/>
      <c r="E7" s="1462"/>
      <c r="F7" s="1462"/>
      <c r="G7" s="1463"/>
    </row>
    <row r="8" spans="1:8" s="625" customFormat="1" ht="15.95" customHeight="1" x14ac:dyDescent="0.2">
      <c r="A8" s="1332" t="s">
        <v>684</v>
      </c>
      <c r="B8" s="1158">
        <f>80112238+101702816+14410</f>
        <v>181829464</v>
      </c>
      <c r="C8" s="686" t="s">
        <v>1005</v>
      </c>
      <c r="D8" s="687">
        <v>80000</v>
      </c>
      <c r="E8" s="687">
        <v>27198151</v>
      </c>
      <c r="F8" s="687">
        <f>80032238+101702816+14410</f>
        <v>181749464</v>
      </c>
      <c r="G8" s="689">
        <f>B8-D8-F8</f>
        <v>0</v>
      </c>
    </row>
    <row r="9" spans="1:8" ht="15.95" customHeight="1" x14ac:dyDescent="0.2">
      <c r="A9" s="1332" t="s">
        <v>582</v>
      </c>
      <c r="B9" s="1158">
        <v>6350000</v>
      </c>
      <c r="C9" s="686">
        <v>2021</v>
      </c>
      <c r="D9" s="687"/>
      <c r="E9" s="687"/>
      <c r="F9" s="687">
        <v>6350000</v>
      </c>
      <c r="G9" s="689">
        <f t="shared" ref="G9:G13" si="0">B9-D9-F9</f>
        <v>0</v>
      </c>
    </row>
    <row r="10" spans="1:8" s="318" customFormat="1" ht="15.95" customHeight="1" x14ac:dyDescent="0.2">
      <c r="A10" s="1332" t="s">
        <v>619</v>
      </c>
      <c r="B10" s="1158">
        <f>48292993+677185+322815+317500-202993-2424</f>
        <v>49405076</v>
      </c>
      <c r="C10" s="686" t="s">
        <v>617</v>
      </c>
      <c r="D10" s="687">
        <f>36051833-1206500+14559743</f>
        <v>49405076</v>
      </c>
      <c r="E10" s="687"/>
      <c r="F10" s="687">
        <v>0</v>
      </c>
      <c r="G10" s="689">
        <f t="shared" si="0"/>
        <v>0</v>
      </c>
    </row>
    <row r="11" spans="1:8" ht="15.95" customHeight="1" x14ac:dyDescent="0.2">
      <c r="A11" s="1332" t="s">
        <v>913</v>
      </c>
      <c r="B11" s="1158">
        <v>5080000</v>
      </c>
      <c r="C11" s="686" t="s">
        <v>911</v>
      </c>
      <c r="D11" s="687"/>
      <c r="E11" s="687"/>
      <c r="F11" s="687">
        <v>5080000</v>
      </c>
      <c r="G11" s="689">
        <f t="shared" si="0"/>
        <v>0</v>
      </c>
    </row>
    <row r="12" spans="1:8" ht="15.95" customHeight="1" x14ac:dyDescent="0.2">
      <c r="A12" s="1332" t="s">
        <v>910</v>
      </c>
      <c r="B12" s="1158">
        <v>1397000</v>
      </c>
      <c r="C12" s="686">
        <v>2021</v>
      </c>
      <c r="D12" s="687"/>
      <c r="E12" s="687"/>
      <c r="F12" s="687">
        <v>1397000</v>
      </c>
      <c r="G12" s="689">
        <f t="shared" si="0"/>
        <v>0</v>
      </c>
    </row>
    <row r="13" spans="1:8" x14ac:dyDescent="0.2">
      <c r="A13" s="1332" t="s">
        <v>734</v>
      </c>
      <c r="B13" s="1158">
        <v>0</v>
      </c>
      <c r="C13" s="686">
        <v>2021</v>
      </c>
      <c r="D13" s="687"/>
      <c r="E13" s="687"/>
      <c r="F13" s="687">
        <v>0</v>
      </c>
      <c r="G13" s="1204">
        <f t="shared" si="0"/>
        <v>0</v>
      </c>
    </row>
    <row r="14" spans="1:8" x14ac:dyDescent="0.2">
      <c r="A14" s="1332" t="s">
        <v>1073</v>
      </c>
      <c r="B14" s="1158">
        <f>4100000+1107000</f>
        <v>5207000</v>
      </c>
      <c r="C14" s="686" t="s">
        <v>941</v>
      </c>
      <c r="D14" s="687"/>
      <c r="E14" s="687"/>
      <c r="F14" s="1158">
        <f>4100000+1107000</f>
        <v>5207000</v>
      </c>
      <c r="G14" s="1204"/>
    </row>
    <row r="15" spans="1:8" x14ac:dyDescent="0.2">
      <c r="A15" s="1380" t="s">
        <v>1003</v>
      </c>
      <c r="B15" s="1158">
        <v>46014821</v>
      </c>
      <c r="C15" s="686" t="s">
        <v>911</v>
      </c>
      <c r="D15" s="687"/>
      <c r="E15" s="687"/>
      <c r="F15" s="687">
        <v>46014821</v>
      </c>
      <c r="G15" s="724">
        <f t="shared" ref="G15:G17" si="1">B15-D15-F15</f>
        <v>0</v>
      </c>
    </row>
    <row r="16" spans="1:8" x14ac:dyDescent="0.2">
      <c r="A16" s="1381" t="s">
        <v>1004</v>
      </c>
      <c r="B16" s="1158">
        <f>47940700-1062168-286785</f>
        <v>46591747</v>
      </c>
      <c r="C16" s="686" t="s">
        <v>804</v>
      </c>
      <c r="D16" s="687"/>
      <c r="E16" s="687"/>
      <c r="F16" s="687">
        <f>36786462+9805285</f>
        <v>46591747</v>
      </c>
      <c r="G16" s="724"/>
    </row>
    <row r="17" spans="1:7" x14ac:dyDescent="0.2">
      <c r="A17" s="1333" t="s">
        <v>787</v>
      </c>
      <c r="B17" s="1158">
        <f>216942416-800-853131-849509</f>
        <v>215238976</v>
      </c>
      <c r="C17" s="686" t="s">
        <v>803</v>
      </c>
      <c r="D17" s="687">
        <v>6286500</v>
      </c>
      <c r="E17" s="687"/>
      <c r="F17" s="687">
        <f>216942416-800-6286500-1702640</f>
        <v>208952476</v>
      </c>
      <c r="G17" s="724">
        <f t="shared" si="1"/>
        <v>0</v>
      </c>
    </row>
    <row r="18" spans="1:7" x14ac:dyDescent="0.2">
      <c r="A18" s="1333" t="s">
        <v>791</v>
      </c>
      <c r="B18" s="1158">
        <v>5627218</v>
      </c>
      <c r="C18" s="686" t="s">
        <v>912</v>
      </c>
      <c r="D18" s="687"/>
      <c r="E18" s="687"/>
      <c r="F18" s="687">
        <v>2813609</v>
      </c>
      <c r="G18" s="724">
        <f t="shared" ref="G18" si="2">B18-D18-F18</f>
        <v>2813609</v>
      </c>
    </row>
    <row r="19" spans="1:7" x14ac:dyDescent="0.2">
      <c r="A19" s="1333" t="s">
        <v>988</v>
      </c>
      <c r="B19" s="1158">
        <v>540000</v>
      </c>
      <c r="C19" s="686" t="s">
        <v>941</v>
      </c>
      <c r="D19" s="687"/>
      <c r="E19" s="687"/>
      <c r="F19" s="687">
        <v>540000</v>
      </c>
      <c r="G19" s="724"/>
    </row>
    <row r="20" spans="1:7" x14ac:dyDescent="0.2">
      <c r="A20" s="1333" t="s">
        <v>1072</v>
      </c>
      <c r="B20" s="1158">
        <f>6000+549500+148365</f>
        <v>703865</v>
      </c>
      <c r="C20" s="686" t="s">
        <v>941</v>
      </c>
      <c r="D20" s="687"/>
      <c r="E20" s="687"/>
      <c r="F20" s="687">
        <f>6000+549500+148365</f>
        <v>703865</v>
      </c>
      <c r="G20" s="1204"/>
    </row>
    <row r="21" spans="1:7" ht="25.5" x14ac:dyDescent="0.2">
      <c r="A21" s="1333" t="s">
        <v>998</v>
      </c>
      <c r="B21" s="1158">
        <f>586618264+158386931-1937394-523096</f>
        <v>742544705</v>
      </c>
      <c r="C21" s="686" t="s">
        <v>804</v>
      </c>
      <c r="D21" s="687"/>
      <c r="E21" s="687"/>
      <c r="F21" s="687">
        <f>586618264+158386931-1937394-523096</f>
        <v>742544705</v>
      </c>
      <c r="G21" s="724"/>
    </row>
    <row r="22" spans="1:7" ht="25.5" x14ac:dyDescent="0.2">
      <c r="A22" s="1333" t="s">
        <v>999</v>
      </c>
      <c r="B22" s="1158">
        <f>200000000-3871338-260000-1056062-40000-4081388+1671</f>
        <v>190692883</v>
      </c>
      <c r="C22" s="686" t="s">
        <v>804</v>
      </c>
      <c r="D22" s="687"/>
      <c r="E22" s="687">
        <f>39317017-1103646</f>
        <v>38213371</v>
      </c>
      <c r="F22" s="687">
        <f>153782518+1673065-4081388+1671</f>
        <v>151375866</v>
      </c>
      <c r="G22" s="724"/>
    </row>
    <row r="23" spans="1:7" ht="25.5" x14ac:dyDescent="0.2">
      <c r="A23" s="1333" t="s">
        <v>1000</v>
      </c>
      <c r="B23" s="1158">
        <v>50000000</v>
      </c>
      <c r="C23" s="686" t="s">
        <v>804</v>
      </c>
      <c r="D23" s="687"/>
      <c r="E23" s="687"/>
      <c r="F23" s="687">
        <f>39476378+10523622</f>
        <v>50000000</v>
      </c>
      <c r="G23" s="724"/>
    </row>
    <row r="24" spans="1:7" ht="25.5" x14ac:dyDescent="0.2">
      <c r="A24" s="1333" t="s">
        <v>1001</v>
      </c>
      <c r="B24" s="1158">
        <f>200000000-3871338-260000-1056062-40000-3788820-491783</f>
        <v>190491997</v>
      </c>
      <c r="C24" s="686" t="s">
        <v>804</v>
      </c>
      <c r="D24" s="687"/>
      <c r="E24" s="687"/>
      <c r="F24" s="687">
        <f>153782518+40990082-3788820-491783</f>
        <v>190491997</v>
      </c>
      <c r="G24" s="724"/>
    </row>
    <row r="25" spans="1:7" x14ac:dyDescent="0.2">
      <c r="A25" s="1334" t="s">
        <v>1087</v>
      </c>
      <c r="B25" s="1227">
        <v>295820280</v>
      </c>
      <c r="C25" s="1203" t="s">
        <v>1084</v>
      </c>
      <c r="D25" s="1228"/>
      <c r="E25" s="1228"/>
      <c r="F25" s="1228">
        <v>295820280</v>
      </c>
      <c r="G25" s="1204"/>
    </row>
    <row r="26" spans="1:7" x14ac:dyDescent="0.2">
      <c r="A26" s="1464" t="s">
        <v>947</v>
      </c>
      <c r="B26" s="1465"/>
      <c r="C26" s="1465"/>
      <c r="D26" s="1465"/>
      <c r="E26" s="1465"/>
      <c r="F26" s="1465"/>
      <c r="G26" s="1466"/>
    </row>
    <row r="27" spans="1:7" s="626" customFormat="1" ht="25.5" x14ac:dyDescent="0.2">
      <c r="A27" s="1224" t="s">
        <v>946</v>
      </c>
      <c r="B27" s="688">
        <v>1500722</v>
      </c>
      <c r="C27" s="686" t="s">
        <v>941</v>
      </c>
      <c r="D27" s="687"/>
      <c r="E27" s="687"/>
      <c r="F27" s="687">
        <v>1500722</v>
      </c>
      <c r="G27" s="690"/>
    </row>
    <row r="28" spans="1:7" x14ac:dyDescent="0.2">
      <c r="A28" s="1464" t="s">
        <v>0</v>
      </c>
      <c r="B28" s="1465"/>
      <c r="C28" s="1465"/>
      <c r="D28" s="1465"/>
      <c r="E28" s="1465"/>
      <c r="F28" s="1465"/>
      <c r="G28" s="1466"/>
    </row>
    <row r="29" spans="1:7" s="626" customFormat="1" ht="13.5" thickBot="1" x14ac:dyDescent="0.25">
      <c r="A29" s="1224" t="s">
        <v>697</v>
      </c>
      <c r="B29" s="1159">
        <v>1054700</v>
      </c>
      <c r="C29" s="1032" t="s">
        <v>802</v>
      </c>
      <c r="D29" s="1160">
        <v>737200</v>
      </c>
      <c r="E29" s="1160"/>
      <c r="F29" s="1160">
        <f>317500-317500</f>
        <v>0</v>
      </c>
      <c r="G29" s="690"/>
    </row>
    <row r="30" spans="1:7" ht="13.5" thickBot="1" x14ac:dyDescent="0.25">
      <c r="A30" s="622" t="s">
        <v>60</v>
      </c>
      <c r="B30" s="623">
        <f>SUM(B8:B29)</f>
        <v>2036090454</v>
      </c>
      <c r="C30" s="623"/>
      <c r="D30" s="623">
        <f>SUM(D8:D29)</f>
        <v>56508776</v>
      </c>
      <c r="E30" s="623">
        <f>SUM(E8:E29)</f>
        <v>65411522</v>
      </c>
      <c r="F30" s="623">
        <f>SUM(F8:F29)</f>
        <v>1937133552</v>
      </c>
      <c r="G30" s="624">
        <v>0</v>
      </c>
    </row>
    <row r="31" spans="1:7" x14ac:dyDescent="0.2">
      <c r="F31" s="630">
        <f>'1.1.sz.mell. '!C123</f>
        <v>1937133552</v>
      </c>
    </row>
  </sheetData>
  <mergeCells count="5">
    <mergeCell ref="A1:G1"/>
    <mergeCell ref="A3:G3"/>
    <mergeCell ref="A7:G7"/>
    <mergeCell ref="A26:G26"/>
    <mergeCell ref="A28:G28"/>
  </mergeCells>
  <printOptions horizontalCentered="1"/>
  <pageMargins left="0.7" right="0.7" top="0.75" bottom="0.75" header="0.3" footer="0.3"/>
  <pageSetup paperSize="9" scale="89" orientation="landscape" verticalDpi="300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5">
    <pageSetUpPr fitToPage="1"/>
  </sheetPr>
  <dimension ref="A1:H46"/>
  <sheetViews>
    <sheetView topLeftCell="A19" zoomScaleSheetLayoutView="85" workbookViewId="0">
      <selection activeCell="H33" sqref="H33"/>
    </sheetView>
  </sheetViews>
  <sheetFormatPr defaultColWidth="9.33203125" defaultRowHeight="12.75" x14ac:dyDescent="0.2"/>
  <cols>
    <col min="1" max="1" width="38.6640625" style="827" customWidth="1"/>
    <col min="2" max="5" width="13.83203125" style="827" customWidth="1"/>
    <col min="6" max="6" width="9.33203125" style="827"/>
    <col min="7" max="7" width="11.1640625" style="827" bestFit="1" customWidth="1"/>
    <col min="8" max="9" width="10.1640625" style="827" bestFit="1" customWidth="1"/>
    <col min="10" max="16384" width="9.33203125" style="827"/>
  </cols>
  <sheetData>
    <row r="1" spans="1:5" x14ac:dyDescent="0.2">
      <c r="A1" s="1467" t="str">
        <f>CONCATENATE("9. melléklet"," ",ALAPADATOK!A7," ",ALAPADATOK!B7," ",ALAPADATOK!C7," ",ALAPADATOK!D7," ",ALAPADATOK!E7," ",ALAPADATOK!F7," ",ALAPADATOK!G7," ",ALAPADATOK!H7)</f>
        <v>9. melléklet a 19 / 2021. ( XI.29. ) önkormányzati rendelethez</v>
      </c>
      <c r="B1" s="1467"/>
      <c r="C1" s="1467"/>
      <c r="D1" s="1467"/>
      <c r="E1" s="1467"/>
    </row>
    <row r="2" spans="1:5" x14ac:dyDescent="0.2">
      <c r="A2" s="766"/>
      <c r="B2" s="766"/>
      <c r="C2" s="766"/>
      <c r="D2" s="766"/>
      <c r="E2" s="766"/>
    </row>
    <row r="3" spans="1:5" ht="56.25" customHeight="1" x14ac:dyDescent="0.25">
      <c r="A3" s="1468" t="s">
        <v>616</v>
      </c>
      <c r="B3" s="1468"/>
      <c r="C3" s="1468"/>
      <c r="D3" s="1468"/>
      <c r="E3" s="1468"/>
    </row>
    <row r="4" spans="1:5" ht="13.5" customHeight="1" thickBot="1" x14ac:dyDescent="0.3">
      <c r="B4" s="1234"/>
      <c r="C4" s="1234"/>
      <c r="D4" s="1234"/>
      <c r="E4" s="1232" t="s">
        <v>502</v>
      </c>
    </row>
    <row r="5" spans="1:5" ht="15" customHeight="1" thickBot="1" x14ac:dyDescent="0.25">
      <c r="A5" s="782" t="s">
        <v>532</v>
      </c>
      <c r="B5" s="783" t="s">
        <v>805</v>
      </c>
      <c r="C5" s="783" t="s">
        <v>797</v>
      </c>
      <c r="D5" s="783" t="s">
        <v>806</v>
      </c>
      <c r="E5" s="784" t="s">
        <v>48</v>
      </c>
    </row>
    <row r="6" spans="1:5" x14ac:dyDescent="0.2">
      <c r="A6" s="752" t="s">
        <v>533</v>
      </c>
      <c r="B6" s="753">
        <v>77712</v>
      </c>
      <c r="C6" s="739">
        <v>141600</v>
      </c>
      <c r="D6" s="753"/>
      <c r="E6" s="754">
        <f>SUM(B6:D6)</f>
        <v>219312</v>
      </c>
    </row>
    <row r="7" spans="1:5" x14ac:dyDescent="0.2">
      <c r="A7" s="755" t="s">
        <v>534</v>
      </c>
      <c r="B7" s="756"/>
      <c r="C7" s="756"/>
      <c r="D7" s="756"/>
      <c r="E7" s="757">
        <f t="shared" ref="E7:E12" si="0">SUM(B7:D7)</f>
        <v>0</v>
      </c>
    </row>
    <row r="8" spans="1:5" x14ac:dyDescent="0.2">
      <c r="A8" s="758" t="s">
        <v>535</v>
      </c>
      <c r="B8" s="759">
        <f>15956160-159000</f>
        <v>15797160</v>
      </c>
      <c r="C8" s="759"/>
      <c r="D8" s="759"/>
      <c r="E8" s="760">
        <f t="shared" si="0"/>
        <v>15797160</v>
      </c>
    </row>
    <row r="9" spans="1:5" x14ac:dyDescent="0.2">
      <c r="A9" s="758" t="s">
        <v>536</v>
      </c>
      <c r="B9" s="759"/>
      <c r="C9" s="759"/>
      <c r="D9" s="759"/>
      <c r="E9" s="760">
        <f t="shared" si="0"/>
        <v>0</v>
      </c>
    </row>
    <row r="10" spans="1:5" x14ac:dyDescent="0.2">
      <c r="A10" s="758" t="s">
        <v>110</v>
      </c>
      <c r="B10" s="794"/>
      <c r="C10" s="759"/>
      <c r="D10" s="759"/>
      <c r="E10" s="760">
        <f t="shared" si="0"/>
        <v>0</v>
      </c>
    </row>
    <row r="11" spans="1:5" x14ac:dyDescent="0.2">
      <c r="A11" s="758" t="s">
        <v>537</v>
      </c>
      <c r="B11" s="759"/>
      <c r="C11" s="759"/>
      <c r="D11" s="759"/>
      <c r="E11" s="760">
        <f t="shared" si="0"/>
        <v>0</v>
      </c>
    </row>
    <row r="12" spans="1:5" ht="13.5" thickBot="1" x14ac:dyDescent="0.25">
      <c r="A12" s="761"/>
      <c r="B12" s="762"/>
      <c r="C12" s="762"/>
      <c r="D12" s="762"/>
      <c r="E12" s="760">
        <f t="shared" si="0"/>
        <v>0</v>
      </c>
    </row>
    <row r="13" spans="1:5" ht="13.5" thickBot="1" x14ac:dyDescent="0.25">
      <c r="A13" s="785" t="s">
        <v>538</v>
      </c>
      <c r="B13" s="763">
        <f>B6+SUM(B8:B12)</f>
        <v>15874872</v>
      </c>
      <c r="C13" s="763">
        <f>C6+SUM(C8:C12)</f>
        <v>141600</v>
      </c>
      <c r="D13" s="763">
        <f>D6+SUM(D8:D12)</f>
        <v>0</v>
      </c>
      <c r="E13" s="751">
        <f>SUM(E6:E12)</f>
        <v>16016472</v>
      </c>
    </row>
    <row r="14" spans="1:5" ht="13.5" thickBot="1" x14ac:dyDescent="0.25">
      <c r="A14" s="1162"/>
      <c r="B14" s="1162"/>
      <c r="C14" s="1162"/>
      <c r="D14" s="1162"/>
      <c r="E14" s="1162"/>
    </row>
    <row r="15" spans="1:5" ht="15" customHeight="1" thickBot="1" x14ac:dyDescent="0.25">
      <c r="A15" s="782" t="s">
        <v>539</v>
      </c>
      <c r="B15" s="783" t="s">
        <v>805</v>
      </c>
      <c r="C15" s="783" t="s">
        <v>797</v>
      </c>
      <c r="D15" s="783" t="s">
        <v>806</v>
      </c>
      <c r="E15" s="784" t="s">
        <v>48</v>
      </c>
    </row>
    <row r="16" spans="1:5" x14ac:dyDescent="0.2">
      <c r="A16" s="752" t="s">
        <v>540</v>
      </c>
      <c r="B16" s="753"/>
      <c r="C16" s="753"/>
      <c r="D16" s="753"/>
      <c r="E16" s="754">
        <f>SUM(B16:D16)</f>
        <v>0</v>
      </c>
    </row>
    <row r="17" spans="1:5" x14ac:dyDescent="0.2">
      <c r="A17" s="764" t="s">
        <v>541</v>
      </c>
      <c r="B17" s="759">
        <f>6978592+638160+5094120</f>
        <v>12710872</v>
      </c>
      <c r="C17" s="759">
        <v>95000</v>
      </c>
      <c r="D17" s="759"/>
      <c r="E17" s="760">
        <f t="shared" ref="E17:E22" si="1">SUM(B17:D17)</f>
        <v>12805872</v>
      </c>
    </row>
    <row r="18" spans="1:5" x14ac:dyDescent="0.2">
      <c r="A18" s="758" t="s">
        <v>542</v>
      </c>
      <c r="B18" s="759"/>
      <c r="C18" s="759">
        <v>46600</v>
      </c>
      <c r="D18" s="759"/>
      <c r="E18" s="760">
        <f t="shared" si="1"/>
        <v>46600</v>
      </c>
    </row>
    <row r="19" spans="1:5" x14ac:dyDescent="0.2">
      <c r="A19" s="758" t="s">
        <v>543</v>
      </c>
      <c r="B19" s="759"/>
      <c r="C19" s="759"/>
      <c r="D19" s="759"/>
      <c r="E19" s="760">
        <f t="shared" si="1"/>
        <v>0</v>
      </c>
    </row>
    <row r="20" spans="1:5" x14ac:dyDescent="0.2">
      <c r="A20" s="765" t="s">
        <v>544</v>
      </c>
      <c r="B20" s="759"/>
      <c r="C20" s="759"/>
      <c r="D20" s="759"/>
      <c r="E20" s="760">
        <f t="shared" si="1"/>
        <v>0</v>
      </c>
    </row>
    <row r="21" spans="1:5" x14ac:dyDescent="0.2">
      <c r="A21" s="765" t="s">
        <v>545</v>
      </c>
      <c r="B21" s="759">
        <v>3164000</v>
      </c>
      <c r="C21" s="759"/>
      <c r="D21" s="759"/>
      <c r="E21" s="760">
        <f t="shared" si="1"/>
        <v>3164000</v>
      </c>
    </row>
    <row r="22" spans="1:5" ht="13.5" thickBot="1" x14ac:dyDescent="0.25">
      <c r="A22" s="761"/>
      <c r="B22" s="762"/>
      <c r="C22" s="762"/>
      <c r="D22" s="762"/>
      <c r="E22" s="760">
        <f t="shared" si="1"/>
        <v>0</v>
      </c>
    </row>
    <row r="23" spans="1:5" ht="13.5" thickBot="1" x14ac:dyDescent="0.25">
      <c r="A23" s="785" t="s">
        <v>49</v>
      </c>
      <c r="B23" s="786">
        <f>SUM(B16:B22)</f>
        <v>15874872</v>
      </c>
      <c r="C23" s="786">
        <f>SUM(C16:C22)</f>
        <v>141600</v>
      </c>
      <c r="D23" s="786">
        <f>SUM(D16:D22)</f>
        <v>0</v>
      </c>
      <c r="E23" s="787">
        <f>SUM(E16:E22)</f>
        <v>16016472</v>
      </c>
    </row>
    <row r="24" spans="1:5" x14ac:dyDescent="0.2">
      <c r="A24" s="766"/>
      <c r="B24" s="766"/>
      <c r="C24" s="766"/>
      <c r="D24" s="766"/>
      <c r="E24" s="766"/>
    </row>
    <row r="25" spans="1:5" ht="51.75" customHeight="1" x14ac:dyDescent="0.25">
      <c r="A25" s="1468" t="s">
        <v>958</v>
      </c>
      <c r="B25" s="1468"/>
      <c r="C25" s="1468"/>
      <c r="D25" s="1468"/>
      <c r="E25" s="1468"/>
    </row>
    <row r="26" spans="1:5" ht="14.25" thickBot="1" x14ac:dyDescent="0.3">
      <c r="A26" s="766"/>
      <c r="B26" s="766"/>
      <c r="C26" s="766"/>
      <c r="D26" s="1234"/>
      <c r="E26" s="1232" t="s">
        <v>502</v>
      </c>
    </row>
    <row r="27" spans="1:5" ht="13.5" thickBot="1" x14ac:dyDescent="0.25">
      <c r="A27" s="782" t="s">
        <v>532</v>
      </c>
      <c r="B27" s="783" t="s">
        <v>805</v>
      </c>
      <c r="C27" s="783" t="s">
        <v>797</v>
      </c>
      <c r="D27" s="783" t="s">
        <v>806</v>
      </c>
      <c r="E27" s="784" t="s">
        <v>48</v>
      </c>
    </row>
    <row r="28" spans="1:5" x14ac:dyDescent="0.2">
      <c r="A28" s="752" t="s">
        <v>533</v>
      </c>
      <c r="B28" s="753">
        <f>2021904+1114507</f>
        <v>3136411</v>
      </c>
      <c r="C28" s="1181">
        <f>1000000+317500-1114507-202993+1</f>
        <v>1</v>
      </c>
      <c r="D28" s="753"/>
      <c r="E28" s="754">
        <f>SUM(B28:D28)</f>
        <v>3136412</v>
      </c>
    </row>
    <row r="29" spans="1:5" x14ac:dyDescent="0.2">
      <c r="A29" s="755" t="s">
        <v>534</v>
      </c>
      <c r="B29" s="756"/>
      <c r="C29" s="756"/>
      <c r="D29" s="756"/>
      <c r="E29" s="757">
        <f t="shared" ref="E29:E34" si="2">SUM(B29:D29)</f>
        <v>0</v>
      </c>
    </row>
    <row r="30" spans="1:5" x14ac:dyDescent="0.2">
      <c r="A30" s="758" t="s">
        <v>535</v>
      </c>
      <c r="B30" s="759">
        <f>66360408+41079881</f>
        <v>107440289</v>
      </c>
      <c r="C30" s="759">
        <f>72654520-41079881</f>
        <v>31574639</v>
      </c>
      <c r="D30" s="759"/>
      <c r="E30" s="760">
        <f t="shared" si="2"/>
        <v>139014928</v>
      </c>
    </row>
    <row r="31" spans="1:5" x14ac:dyDescent="0.2">
      <c r="A31" s="758" t="s">
        <v>536</v>
      </c>
      <c r="B31" s="759"/>
      <c r="C31" s="759"/>
      <c r="D31" s="759"/>
      <c r="E31" s="760">
        <f t="shared" si="2"/>
        <v>0</v>
      </c>
    </row>
    <row r="32" spans="1:5" x14ac:dyDescent="0.2">
      <c r="A32" s="758" t="s">
        <v>110</v>
      </c>
      <c r="B32" s="794"/>
      <c r="C32" s="759"/>
      <c r="D32" s="759"/>
      <c r="E32" s="760">
        <f t="shared" si="2"/>
        <v>0</v>
      </c>
    </row>
    <row r="33" spans="1:8" x14ac:dyDescent="0.2">
      <c r="A33" s="758" t="s">
        <v>537</v>
      </c>
      <c r="B33" s="759"/>
      <c r="C33" s="794"/>
      <c r="D33" s="759"/>
      <c r="E33" s="760">
        <f t="shared" si="2"/>
        <v>0</v>
      </c>
    </row>
    <row r="34" spans="1:8" ht="13.5" thickBot="1" x14ac:dyDescent="0.25">
      <c r="A34" s="761"/>
      <c r="B34" s="762"/>
      <c r="C34" s="762"/>
      <c r="D34" s="762"/>
      <c r="E34" s="760">
        <f t="shared" si="2"/>
        <v>0</v>
      </c>
    </row>
    <row r="35" spans="1:8" ht="13.5" thickBot="1" x14ac:dyDescent="0.25">
      <c r="A35" s="785" t="s">
        <v>538</v>
      </c>
      <c r="B35" s="763">
        <f>B28+SUM(B30:B34)</f>
        <v>110576700</v>
      </c>
      <c r="C35" s="763">
        <f>C28+SUM(C30:C34)</f>
        <v>31574640</v>
      </c>
      <c r="D35" s="763">
        <f>D28+SUM(D30:D34)</f>
        <v>0</v>
      </c>
      <c r="E35" s="751">
        <f>E28+SUM(E30:E34)</f>
        <v>142151340</v>
      </c>
    </row>
    <row r="36" spans="1:8" ht="13.5" thickBot="1" x14ac:dyDescent="0.25">
      <c r="A36" s="1162"/>
      <c r="B36" s="1162"/>
      <c r="C36" s="1162"/>
      <c r="D36" s="1162"/>
      <c r="E36" s="1162"/>
    </row>
    <row r="37" spans="1:8" ht="13.5" thickBot="1" x14ac:dyDescent="0.25">
      <c r="A37" s="782" t="s">
        <v>539</v>
      </c>
      <c r="B37" s="783" t="str">
        <f>B27</f>
        <v>2021. előtt</v>
      </c>
      <c r="C37" s="783" t="str">
        <f>C27</f>
        <v>2021.</v>
      </c>
      <c r="D37" s="783" t="str">
        <f>D27</f>
        <v>2021. után</v>
      </c>
      <c r="E37" s="784" t="s">
        <v>48</v>
      </c>
    </row>
    <row r="38" spans="1:8" x14ac:dyDescent="0.2">
      <c r="A38" s="752" t="s">
        <v>540</v>
      </c>
      <c r="B38" s="753">
        <f>3104854+2230710</f>
        <v>5335564</v>
      </c>
      <c r="C38" s="753">
        <f>4550402-2230710</f>
        <v>2319692</v>
      </c>
      <c r="D38" s="753"/>
      <c r="E38" s="754">
        <f t="shared" ref="E38:E44" si="3">SUM(B38:D38)</f>
        <v>7655256</v>
      </c>
    </row>
    <row r="39" spans="1:8" x14ac:dyDescent="0.2">
      <c r="A39" s="764" t="s">
        <v>812</v>
      </c>
      <c r="B39" s="759">
        <f>37347533-1206500+17287494+1114507</f>
        <v>54543034</v>
      </c>
      <c r="C39" s="449">
        <f>17650043+1000000+1206500+317500-17287494-1114507-202993+1</f>
        <v>1569050</v>
      </c>
      <c r="D39" s="759"/>
      <c r="E39" s="760">
        <f t="shared" si="3"/>
        <v>56112084</v>
      </c>
    </row>
    <row r="40" spans="1:8" x14ac:dyDescent="0.2">
      <c r="A40" s="758" t="s">
        <v>542</v>
      </c>
      <c r="B40" s="759">
        <f>4388001+1299999</f>
        <v>5688000</v>
      </c>
      <c r="C40" s="759">
        <f>4683999-1299999</f>
        <v>3384000</v>
      </c>
      <c r="D40" s="759"/>
      <c r="E40" s="760">
        <f t="shared" si="3"/>
        <v>9072000</v>
      </c>
    </row>
    <row r="41" spans="1:8" x14ac:dyDescent="0.2">
      <c r="A41" s="758" t="s">
        <v>543</v>
      </c>
      <c r="B41" s="759"/>
      <c r="C41" s="759"/>
      <c r="D41" s="759"/>
      <c r="E41" s="760">
        <f t="shared" si="3"/>
        <v>0</v>
      </c>
    </row>
    <row r="42" spans="1:8" x14ac:dyDescent="0.2">
      <c r="A42" s="765" t="s">
        <v>544</v>
      </c>
      <c r="B42" s="759"/>
      <c r="C42" s="759"/>
      <c r="D42" s="759"/>
      <c r="E42" s="760">
        <f t="shared" si="3"/>
        <v>0</v>
      </c>
    </row>
    <row r="43" spans="1:8" x14ac:dyDescent="0.2">
      <c r="A43" s="765" t="s">
        <v>545</v>
      </c>
      <c r="B43" s="794"/>
      <c r="C43" s="759"/>
      <c r="D43" s="759"/>
      <c r="E43" s="760">
        <f t="shared" si="3"/>
        <v>0</v>
      </c>
    </row>
    <row r="44" spans="1:8" ht="13.5" thickBot="1" x14ac:dyDescent="0.25">
      <c r="A44" s="761" t="s">
        <v>742</v>
      </c>
      <c r="B44" s="762">
        <f>4300000+18370000</f>
        <v>22670000</v>
      </c>
      <c r="C44" s="762">
        <f>65012000-18370000</f>
        <v>46642000</v>
      </c>
      <c r="D44" s="762"/>
      <c r="E44" s="760">
        <f t="shared" si="3"/>
        <v>69312000</v>
      </c>
    </row>
    <row r="45" spans="1:8" ht="13.5" thickBot="1" x14ac:dyDescent="0.25">
      <c r="A45" s="785" t="s">
        <v>49</v>
      </c>
      <c r="B45" s="786">
        <f>SUM(B38:B44)</f>
        <v>88236598</v>
      </c>
      <c r="C45" s="786">
        <f>SUM(C38:C44)</f>
        <v>53914742</v>
      </c>
      <c r="D45" s="786">
        <f>SUM(D38:D44)</f>
        <v>0</v>
      </c>
      <c r="E45" s="787">
        <f>SUM(E38:E44)</f>
        <v>142151340</v>
      </c>
      <c r="G45" s="735"/>
      <c r="H45" s="735"/>
    </row>
    <row r="46" spans="1:8" x14ac:dyDescent="0.2">
      <c r="A46" s="766"/>
      <c r="B46" s="766"/>
      <c r="C46" s="766"/>
      <c r="D46" s="766"/>
      <c r="E46" s="1164">
        <f>E35-E45</f>
        <v>0</v>
      </c>
    </row>
  </sheetData>
  <mergeCells count="3">
    <mergeCell ref="A1:E1"/>
    <mergeCell ref="A3:E3"/>
    <mergeCell ref="A25:E25"/>
  </mergeCells>
  <conditionalFormatting sqref="E6:E13 B13:D13 E16:E23 B23:D23">
    <cfRule type="cellIs" dxfId="57" priority="3" stopIfTrue="1" operator="equal">
      <formula>0</formula>
    </cfRule>
  </conditionalFormatting>
  <conditionalFormatting sqref="G45:H45">
    <cfRule type="cellIs" dxfId="56" priority="2" stopIfTrue="1" operator="equal">
      <formula>0</formula>
    </cfRule>
  </conditionalFormatting>
  <conditionalFormatting sqref="E28:E35 B35:D35 E38:E45 B45:D45">
    <cfRule type="cellIs" dxfId="55" priority="1" stopIfTrue="1" operator="equal">
      <formula>0</formula>
    </cfRule>
  </conditionalFormatting>
  <printOptions horizontalCentered="1"/>
  <pageMargins left="0.7" right="0.7" top="0.75" bottom="0.75" header="0.3" footer="0.3"/>
  <pageSetup paperSize="9" orientation="portrait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6">
    <pageSetUpPr fitToPage="1"/>
  </sheetPr>
  <dimension ref="A1:I48"/>
  <sheetViews>
    <sheetView topLeftCell="A25" zoomScaleSheetLayoutView="85" workbookViewId="0">
      <selection activeCell="I42" sqref="I42"/>
    </sheetView>
  </sheetViews>
  <sheetFormatPr defaultColWidth="9.33203125" defaultRowHeight="12.75" x14ac:dyDescent="0.2"/>
  <cols>
    <col min="1" max="1" width="38.6640625" style="827" customWidth="1"/>
    <col min="2" max="5" width="13.83203125" style="827" customWidth="1"/>
    <col min="6" max="6" width="9.33203125" style="827"/>
    <col min="7" max="7" width="10.1640625" style="827" bestFit="1" customWidth="1"/>
    <col min="8" max="16384" width="9.33203125" style="827"/>
  </cols>
  <sheetData>
    <row r="1" spans="1:5" x14ac:dyDescent="0.2">
      <c r="A1" s="1467" t="str">
        <f>CONCATENATE("9. melléklet"," ",ALAPADATOK!A7," ",ALAPADATOK!B7," ",ALAPADATOK!C7," ",ALAPADATOK!D7," ",ALAPADATOK!E7," ",ALAPADATOK!F7," ",ALAPADATOK!G7," ",ALAPADATOK!H7)</f>
        <v>9. melléklet a 19 / 2021. ( XI.29. ) önkormányzati rendelethez</v>
      </c>
      <c r="B1" s="1467"/>
      <c r="C1" s="1467"/>
      <c r="D1" s="1467"/>
      <c r="E1" s="1467"/>
    </row>
    <row r="2" spans="1:5" x14ac:dyDescent="0.2">
      <c r="A2" s="766"/>
      <c r="B2" s="766"/>
      <c r="C2" s="766"/>
      <c r="D2" s="766"/>
      <c r="E2" s="766"/>
    </row>
    <row r="3" spans="1:5" ht="40.5" customHeight="1" x14ac:dyDescent="0.2">
      <c r="A3" s="1470" t="s">
        <v>1074</v>
      </c>
      <c r="B3" s="1470"/>
      <c r="C3" s="1470"/>
      <c r="D3" s="1470"/>
      <c r="E3" s="1470"/>
    </row>
    <row r="4" spans="1:5" x14ac:dyDescent="0.2">
      <c r="A4" s="766"/>
      <c r="B4" s="766"/>
      <c r="C4" s="766"/>
      <c r="D4" s="766"/>
      <c r="E4" s="766"/>
    </row>
    <row r="5" spans="1:5" ht="57" customHeight="1" x14ac:dyDescent="0.25">
      <c r="A5" s="1468" t="s">
        <v>699</v>
      </c>
      <c r="B5" s="1468"/>
      <c r="C5" s="1468"/>
      <c r="D5" s="1468"/>
      <c r="E5" s="1468"/>
    </row>
    <row r="6" spans="1:5" ht="14.25" thickBot="1" x14ac:dyDescent="0.3">
      <c r="A6" s="737"/>
      <c r="B6" s="737"/>
      <c r="C6" s="737"/>
      <c r="D6" s="1469" t="s">
        <v>502</v>
      </c>
      <c r="E6" s="1469"/>
    </row>
    <row r="7" spans="1:5" ht="15" customHeight="1" thickBot="1" x14ac:dyDescent="0.25">
      <c r="A7" s="782" t="s">
        <v>532</v>
      </c>
      <c r="B7" s="783" t="s">
        <v>805</v>
      </c>
      <c r="C7" s="783" t="s">
        <v>797</v>
      </c>
      <c r="D7" s="783" t="s">
        <v>806</v>
      </c>
      <c r="E7" s="784" t="s">
        <v>48</v>
      </c>
    </row>
    <row r="8" spans="1:5" x14ac:dyDescent="0.2">
      <c r="A8" s="738" t="s">
        <v>533</v>
      </c>
      <c r="B8" s="739"/>
      <c r="C8" s="739"/>
      <c r="D8" s="739"/>
      <c r="E8" s="740">
        <f>B8+C8+D8</f>
        <v>0</v>
      </c>
    </row>
    <row r="9" spans="1:5" x14ac:dyDescent="0.2">
      <c r="A9" s="741" t="s">
        <v>534</v>
      </c>
      <c r="B9" s="742"/>
      <c r="C9" s="742"/>
      <c r="D9" s="742"/>
      <c r="E9" s="743">
        <f t="shared" ref="E9:E14" si="0">B9+C9+D9</f>
        <v>0</v>
      </c>
    </row>
    <row r="10" spans="1:5" x14ac:dyDescent="0.2">
      <c r="A10" s="744" t="s">
        <v>535</v>
      </c>
      <c r="B10" s="794">
        <v>5715000</v>
      </c>
      <c r="C10" s="794">
        <v>25776050</v>
      </c>
      <c r="D10" s="794"/>
      <c r="E10" s="795">
        <f t="shared" si="0"/>
        <v>31491050</v>
      </c>
    </row>
    <row r="11" spans="1:5" x14ac:dyDescent="0.2">
      <c r="A11" s="744" t="s">
        <v>536</v>
      </c>
      <c r="B11" s="794"/>
      <c r="C11" s="794"/>
      <c r="D11" s="794"/>
      <c r="E11" s="795">
        <f t="shared" si="0"/>
        <v>0</v>
      </c>
    </row>
    <row r="12" spans="1:5" x14ac:dyDescent="0.2">
      <c r="A12" s="744" t="s">
        <v>110</v>
      </c>
      <c r="B12" s="794"/>
      <c r="C12" s="794"/>
      <c r="D12" s="794"/>
      <c r="E12" s="795">
        <f t="shared" si="0"/>
        <v>0</v>
      </c>
    </row>
    <row r="13" spans="1:5" x14ac:dyDescent="0.2">
      <c r="A13" s="744" t="s">
        <v>537</v>
      </c>
      <c r="B13" s="794"/>
      <c r="C13" s="794"/>
      <c r="D13" s="794"/>
      <c r="E13" s="795">
        <f t="shared" si="0"/>
        <v>0</v>
      </c>
    </row>
    <row r="14" spans="1:5" ht="13.5" thickBot="1" x14ac:dyDescent="0.25">
      <c r="A14" s="745"/>
      <c r="B14" s="796"/>
      <c r="C14" s="796"/>
      <c r="D14" s="796"/>
      <c r="E14" s="795">
        <f t="shared" si="0"/>
        <v>0</v>
      </c>
    </row>
    <row r="15" spans="1:5" ht="13.5" thickBot="1" x14ac:dyDescent="0.25">
      <c r="A15" s="785" t="s">
        <v>538</v>
      </c>
      <c r="B15" s="786">
        <f>B8+SUM(B10:B14)</f>
        <v>5715000</v>
      </c>
      <c r="C15" s="786">
        <f>C8+SUM(C10:C14)</f>
        <v>25776050</v>
      </c>
      <c r="D15" s="786">
        <f>D8+SUM(D10:D14)</f>
        <v>0</v>
      </c>
      <c r="E15" s="787">
        <f>E8+SUM(E10:E14)</f>
        <v>31491050</v>
      </c>
    </row>
    <row r="16" spans="1:5" ht="13.5" thickBot="1" x14ac:dyDescent="0.25">
      <c r="A16" s="746"/>
      <c r="B16" s="746"/>
      <c r="C16" s="746"/>
      <c r="D16" s="746"/>
      <c r="E16" s="746"/>
    </row>
    <row r="17" spans="1:9" ht="15" customHeight="1" thickBot="1" x14ac:dyDescent="0.25">
      <c r="A17" s="782" t="s">
        <v>539</v>
      </c>
      <c r="B17" s="783" t="str">
        <f>B7</f>
        <v>2021. előtt</v>
      </c>
      <c r="C17" s="783" t="str">
        <f t="shared" ref="C17:E17" si="1">C7</f>
        <v>2021.</v>
      </c>
      <c r="D17" s="783" t="str">
        <f t="shared" si="1"/>
        <v>2021. után</v>
      </c>
      <c r="E17" s="783" t="str">
        <f t="shared" si="1"/>
        <v>Összesen</v>
      </c>
    </row>
    <row r="18" spans="1:9" x14ac:dyDescent="0.2">
      <c r="A18" s="738" t="s">
        <v>540</v>
      </c>
      <c r="B18" s="739"/>
      <c r="C18" s="739"/>
      <c r="D18" s="739"/>
      <c r="E18" s="740">
        <f t="shared" ref="E18:E24" si="2">B18+C18+D18</f>
        <v>0</v>
      </c>
    </row>
    <row r="19" spans="1:9" x14ac:dyDescent="0.2">
      <c r="A19" s="747" t="s">
        <v>541</v>
      </c>
      <c r="B19" s="794">
        <f>1270000+1270000+3175000</f>
        <v>5715000</v>
      </c>
      <c r="C19" s="794">
        <f>203200+88900+1143000+406400+203200+381000+127000+254000+127000+635000+457200</f>
        <v>4025900</v>
      </c>
      <c r="D19" s="794"/>
      <c r="E19" s="795">
        <f t="shared" si="2"/>
        <v>9740900</v>
      </c>
    </row>
    <row r="20" spans="1:9" x14ac:dyDescent="0.2">
      <c r="A20" s="744" t="s">
        <v>542</v>
      </c>
      <c r="B20" s="794">
        <f>40640+175386+2833050</f>
        <v>3049076</v>
      </c>
      <c r="C20" s="794">
        <f>381000+381000+406400+406400+701544+45720+243840+4840000+2800000</f>
        <v>10205904</v>
      </c>
      <c r="D20" s="794">
        <f>381000+381000+406400+406400+526170+203200+135000+5300000</f>
        <v>7739170</v>
      </c>
      <c r="E20" s="795">
        <f t="shared" si="2"/>
        <v>20994150</v>
      </c>
    </row>
    <row r="21" spans="1:9" x14ac:dyDescent="0.2">
      <c r="A21" s="744" t="s">
        <v>543</v>
      </c>
      <c r="B21" s="794"/>
      <c r="C21" s="794"/>
      <c r="D21" s="794"/>
      <c r="E21" s="795">
        <f t="shared" si="2"/>
        <v>0</v>
      </c>
    </row>
    <row r="22" spans="1:9" x14ac:dyDescent="0.2">
      <c r="A22" s="748" t="s">
        <v>544</v>
      </c>
      <c r="B22" s="794"/>
      <c r="C22" s="794">
        <v>756000</v>
      </c>
      <c r="D22" s="794"/>
      <c r="E22" s="795">
        <f t="shared" si="2"/>
        <v>756000</v>
      </c>
    </row>
    <row r="23" spans="1:9" x14ac:dyDescent="0.2">
      <c r="A23" s="748" t="s">
        <v>545</v>
      </c>
      <c r="B23" s="794"/>
      <c r="C23" s="794"/>
      <c r="D23" s="794"/>
      <c r="E23" s="795">
        <f t="shared" si="2"/>
        <v>0</v>
      </c>
    </row>
    <row r="24" spans="1:9" ht="13.5" thickBot="1" x14ac:dyDescent="0.25">
      <c r="A24" s="745"/>
      <c r="B24" s="796"/>
      <c r="C24" s="796"/>
      <c r="D24" s="796"/>
      <c r="E24" s="795">
        <f t="shared" si="2"/>
        <v>0</v>
      </c>
    </row>
    <row r="25" spans="1:9" ht="13.5" thickBot="1" x14ac:dyDescent="0.25">
      <c r="A25" s="785" t="s">
        <v>49</v>
      </c>
      <c r="B25" s="786">
        <f>SUM(B18:B24)</f>
        <v>8764076</v>
      </c>
      <c r="C25" s="786">
        <f>SUM(C18:C24)</f>
        <v>14987804</v>
      </c>
      <c r="D25" s="786">
        <f>SUM(D18:D24)</f>
        <v>7739170</v>
      </c>
      <c r="E25" s="787">
        <f>SUM(E18:E24)</f>
        <v>31491050</v>
      </c>
      <c r="G25" s="736"/>
      <c r="H25" s="736"/>
      <c r="I25" s="736"/>
    </row>
    <row r="26" spans="1:9" x14ac:dyDescent="0.2">
      <c r="A26" s="766"/>
      <c r="B26" s="766"/>
      <c r="C26" s="766"/>
      <c r="D26" s="766"/>
      <c r="E26" s="766"/>
    </row>
    <row r="27" spans="1:9" ht="48.75" customHeight="1" x14ac:dyDescent="0.25">
      <c r="A27" s="1468" t="s">
        <v>700</v>
      </c>
      <c r="B27" s="1468"/>
      <c r="C27" s="1468"/>
      <c r="D27" s="1468"/>
      <c r="E27" s="1468"/>
    </row>
    <row r="28" spans="1:9" ht="14.25" thickBot="1" x14ac:dyDescent="0.3">
      <c r="A28" s="737"/>
      <c r="B28" s="737"/>
      <c r="C28" s="737"/>
      <c r="D28" s="1469" t="s">
        <v>502</v>
      </c>
      <c r="E28" s="1469"/>
    </row>
    <row r="29" spans="1:9" ht="13.5" thickBot="1" x14ac:dyDescent="0.25">
      <c r="A29" s="782" t="s">
        <v>532</v>
      </c>
      <c r="B29" s="783" t="s">
        <v>805</v>
      </c>
      <c r="C29" s="783" t="s">
        <v>797</v>
      </c>
      <c r="D29" s="783" t="s">
        <v>806</v>
      </c>
      <c r="E29" s="784" t="s">
        <v>48</v>
      </c>
    </row>
    <row r="30" spans="1:9" x14ac:dyDescent="0.2">
      <c r="A30" s="738" t="s">
        <v>533</v>
      </c>
      <c r="B30" s="739"/>
      <c r="C30" s="739"/>
      <c r="D30" s="739"/>
      <c r="E30" s="740">
        <f>B30+C30+D30</f>
        <v>0</v>
      </c>
    </row>
    <row r="31" spans="1:9" x14ac:dyDescent="0.2">
      <c r="A31" s="741" t="s">
        <v>534</v>
      </c>
      <c r="B31" s="742"/>
      <c r="C31" s="742"/>
      <c r="D31" s="742"/>
      <c r="E31" s="743">
        <f t="shared" ref="E31:E36" si="3">B31+C31+D31</f>
        <v>0</v>
      </c>
    </row>
    <row r="32" spans="1:9" x14ac:dyDescent="0.2">
      <c r="A32" s="744" t="s">
        <v>535</v>
      </c>
      <c r="B32" s="794"/>
      <c r="C32" s="794">
        <f>69613780+5168705</f>
        <v>74782485</v>
      </c>
      <c r="D32" s="794"/>
      <c r="E32" s="795">
        <f t="shared" si="3"/>
        <v>74782485</v>
      </c>
    </row>
    <row r="33" spans="1:5" x14ac:dyDescent="0.2">
      <c r="A33" s="744" t="s">
        <v>536</v>
      </c>
      <c r="B33" s="794"/>
      <c r="C33" s="794"/>
      <c r="D33" s="794"/>
      <c r="E33" s="795">
        <f t="shared" si="3"/>
        <v>0</v>
      </c>
    </row>
    <row r="34" spans="1:5" x14ac:dyDescent="0.2">
      <c r="A34" s="744" t="s">
        <v>110</v>
      </c>
      <c r="B34" s="794"/>
      <c r="C34" s="794"/>
      <c r="D34" s="794"/>
      <c r="E34" s="795">
        <f t="shared" si="3"/>
        <v>0</v>
      </c>
    </row>
    <row r="35" spans="1:5" x14ac:dyDescent="0.2">
      <c r="A35" s="744" t="s">
        <v>537</v>
      </c>
      <c r="B35" s="794"/>
      <c r="C35" s="794"/>
      <c r="D35" s="794"/>
      <c r="E35" s="795">
        <f t="shared" si="3"/>
        <v>0</v>
      </c>
    </row>
    <row r="36" spans="1:5" ht="13.5" thickBot="1" x14ac:dyDescent="0.25">
      <c r="A36" s="745"/>
      <c r="B36" s="796"/>
      <c r="C36" s="796"/>
      <c r="D36" s="796"/>
      <c r="E36" s="795">
        <f t="shared" si="3"/>
        <v>0</v>
      </c>
    </row>
    <row r="37" spans="1:5" ht="13.5" thickBot="1" x14ac:dyDescent="0.25">
      <c r="A37" s="785" t="s">
        <v>538</v>
      </c>
      <c r="B37" s="786">
        <f>B30+SUM(B32:B36)</f>
        <v>0</v>
      </c>
      <c r="C37" s="786">
        <f>C30+SUM(C32:C36)</f>
        <v>74782485</v>
      </c>
      <c r="D37" s="786">
        <f>D30+SUM(D32:D36)</f>
        <v>0</v>
      </c>
      <c r="E37" s="787">
        <f>E30+SUM(E32:E36)</f>
        <v>74782485</v>
      </c>
    </row>
    <row r="38" spans="1:5" ht="13.5" thickBot="1" x14ac:dyDescent="0.25">
      <c r="A38" s="746"/>
      <c r="B38" s="746"/>
      <c r="C38" s="746"/>
      <c r="D38" s="746"/>
      <c r="E38" s="746"/>
    </row>
    <row r="39" spans="1:5" ht="13.5" thickBot="1" x14ac:dyDescent="0.25">
      <c r="A39" s="782" t="s">
        <v>539</v>
      </c>
      <c r="B39" s="783" t="s">
        <v>805</v>
      </c>
      <c r="C39" s="783" t="s">
        <v>797</v>
      </c>
      <c r="D39" s="783" t="s">
        <v>806</v>
      </c>
      <c r="E39" s="784" t="s">
        <v>48</v>
      </c>
    </row>
    <row r="40" spans="1:5" x14ac:dyDescent="0.2">
      <c r="A40" s="738" t="s">
        <v>540</v>
      </c>
      <c r="B40" s="739">
        <v>1421258</v>
      </c>
      <c r="C40" s="1181">
        <f>62837360+3049440+820163</f>
        <v>66706963</v>
      </c>
      <c r="D40" s="739"/>
      <c r="E40" s="740">
        <f t="shared" ref="E40:E46" si="4">B40+C40+D40</f>
        <v>68128221</v>
      </c>
    </row>
    <row r="41" spans="1:5" x14ac:dyDescent="0.2">
      <c r="A41" s="747" t="s">
        <v>541</v>
      </c>
      <c r="B41" s="794"/>
      <c r="C41" s="794">
        <f>1092200+101600+2057400</f>
        <v>3251200</v>
      </c>
      <c r="D41" s="794"/>
      <c r="E41" s="795">
        <f t="shared" si="4"/>
        <v>3251200</v>
      </c>
    </row>
    <row r="42" spans="1:5" x14ac:dyDescent="0.2">
      <c r="A42" s="744" t="s">
        <v>542</v>
      </c>
      <c r="B42" s="794">
        <v>1040000</v>
      </c>
      <c r="C42" s="449">
        <f>8290067-2057400-3869603</f>
        <v>2363064</v>
      </c>
      <c r="D42" s="794"/>
      <c r="E42" s="795">
        <f t="shared" si="4"/>
        <v>3403064</v>
      </c>
    </row>
    <row r="43" spans="1:5" x14ac:dyDescent="0.2">
      <c r="A43" s="744" t="s">
        <v>543</v>
      </c>
      <c r="B43" s="794"/>
      <c r="C43" s="794"/>
      <c r="D43" s="794"/>
      <c r="E43" s="795">
        <f t="shared" si="4"/>
        <v>0</v>
      </c>
    </row>
    <row r="44" spans="1:5" x14ac:dyDescent="0.2">
      <c r="A44" s="748" t="s">
        <v>544</v>
      </c>
      <c r="B44" s="794"/>
      <c r="C44" s="794"/>
      <c r="D44" s="794"/>
      <c r="E44" s="795">
        <f t="shared" si="4"/>
        <v>0</v>
      </c>
    </row>
    <row r="45" spans="1:5" x14ac:dyDescent="0.2">
      <c r="A45" s="748" t="s">
        <v>545</v>
      </c>
      <c r="B45" s="794"/>
      <c r="C45" s="794"/>
      <c r="D45" s="794"/>
      <c r="E45" s="795">
        <f t="shared" si="4"/>
        <v>0</v>
      </c>
    </row>
    <row r="46" spans="1:5" ht="13.5" thickBot="1" x14ac:dyDescent="0.25">
      <c r="A46" s="745"/>
      <c r="B46" s="796"/>
      <c r="C46" s="796"/>
      <c r="D46" s="796"/>
      <c r="E46" s="795">
        <f t="shared" si="4"/>
        <v>0</v>
      </c>
    </row>
    <row r="47" spans="1:5" ht="13.5" thickBot="1" x14ac:dyDescent="0.25">
      <c r="A47" s="785" t="s">
        <v>49</v>
      </c>
      <c r="B47" s="786">
        <f>SUM(B40:B46)</f>
        <v>2461258</v>
      </c>
      <c r="C47" s="786">
        <f>SUM(C40:C46)</f>
        <v>72321227</v>
      </c>
      <c r="D47" s="786">
        <f>SUM(D40:D46)</f>
        <v>0</v>
      </c>
      <c r="E47" s="787">
        <f>SUM(E40:E46)</f>
        <v>74782485</v>
      </c>
    </row>
    <row r="48" spans="1:5" x14ac:dyDescent="0.2">
      <c r="A48" s="766"/>
      <c r="B48" s="766"/>
      <c r="C48" s="766"/>
      <c r="D48" s="766"/>
      <c r="E48" s="766"/>
    </row>
  </sheetData>
  <mergeCells count="6">
    <mergeCell ref="A1:E1"/>
    <mergeCell ref="A5:E5"/>
    <mergeCell ref="D6:E6"/>
    <mergeCell ref="A27:E27"/>
    <mergeCell ref="D28:E28"/>
    <mergeCell ref="A3:E3"/>
  </mergeCells>
  <conditionalFormatting sqref="G25:I25">
    <cfRule type="cellIs" dxfId="54" priority="6" stopIfTrue="1" operator="equal">
      <formula>0</formula>
    </cfRule>
  </conditionalFormatting>
  <conditionalFormatting sqref="E8:E15 B15:D15 B25:E25 E18:E24">
    <cfRule type="cellIs" dxfId="53" priority="2" stopIfTrue="1" operator="equal">
      <formula>0</formula>
    </cfRule>
  </conditionalFormatting>
  <conditionalFormatting sqref="E30:E37 B37:D37 B47:E47 E40:E46">
    <cfRule type="cellIs" dxfId="52" priority="1" stopIfTrue="1" operator="equal">
      <formula>0</formula>
    </cfRule>
  </conditionalFormatting>
  <printOptions horizontalCentered="1"/>
  <pageMargins left="0.7" right="0.7" top="0.75" bottom="0.75" header="0.3" footer="0.3"/>
  <pageSetup paperSize="9" orientation="portrait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7">
    <pageSetUpPr fitToPage="1"/>
  </sheetPr>
  <dimension ref="A1:G41"/>
  <sheetViews>
    <sheetView zoomScaleSheetLayoutView="115" workbookViewId="0">
      <selection activeCell="H17" sqref="H17"/>
    </sheetView>
  </sheetViews>
  <sheetFormatPr defaultColWidth="9.33203125" defaultRowHeight="12.75" x14ac:dyDescent="0.2"/>
  <cols>
    <col min="1" max="1" width="38.6640625" style="826" customWidth="1"/>
    <col min="2" max="5" width="13.83203125" style="826" customWidth="1"/>
    <col min="6" max="6" width="9.33203125" style="826"/>
    <col min="7" max="7" width="10.1640625" style="826" bestFit="1" customWidth="1"/>
    <col min="8" max="16384" width="9.33203125" style="826"/>
  </cols>
  <sheetData>
    <row r="1" spans="1:5" x14ac:dyDescent="0.2">
      <c r="A1" s="1471" t="str">
        <f>CONCATENATE("10. melléklet ",ALAPADATOK!A7," ",ALAPADATOK!B7," ",ALAPADATOK!C7," ",ALAPADATOK!D7," ",ALAPADATOK!E7," ",ALAPADATOK!F7," ",ALAPADATOK!G7," ",ALAPADATOK!H7)</f>
        <v>10. melléklet a 19 / 2021. ( XI.29. ) önkormányzati rendelethez</v>
      </c>
      <c r="B1" s="1471"/>
      <c r="C1" s="1471"/>
      <c r="D1" s="1471"/>
      <c r="E1" s="1471"/>
    </row>
    <row r="2" spans="1:5" x14ac:dyDescent="0.2">
      <c r="A2" s="825"/>
      <c r="B2" s="825"/>
      <c r="C2" s="825"/>
      <c r="D2" s="825"/>
      <c r="E2" s="825"/>
    </row>
    <row r="3" spans="1:5" ht="38.25" customHeight="1" x14ac:dyDescent="0.25">
      <c r="A3" s="1468" t="s">
        <v>1027</v>
      </c>
      <c r="B3" s="1468"/>
      <c r="C3" s="1468"/>
      <c r="D3" s="1468"/>
      <c r="E3" s="1468"/>
    </row>
    <row r="4" spans="1:5" x14ac:dyDescent="0.2">
      <c r="A4" s="825"/>
      <c r="B4" s="825"/>
      <c r="C4" s="825"/>
      <c r="D4" s="825"/>
      <c r="E4" s="825"/>
    </row>
    <row r="5" spans="1:5" ht="56.25" customHeight="1" thickBot="1" x14ac:dyDescent="0.3">
      <c r="A5" s="1468" t="s">
        <v>1028</v>
      </c>
      <c r="B5" s="1468"/>
      <c r="C5" s="1468"/>
      <c r="D5" s="1468"/>
      <c r="E5" s="1468"/>
    </row>
    <row r="6" spans="1:5" ht="15" customHeight="1" thickBot="1" x14ac:dyDescent="0.25">
      <c r="A6" s="782" t="s">
        <v>532</v>
      </c>
      <c r="B6" s="783" t="s">
        <v>805</v>
      </c>
      <c r="C6" s="783" t="s">
        <v>797</v>
      </c>
      <c r="D6" s="783" t="s">
        <v>806</v>
      </c>
      <c r="E6" s="784" t="s">
        <v>48</v>
      </c>
    </row>
    <row r="7" spans="1:5" x14ac:dyDescent="0.2">
      <c r="A7" s="752" t="s">
        <v>533</v>
      </c>
      <c r="B7" s="753"/>
      <c r="C7" s="753"/>
      <c r="D7" s="753"/>
      <c r="E7" s="754">
        <f>SUM(B7:D7)</f>
        <v>0</v>
      </c>
    </row>
    <row r="8" spans="1:5" x14ac:dyDescent="0.2">
      <c r="A8" s="755" t="s">
        <v>534</v>
      </c>
      <c r="B8" s="756"/>
      <c r="C8" s="756"/>
      <c r="D8" s="756"/>
      <c r="E8" s="757">
        <f t="shared" ref="E8:E12" si="0">SUM(B8:D8)</f>
        <v>0</v>
      </c>
    </row>
    <row r="9" spans="1:5" x14ac:dyDescent="0.2">
      <c r="A9" s="758" t="s">
        <v>535</v>
      </c>
      <c r="B9" s="759">
        <v>85000000</v>
      </c>
      <c r="C9" s="759"/>
      <c r="D9" s="759"/>
      <c r="E9" s="760">
        <f t="shared" si="0"/>
        <v>85000000</v>
      </c>
    </row>
    <row r="10" spans="1:5" x14ac:dyDescent="0.2">
      <c r="A10" s="758" t="s">
        <v>536</v>
      </c>
      <c r="B10" s="759"/>
      <c r="C10" s="759"/>
      <c r="D10" s="759"/>
      <c r="E10" s="760">
        <f t="shared" si="0"/>
        <v>0</v>
      </c>
    </row>
    <row r="11" spans="1:5" x14ac:dyDescent="0.2">
      <c r="A11" s="758" t="s">
        <v>110</v>
      </c>
      <c r="B11" s="759"/>
      <c r="C11" s="759"/>
      <c r="D11" s="759"/>
      <c r="E11" s="760">
        <f t="shared" si="0"/>
        <v>0</v>
      </c>
    </row>
    <row r="12" spans="1:5" ht="13.5" thickBot="1" x14ac:dyDescent="0.25">
      <c r="A12" s="758" t="s">
        <v>537</v>
      </c>
      <c r="B12" s="759">
        <v>717804</v>
      </c>
      <c r="C12" s="759"/>
      <c r="D12" s="759"/>
      <c r="E12" s="760">
        <f t="shared" si="0"/>
        <v>717804</v>
      </c>
    </row>
    <row r="13" spans="1:5" ht="13.5" thickBot="1" x14ac:dyDescent="0.25">
      <c r="A13" s="785" t="s">
        <v>538</v>
      </c>
      <c r="B13" s="763">
        <f>SUM(B7:B12)</f>
        <v>85717804</v>
      </c>
      <c r="C13" s="763">
        <f>SUM(C7:C12)</f>
        <v>0</v>
      </c>
      <c r="D13" s="763">
        <f>SUM(D7:D12)</f>
        <v>0</v>
      </c>
      <c r="E13" s="751">
        <f>SUM(E7:E12)</f>
        <v>85717804</v>
      </c>
    </row>
    <row r="14" spans="1:5" ht="15" customHeight="1" thickBot="1" x14ac:dyDescent="0.25">
      <c r="A14" s="782" t="s">
        <v>539</v>
      </c>
      <c r="B14" s="783" t="str">
        <f>B6</f>
        <v>2021. előtt</v>
      </c>
      <c r="C14" s="783" t="str">
        <f>C6</f>
        <v>2021.</v>
      </c>
      <c r="D14" s="783" t="str">
        <f>D6</f>
        <v>2021. után</v>
      </c>
      <c r="E14" s="784" t="s">
        <v>48</v>
      </c>
    </row>
    <row r="15" spans="1:5" x14ac:dyDescent="0.2">
      <c r="A15" s="752" t="s">
        <v>540</v>
      </c>
      <c r="B15" s="753"/>
      <c r="C15" s="753">
        <v>2125000</v>
      </c>
      <c r="D15" s="753"/>
      <c r="E15" s="754">
        <f t="shared" ref="E15:E16" si="1">SUM(B15:D15)</f>
        <v>2125000</v>
      </c>
    </row>
    <row r="16" spans="1:5" x14ac:dyDescent="0.2">
      <c r="A16" s="764" t="s">
        <v>541</v>
      </c>
      <c r="B16" s="759">
        <v>80820690</v>
      </c>
      <c r="C16" s="759"/>
      <c r="D16" s="759"/>
      <c r="E16" s="760">
        <f t="shared" si="1"/>
        <v>80820690</v>
      </c>
    </row>
    <row r="17" spans="1:5" x14ac:dyDescent="0.2">
      <c r="A17" s="758" t="s">
        <v>542</v>
      </c>
      <c r="B17" s="759">
        <f>1156720+717804</f>
        <v>1874524</v>
      </c>
      <c r="C17" s="449"/>
      <c r="D17" s="759"/>
      <c r="E17" s="760">
        <f>SUM(B17:D17)</f>
        <v>1874524</v>
      </c>
    </row>
    <row r="18" spans="1:5" x14ac:dyDescent="0.2">
      <c r="A18" s="758" t="s">
        <v>543</v>
      </c>
      <c r="B18" s="759"/>
      <c r="C18" s="759"/>
      <c r="D18" s="759"/>
      <c r="E18" s="760">
        <f t="shared" ref="E18:E20" si="2">SUM(B18:D18)</f>
        <v>0</v>
      </c>
    </row>
    <row r="19" spans="1:5" x14ac:dyDescent="0.2">
      <c r="A19" s="765" t="s">
        <v>544</v>
      </c>
      <c r="B19" s="759"/>
      <c r="C19" s="759">
        <v>897590</v>
      </c>
      <c r="D19" s="759"/>
      <c r="E19" s="760">
        <f t="shared" si="2"/>
        <v>897590</v>
      </c>
    </row>
    <row r="20" spans="1:5" ht="13.5" thickBot="1" x14ac:dyDescent="0.25">
      <c r="A20" s="765" t="s">
        <v>545</v>
      </c>
      <c r="B20" s="759"/>
      <c r="C20" s="759"/>
      <c r="D20" s="759"/>
      <c r="E20" s="760">
        <f t="shared" si="2"/>
        <v>0</v>
      </c>
    </row>
    <row r="21" spans="1:5" ht="13.5" thickBot="1" x14ac:dyDescent="0.25">
      <c r="A21" s="785" t="s">
        <v>49</v>
      </c>
      <c r="B21" s="763">
        <f>SUM(B15:B20)</f>
        <v>82695214</v>
      </c>
      <c r="C21" s="763">
        <f>SUM(C15:C20)</f>
        <v>3022590</v>
      </c>
      <c r="D21" s="763">
        <f>SUM(D15:D20)</f>
        <v>0</v>
      </c>
      <c r="E21" s="751">
        <f>SUM(E15:E20)</f>
        <v>85717804</v>
      </c>
    </row>
    <row r="22" spans="1:5" ht="69" customHeight="1" thickBot="1" x14ac:dyDescent="0.3">
      <c r="A22" s="1468" t="s">
        <v>1026</v>
      </c>
      <c r="B22" s="1468"/>
      <c r="C22" s="1468"/>
      <c r="D22" s="1468"/>
      <c r="E22" s="1468"/>
    </row>
    <row r="23" spans="1:5" s="658" customFormat="1" ht="13.5" thickBot="1" x14ac:dyDescent="0.25">
      <c r="A23" s="782" t="s">
        <v>532</v>
      </c>
      <c r="B23" s="783" t="s">
        <v>805</v>
      </c>
      <c r="C23" s="783" t="s">
        <v>797</v>
      </c>
      <c r="D23" s="783" t="s">
        <v>806</v>
      </c>
      <c r="E23" s="784" t="s">
        <v>48</v>
      </c>
    </row>
    <row r="24" spans="1:5" s="658" customFormat="1" x14ac:dyDescent="0.2">
      <c r="A24" s="752" t="s">
        <v>533</v>
      </c>
      <c r="B24" s="753"/>
      <c r="C24" s="1181">
        <f>39000+1460034+539760</f>
        <v>2038794</v>
      </c>
      <c r="D24" s="753"/>
      <c r="E24" s="740">
        <f>SUM(B24:D24)</f>
        <v>2038794</v>
      </c>
    </row>
    <row r="25" spans="1:5" s="658" customFormat="1" x14ac:dyDescent="0.2">
      <c r="A25" s="755" t="s">
        <v>534</v>
      </c>
      <c r="B25" s="756"/>
      <c r="C25" s="756"/>
      <c r="D25" s="756"/>
      <c r="E25" s="743">
        <f t="shared" ref="E25:E30" si="3">SUM(B25:D25)</f>
        <v>0</v>
      </c>
    </row>
    <row r="26" spans="1:5" s="658" customFormat="1" x14ac:dyDescent="0.2">
      <c r="A26" s="758" t="s">
        <v>535</v>
      </c>
      <c r="B26" s="759">
        <v>363618656</v>
      </c>
      <c r="C26" s="759">
        <v>6350000</v>
      </c>
      <c r="D26" s="759"/>
      <c r="E26" s="795">
        <f t="shared" si="3"/>
        <v>369968656</v>
      </c>
    </row>
    <row r="27" spans="1:5" s="658" customFormat="1" x14ac:dyDescent="0.2">
      <c r="A27" s="758" t="s">
        <v>536</v>
      </c>
      <c r="B27" s="759"/>
      <c r="C27" s="759"/>
      <c r="D27" s="759"/>
      <c r="E27" s="795">
        <f t="shared" si="3"/>
        <v>0</v>
      </c>
    </row>
    <row r="28" spans="1:5" s="658" customFormat="1" x14ac:dyDescent="0.2">
      <c r="A28" s="758" t="s">
        <v>110</v>
      </c>
      <c r="B28" s="794"/>
      <c r="C28" s="759"/>
      <c r="D28" s="759"/>
      <c r="E28" s="795">
        <f t="shared" si="3"/>
        <v>0</v>
      </c>
    </row>
    <row r="29" spans="1:5" s="658" customFormat="1" x14ac:dyDescent="0.2">
      <c r="A29" s="758" t="s">
        <v>537</v>
      </c>
      <c r="B29" s="759"/>
      <c r="C29" s="759">
        <v>243600</v>
      </c>
      <c r="D29" s="759"/>
      <c r="E29" s="795">
        <f t="shared" si="3"/>
        <v>243600</v>
      </c>
    </row>
    <row r="30" spans="1:5" s="658" customFormat="1" ht="13.5" thickBot="1" x14ac:dyDescent="0.25">
      <c r="A30" s="761"/>
      <c r="B30" s="762"/>
      <c r="C30" s="762"/>
      <c r="D30" s="762"/>
      <c r="E30" s="795">
        <f t="shared" si="3"/>
        <v>0</v>
      </c>
    </row>
    <row r="31" spans="1:5" s="658" customFormat="1" ht="13.5" thickBot="1" x14ac:dyDescent="0.25">
      <c r="A31" s="785" t="s">
        <v>538</v>
      </c>
      <c r="B31" s="786">
        <f>SUM(B24:B30)</f>
        <v>363618656</v>
      </c>
      <c r="C31" s="786">
        <f>SUM(C24:C30)</f>
        <v>8632394</v>
      </c>
      <c r="D31" s="786">
        <f>SUM(D24:D30)</f>
        <v>0</v>
      </c>
      <c r="E31" s="787">
        <f>SUM(E24:E30)</f>
        <v>372251050</v>
      </c>
    </row>
    <row r="32" spans="1:5" s="658" customFormat="1" ht="13.5" thickBot="1" x14ac:dyDescent="0.25">
      <c r="A32" s="782" t="s">
        <v>539</v>
      </c>
      <c r="B32" s="783" t="str">
        <f>B23</f>
        <v>2021. előtt</v>
      </c>
      <c r="C32" s="783" t="str">
        <f>C23</f>
        <v>2021.</v>
      </c>
      <c r="D32" s="783" t="str">
        <f>D23</f>
        <v>2021. után</v>
      </c>
      <c r="E32" s="1163" t="s">
        <v>48</v>
      </c>
    </row>
    <row r="33" spans="1:7" s="658" customFormat="1" x14ac:dyDescent="0.2">
      <c r="A33" s="752" t="s">
        <v>540</v>
      </c>
      <c r="B33" s="753"/>
      <c r="C33" s="753">
        <v>0</v>
      </c>
      <c r="D33" s="753"/>
      <c r="E33" s="754">
        <f t="shared" ref="E33:E38" si="4">SUM(B33:D33)</f>
        <v>0</v>
      </c>
    </row>
    <row r="34" spans="1:7" s="658" customFormat="1" x14ac:dyDescent="0.2">
      <c r="A34" s="764" t="s">
        <v>541</v>
      </c>
      <c r="B34" s="759">
        <v>13381600</v>
      </c>
      <c r="C34" s="449">
        <f>334140192+460000-99693863-42904652+101513834+188982+395000+5157+1393+11346+3064</f>
        <v>294120453</v>
      </c>
      <c r="D34" s="759"/>
      <c r="E34" s="760">
        <f>SUM(B34:D34)</f>
        <v>307502053</v>
      </c>
    </row>
    <row r="35" spans="1:7" s="658" customFormat="1" x14ac:dyDescent="0.2">
      <c r="A35" s="758" t="s">
        <v>542</v>
      </c>
      <c r="B35" s="759">
        <v>10910905</v>
      </c>
      <c r="C35" s="449">
        <f>5429559+3706131+498268-63914+306000+80000+43800</f>
        <v>9999844</v>
      </c>
      <c r="D35" s="759"/>
      <c r="E35" s="760">
        <f t="shared" si="4"/>
        <v>20910749</v>
      </c>
    </row>
    <row r="36" spans="1:7" s="658" customFormat="1" x14ac:dyDescent="0.2">
      <c r="A36" s="758" t="s">
        <v>543</v>
      </c>
      <c r="B36" s="759"/>
      <c r="C36" s="759">
        <v>39000</v>
      </c>
      <c r="D36" s="759"/>
      <c r="E36" s="760">
        <f t="shared" si="4"/>
        <v>39000</v>
      </c>
    </row>
    <row r="37" spans="1:7" s="658" customFormat="1" x14ac:dyDescent="0.2">
      <c r="A37" s="765" t="s">
        <v>544</v>
      </c>
      <c r="B37" s="759"/>
      <c r="C37" s="449">
        <v>43799248</v>
      </c>
      <c r="D37" s="759"/>
      <c r="E37" s="760">
        <f t="shared" si="4"/>
        <v>43799248</v>
      </c>
    </row>
    <row r="38" spans="1:7" s="658" customFormat="1" ht="13.5" thickBot="1" x14ac:dyDescent="0.25">
      <c r="A38" s="765" t="s">
        <v>545</v>
      </c>
      <c r="B38" s="794"/>
      <c r="C38" s="759"/>
      <c r="D38" s="759"/>
      <c r="E38" s="760">
        <f t="shared" si="4"/>
        <v>0</v>
      </c>
    </row>
    <row r="39" spans="1:7" s="658" customFormat="1" ht="13.5" thickBot="1" x14ac:dyDescent="0.25">
      <c r="A39" s="785" t="s">
        <v>49</v>
      </c>
      <c r="B39" s="786">
        <f>SUM(B33:B38)</f>
        <v>24292505</v>
      </c>
      <c r="C39" s="786">
        <f>SUM(C33:C38)</f>
        <v>347958545</v>
      </c>
      <c r="D39" s="786">
        <f>SUM(D33:D38)</f>
        <v>0</v>
      </c>
      <c r="E39" s="787">
        <f>SUM(E33:E38)</f>
        <v>372251050</v>
      </c>
      <c r="G39" s="750">
        <f>E31-C39-B39</f>
        <v>0</v>
      </c>
    </row>
    <row r="40" spans="1:7" x14ac:dyDescent="0.2">
      <c r="A40" s="825"/>
      <c r="B40" s="825"/>
      <c r="C40" s="825"/>
      <c r="D40" s="825"/>
      <c r="E40" s="825"/>
    </row>
    <row r="41" spans="1:7" x14ac:dyDescent="0.2">
      <c r="A41" s="659"/>
    </row>
  </sheetData>
  <mergeCells count="4">
    <mergeCell ref="A1:E1"/>
    <mergeCell ref="A5:E5"/>
    <mergeCell ref="A22:E22"/>
    <mergeCell ref="A3:E3"/>
  </mergeCells>
  <conditionalFormatting sqref="B13:D13 B21:E21 E15:E20 E7:E13">
    <cfRule type="cellIs" dxfId="51" priority="2" stopIfTrue="1" operator="equal">
      <formula>0</formula>
    </cfRule>
  </conditionalFormatting>
  <conditionalFormatting sqref="E24:E31 B31:D31 B39:E39 E33:E38">
    <cfRule type="cellIs" dxfId="50" priority="1" stopIfTrue="1" operator="equal">
      <formula>0</formula>
    </cfRule>
  </conditionalFormatting>
  <printOptions horizontalCentered="1"/>
  <pageMargins left="0.7" right="0.7" top="0.75" bottom="0.75" header="0.3" footer="0.3"/>
  <pageSetup paperSize="9" orientation="portrait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8">
    <pageSetUpPr fitToPage="1"/>
  </sheetPr>
  <dimension ref="A1:E42"/>
  <sheetViews>
    <sheetView zoomScaleSheetLayoutView="85" workbookViewId="0">
      <selection activeCell="H12" sqref="H12"/>
    </sheetView>
  </sheetViews>
  <sheetFormatPr defaultColWidth="9.33203125" defaultRowHeight="12.75" x14ac:dyDescent="0.2"/>
  <cols>
    <col min="1" max="1" width="38.6640625" style="827" customWidth="1"/>
    <col min="2" max="5" width="13.83203125" style="827" customWidth="1"/>
    <col min="6" max="6" width="9.33203125" style="827"/>
    <col min="7" max="7" width="10.1640625" style="827" bestFit="1" customWidth="1"/>
    <col min="8" max="16384" width="9.33203125" style="827"/>
  </cols>
  <sheetData>
    <row r="1" spans="1:5" x14ac:dyDescent="0.2">
      <c r="A1" s="1467" t="str">
        <f>CONCATENATE("8. melléklet"," ",ALAPADATOK!A7," ",ALAPADATOK!B7," ",ALAPADATOK!C7," ",ALAPADATOK!D7," ",ALAPADATOK!E7," ",ALAPADATOK!F7," ",ALAPADATOK!G7," ",ALAPADATOK!H7)</f>
        <v>8. melléklet a 19 / 2021. ( XI.29. ) önkormányzati rendelethez</v>
      </c>
      <c r="B1" s="1467"/>
      <c r="C1" s="1467"/>
      <c r="D1" s="1467"/>
      <c r="E1" s="1467"/>
    </row>
    <row r="2" spans="1:5" ht="52.5" customHeight="1" x14ac:dyDescent="0.25">
      <c r="A2" s="1468" t="s">
        <v>1029</v>
      </c>
      <c r="B2" s="1468"/>
      <c r="C2" s="1468"/>
      <c r="D2" s="1468"/>
      <c r="E2" s="1468"/>
    </row>
    <row r="3" spans="1:5" x14ac:dyDescent="0.2">
      <c r="A3" s="766"/>
      <c r="B3" s="766"/>
      <c r="C3" s="766"/>
      <c r="D3" s="766"/>
      <c r="E3" s="766"/>
    </row>
    <row r="4" spans="1:5" ht="74.25" customHeight="1" thickBot="1" x14ac:dyDescent="0.3">
      <c r="A4" s="1468" t="s">
        <v>1030</v>
      </c>
      <c r="B4" s="1468"/>
      <c r="C4" s="1468"/>
      <c r="D4" s="1468"/>
      <c r="E4" s="1468"/>
    </row>
    <row r="5" spans="1:5" ht="15" customHeight="1" thickBot="1" x14ac:dyDescent="0.25">
      <c r="A5" s="782" t="s">
        <v>532</v>
      </c>
      <c r="B5" s="783" t="s">
        <v>805</v>
      </c>
      <c r="C5" s="783" t="s">
        <v>797</v>
      </c>
      <c r="D5" s="783" t="s">
        <v>806</v>
      </c>
      <c r="E5" s="784" t="s">
        <v>48</v>
      </c>
    </row>
    <row r="6" spans="1:5" x14ac:dyDescent="0.2">
      <c r="A6" s="752" t="s">
        <v>533</v>
      </c>
      <c r="B6" s="753"/>
      <c r="C6" s="753"/>
      <c r="D6" s="753"/>
      <c r="E6" s="754">
        <f>SUM(B6:D6)</f>
        <v>0</v>
      </c>
    </row>
    <row r="7" spans="1:5" x14ac:dyDescent="0.2">
      <c r="A7" s="755" t="s">
        <v>534</v>
      </c>
      <c r="B7" s="756"/>
      <c r="C7" s="756"/>
      <c r="D7" s="756"/>
      <c r="E7" s="757">
        <f t="shared" ref="E7:E12" si="0">SUM(B7:D7)</f>
        <v>0</v>
      </c>
    </row>
    <row r="8" spans="1:5" x14ac:dyDescent="0.2">
      <c r="A8" s="758" t="s">
        <v>535</v>
      </c>
      <c r="B8" s="759">
        <f>16392698+2634996</f>
        <v>19027694</v>
      </c>
      <c r="C8" s="759"/>
      <c r="D8" s="759"/>
      <c r="E8" s="760">
        <f t="shared" si="0"/>
        <v>19027694</v>
      </c>
    </row>
    <row r="9" spans="1:5" x14ac:dyDescent="0.2">
      <c r="A9" s="758" t="s">
        <v>536</v>
      </c>
      <c r="B9" s="759"/>
      <c r="C9" s="759"/>
      <c r="D9" s="759"/>
      <c r="E9" s="760">
        <f t="shared" si="0"/>
        <v>0</v>
      </c>
    </row>
    <row r="10" spans="1:5" x14ac:dyDescent="0.2">
      <c r="A10" s="758" t="s">
        <v>110</v>
      </c>
      <c r="B10" s="794"/>
      <c r="C10" s="759"/>
      <c r="D10" s="759"/>
      <c r="E10" s="760">
        <f t="shared" si="0"/>
        <v>0</v>
      </c>
    </row>
    <row r="11" spans="1:5" ht="13.5" thickBot="1" x14ac:dyDescent="0.25">
      <c r="A11" s="758" t="s">
        <v>537</v>
      </c>
      <c r="B11" s="759"/>
      <c r="C11" s="794"/>
      <c r="D11" s="794"/>
      <c r="E11" s="795">
        <f t="shared" si="0"/>
        <v>0</v>
      </c>
    </row>
    <row r="12" spans="1:5" ht="13.5" thickBot="1" x14ac:dyDescent="0.25">
      <c r="A12" s="785" t="s">
        <v>538</v>
      </c>
      <c r="B12" s="763">
        <f>B6+SUM(B8:B11)</f>
        <v>19027694</v>
      </c>
      <c r="C12" s="786">
        <f>C6+SUM(C8:C11)</f>
        <v>0</v>
      </c>
      <c r="D12" s="786">
        <f>D6+SUM(D8:D11)</f>
        <v>0</v>
      </c>
      <c r="E12" s="787">
        <f t="shared" si="0"/>
        <v>19027694</v>
      </c>
    </row>
    <row r="13" spans="1:5" ht="13.5" thickBot="1" x14ac:dyDescent="0.25">
      <c r="A13" s="1162"/>
      <c r="B13" s="1162"/>
      <c r="C13" s="1162"/>
      <c r="D13" s="1162"/>
      <c r="E13" s="1162"/>
    </row>
    <row r="14" spans="1:5" ht="15" customHeight="1" thickBot="1" x14ac:dyDescent="0.25">
      <c r="A14" s="782" t="s">
        <v>539</v>
      </c>
      <c r="B14" s="783" t="str">
        <f>B5</f>
        <v>2021. előtt</v>
      </c>
      <c r="C14" s="783" t="str">
        <f>C5</f>
        <v>2021.</v>
      </c>
      <c r="D14" s="783" t="str">
        <f>D5</f>
        <v>2021. után</v>
      </c>
      <c r="E14" s="784" t="s">
        <v>48</v>
      </c>
    </row>
    <row r="15" spans="1:5" x14ac:dyDescent="0.2">
      <c r="A15" s="752" t="s">
        <v>540</v>
      </c>
      <c r="B15" s="753"/>
      <c r="C15" s="753">
        <f>406220+63980</f>
        <v>470200</v>
      </c>
      <c r="D15" s="753"/>
      <c r="E15" s="754">
        <f t="shared" ref="E15:E21" si="1">SUM(B15:D15)</f>
        <v>470200</v>
      </c>
    </row>
    <row r="16" spans="1:5" x14ac:dyDescent="0.2">
      <c r="A16" s="764" t="s">
        <v>541</v>
      </c>
      <c r="B16" s="759"/>
      <c r="C16" s="759"/>
      <c r="D16" s="759"/>
      <c r="E16" s="760">
        <f t="shared" si="1"/>
        <v>0</v>
      </c>
    </row>
    <row r="17" spans="1:5" x14ac:dyDescent="0.2">
      <c r="A17" s="758" t="s">
        <v>542</v>
      </c>
      <c r="B17" s="759">
        <f>635000+4476750+4476750</f>
        <v>9588500</v>
      </c>
      <c r="C17" s="759">
        <f>17907000-B17+635000</f>
        <v>8953500</v>
      </c>
      <c r="D17" s="759"/>
      <c r="E17" s="760">
        <f t="shared" si="1"/>
        <v>18542000</v>
      </c>
    </row>
    <row r="18" spans="1:5" x14ac:dyDescent="0.2">
      <c r="A18" s="758" t="s">
        <v>543</v>
      </c>
      <c r="B18" s="759"/>
      <c r="C18" s="759"/>
      <c r="D18" s="759"/>
      <c r="E18" s="760">
        <f t="shared" si="1"/>
        <v>0</v>
      </c>
    </row>
    <row r="19" spans="1:5" x14ac:dyDescent="0.2">
      <c r="A19" s="765" t="s">
        <v>813</v>
      </c>
      <c r="B19" s="759"/>
      <c r="C19" s="759">
        <v>15494</v>
      </c>
      <c r="D19" s="759"/>
      <c r="E19" s="760">
        <f t="shared" si="1"/>
        <v>15494</v>
      </c>
    </row>
    <row r="20" spans="1:5" ht="13.5" thickBot="1" x14ac:dyDescent="0.25">
      <c r="A20" s="765" t="s">
        <v>545</v>
      </c>
      <c r="B20" s="794"/>
      <c r="C20" s="759"/>
      <c r="D20" s="759"/>
      <c r="E20" s="760">
        <f t="shared" si="1"/>
        <v>0</v>
      </c>
    </row>
    <row r="21" spans="1:5" ht="13.5" thickBot="1" x14ac:dyDescent="0.25">
      <c r="A21" s="785" t="s">
        <v>49</v>
      </c>
      <c r="B21" s="786">
        <f>SUM(B15:B20)</f>
        <v>9588500</v>
      </c>
      <c r="C21" s="786">
        <f>SUM(C15:C20)</f>
        <v>9439194</v>
      </c>
      <c r="D21" s="786">
        <f>SUM(D15:D20)</f>
        <v>0</v>
      </c>
      <c r="E21" s="787">
        <f t="shared" si="1"/>
        <v>19027694</v>
      </c>
    </row>
    <row r="22" spans="1:5" x14ac:dyDescent="0.2">
      <c r="A22" s="766"/>
      <c r="B22" s="766"/>
      <c r="C22" s="766"/>
      <c r="D22" s="766"/>
      <c r="E22" s="766"/>
    </row>
    <row r="23" spans="1:5" ht="48.75" customHeight="1" x14ac:dyDescent="0.25">
      <c r="A23" s="1468" t="s">
        <v>1031</v>
      </c>
      <c r="B23" s="1468"/>
      <c r="C23" s="1468"/>
      <c r="D23" s="1468"/>
      <c r="E23" s="1468"/>
    </row>
    <row r="24" spans="1:5" ht="14.25" thickBot="1" x14ac:dyDescent="0.3">
      <c r="A24" s="737"/>
      <c r="B24" s="737"/>
      <c r="C24" s="737"/>
      <c r="D24" s="1469"/>
      <c r="E24" s="1469"/>
    </row>
    <row r="25" spans="1:5" ht="13.5" thickBot="1" x14ac:dyDescent="0.25">
      <c r="A25" s="782" t="s">
        <v>532</v>
      </c>
      <c r="B25" s="783" t="s">
        <v>805</v>
      </c>
      <c r="C25" s="783" t="s">
        <v>797</v>
      </c>
      <c r="D25" s="783" t="s">
        <v>806</v>
      </c>
      <c r="E25" s="784" t="s">
        <v>48</v>
      </c>
    </row>
    <row r="26" spans="1:5" x14ac:dyDescent="0.2">
      <c r="A26" s="738" t="s">
        <v>533</v>
      </c>
      <c r="B26" s="739"/>
      <c r="C26" s="1181">
        <v>35000</v>
      </c>
      <c r="D26" s="739"/>
      <c r="E26" s="740">
        <f>SUM(B26:D26)</f>
        <v>35000</v>
      </c>
    </row>
    <row r="27" spans="1:5" x14ac:dyDescent="0.2">
      <c r="A27" s="741" t="s">
        <v>534</v>
      </c>
      <c r="B27" s="742"/>
      <c r="C27" s="742"/>
      <c r="D27" s="742"/>
      <c r="E27" s="795">
        <f t="shared" ref="E27:E32" si="2">SUM(B27:D27)</f>
        <v>0</v>
      </c>
    </row>
    <row r="28" spans="1:5" x14ac:dyDescent="0.2">
      <c r="A28" s="744" t="s">
        <v>535</v>
      </c>
      <c r="B28" s="794">
        <v>168611550</v>
      </c>
      <c r="C28" s="794">
        <v>6985000</v>
      </c>
      <c r="D28" s="794"/>
      <c r="E28" s="795">
        <f t="shared" si="2"/>
        <v>175596550</v>
      </c>
    </row>
    <row r="29" spans="1:5" x14ac:dyDescent="0.2">
      <c r="A29" s="744" t="s">
        <v>536</v>
      </c>
      <c r="B29" s="794"/>
      <c r="C29" s="794"/>
      <c r="D29" s="794"/>
      <c r="E29" s="795">
        <f t="shared" si="2"/>
        <v>0</v>
      </c>
    </row>
    <row r="30" spans="1:5" x14ac:dyDescent="0.2">
      <c r="A30" s="744" t="s">
        <v>110</v>
      </c>
      <c r="B30" s="794"/>
      <c r="C30" s="794"/>
      <c r="D30" s="794"/>
      <c r="E30" s="795">
        <f t="shared" si="2"/>
        <v>0</v>
      </c>
    </row>
    <row r="31" spans="1:5" ht="13.5" thickBot="1" x14ac:dyDescent="0.25">
      <c r="A31" s="744" t="s">
        <v>537</v>
      </c>
      <c r="B31" s="794"/>
      <c r="C31" s="794"/>
      <c r="D31" s="794"/>
      <c r="E31" s="795">
        <f t="shared" si="2"/>
        <v>0</v>
      </c>
    </row>
    <row r="32" spans="1:5" ht="13.5" thickBot="1" x14ac:dyDescent="0.25">
      <c r="A32" s="785" t="s">
        <v>538</v>
      </c>
      <c r="B32" s="786">
        <f>SUM(B26:B31)</f>
        <v>168611550</v>
      </c>
      <c r="C32" s="786">
        <f>SUM(C26:C31)</f>
        <v>7020000</v>
      </c>
      <c r="D32" s="786">
        <f>SUM(D26:D31)</f>
        <v>0</v>
      </c>
      <c r="E32" s="787">
        <f t="shared" si="2"/>
        <v>175631550</v>
      </c>
    </row>
    <row r="33" spans="1:5" ht="13.5" thickBot="1" x14ac:dyDescent="0.25">
      <c r="A33" s="746"/>
      <c r="B33" s="746"/>
      <c r="C33" s="746"/>
      <c r="D33" s="746"/>
      <c r="E33" s="746"/>
    </row>
    <row r="34" spans="1:5" ht="13.5" thickBot="1" x14ac:dyDescent="0.25">
      <c r="A34" s="782" t="s">
        <v>539</v>
      </c>
      <c r="B34" s="783" t="str">
        <f>B25</f>
        <v>2021. előtt</v>
      </c>
      <c r="C34" s="783" t="str">
        <f>C25</f>
        <v>2021.</v>
      </c>
      <c r="D34" s="783" t="str">
        <f>D25</f>
        <v>2021. után</v>
      </c>
      <c r="E34" s="784" t="s">
        <v>48</v>
      </c>
    </row>
    <row r="35" spans="1:5" x14ac:dyDescent="0.2">
      <c r="A35" s="738" t="s">
        <v>540</v>
      </c>
      <c r="B35" s="739"/>
      <c r="C35" s="739"/>
      <c r="D35" s="739"/>
      <c r="E35" s="740">
        <f t="shared" ref="E35:E41" si="3">SUM(B35:D35)</f>
        <v>0</v>
      </c>
    </row>
    <row r="36" spans="1:5" x14ac:dyDescent="0.2">
      <c r="A36" s="747" t="s">
        <v>541</v>
      </c>
      <c r="B36" s="794">
        <v>8103000</v>
      </c>
      <c r="C36" s="449">
        <f>132077297-1049020+35000</f>
        <v>131063277</v>
      </c>
      <c r="D36" s="794"/>
      <c r="E36" s="795">
        <f t="shared" si="3"/>
        <v>139166277</v>
      </c>
    </row>
    <row r="37" spans="1:5" x14ac:dyDescent="0.2">
      <c r="A37" s="744" t="s">
        <v>542</v>
      </c>
      <c r="B37" s="794">
        <v>2825750</v>
      </c>
      <c r="C37" s="794">
        <f>3549650+361600+160000+1767420</f>
        <v>5838670</v>
      </c>
      <c r="D37" s="794"/>
      <c r="E37" s="795">
        <f t="shared" si="3"/>
        <v>8664420</v>
      </c>
    </row>
    <row r="38" spans="1:5" x14ac:dyDescent="0.2">
      <c r="A38" s="744" t="s">
        <v>543</v>
      </c>
      <c r="B38" s="794"/>
      <c r="C38" s="794"/>
      <c r="D38" s="794"/>
      <c r="E38" s="795">
        <f t="shared" si="3"/>
        <v>0</v>
      </c>
    </row>
    <row r="39" spans="1:5" x14ac:dyDescent="0.2">
      <c r="A39" s="748" t="s">
        <v>544</v>
      </c>
      <c r="B39" s="794"/>
      <c r="C39" s="794">
        <f>6985000-361600-160000-718400</f>
        <v>5745000</v>
      </c>
      <c r="D39" s="794"/>
      <c r="E39" s="795">
        <f t="shared" si="3"/>
        <v>5745000</v>
      </c>
    </row>
    <row r="40" spans="1:5" ht="13.5" thickBot="1" x14ac:dyDescent="0.25">
      <c r="A40" s="748" t="s">
        <v>545</v>
      </c>
      <c r="B40" s="794"/>
      <c r="C40" s="794">
        <f>10800000+11255853</f>
        <v>22055853</v>
      </c>
      <c r="D40" s="794"/>
      <c r="E40" s="795">
        <f t="shared" si="3"/>
        <v>22055853</v>
      </c>
    </row>
    <row r="41" spans="1:5" ht="13.5" thickBot="1" x14ac:dyDescent="0.25">
      <c r="A41" s="785" t="s">
        <v>49</v>
      </c>
      <c r="B41" s="786">
        <f>SUM(B35:B40)</f>
        <v>10928750</v>
      </c>
      <c r="C41" s="786">
        <f>SUM(C35:C40)</f>
        <v>164702800</v>
      </c>
      <c r="D41" s="786">
        <f>SUM(D35:D40)</f>
        <v>0</v>
      </c>
      <c r="E41" s="787">
        <f t="shared" si="3"/>
        <v>175631550</v>
      </c>
    </row>
    <row r="42" spans="1:5" x14ac:dyDescent="0.2">
      <c r="A42" s="766"/>
      <c r="B42" s="766"/>
      <c r="C42" s="766"/>
      <c r="D42" s="766"/>
      <c r="E42" s="766"/>
    </row>
  </sheetData>
  <mergeCells count="5">
    <mergeCell ref="A1:E1"/>
    <mergeCell ref="A4:E4"/>
    <mergeCell ref="A23:E23"/>
    <mergeCell ref="D24:E24"/>
    <mergeCell ref="A2:E2"/>
  </mergeCells>
  <conditionalFormatting sqref="B12:D12 B21:D21 E26:E32 E6:E12 E15:E21">
    <cfRule type="cellIs" dxfId="49" priority="2" stopIfTrue="1" operator="equal">
      <formula>0</formula>
    </cfRule>
  </conditionalFormatting>
  <conditionalFormatting sqref="B32:D32 B41:E41 E35:E40">
    <cfRule type="cellIs" dxfId="48" priority="1" stopIfTrue="1" operator="equal">
      <formula>0</formula>
    </cfRule>
  </conditionalFormatting>
  <printOptions horizontalCentered="1"/>
  <pageMargins left="0.7" right="0.7" top="0.75" bottom="0.75" header="0.3" footer="0.3"/>
  <pageSetup paperSize="9" orientation="portrait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9">
    <pageSetUpPr fitToPage="1"/>
  </sheetPr>
  <dimension ref="A1:F48"/>
  <sheetViews>
    <sheetView zoomScaleSheetLayoutView="85" workbookViewId="0">
      <selection activeCell="G3" sqref="G3"/>
    </sheetView>
  </sheetViews>
  <sheetFormatPr defaultColWidth="9.33203125" defaultRowHeight="12.75" x14ac:dyDescent="0.2"/>
  <cols>
    <col min="1" max="1" width="38.6640625" style="826" customWidth="1"/>
    <col min="2" max="5" width="13.83203125" style="826" customWidth="1"/>
    <col min="6" max="16384" width="9.33203125" style="826"/>
  </cols>
  <sheetData>
    <row r="1" spans="1:6" x14ac:dyDescent="0.2">
      <c r="A1" s="1471" t="str">
        <f>CONCATENATE("9. melléklet ",ALAPADATOK!A7," ",ALAPADATOK!B7," ",ALAPADATOK!C7," ",ALAPADATOK!D7," ",ALAPADATOK!E7," ",ALAPADATOK!F7," ",ALAPADATOK!G7," ",ALAPADATOK!H7)</f>
        <v>9. melléklet a 19 / 2021. ( XI.29. ) önkormányzati rendelethez</v>
      </c>
      <c r="B1" s="1471"/>
      <c r="C1" s="1471"/>
      <c r="D1" s="1471"/>
      <c r="E1" s="1471"/>
    </row>
    <row r="2" spans="1:6" x14ac:dyDescent="0.2">
      <c r="A2" s="825"/>
      <c r="B2" s="825"/>
      <c r="C2" s="825"/>
      <c r="D2" s="825"/>
      <c r="E2" s="825"/>
    </row>
    <row r="3" spans="1:6" ht="48.75" customHeight="1" x14ac:dyDescent="0.25">
      <c r="A3" s="1468" t="s">
        <v>1075</v>
      </c>
      <c r="B3" s="1468"/>
      <c r="C3" s="1468"/>
      <c r="D3" s="1468"/>
      <c r="E3" s="1468"/>
    </row>
    <row r="4" spans="1:6" x14ac:dyDescent="0.2">
      <c r="A4" s="825"/>
      <c r="B4" s="825"/>
      <c r="C4" s="825"/>
      <c r="D4" s="825"/>
      <c r="E4" s="825"/>
    </row>
    <row r="5" spans="1:6" ht="74.25" customHeight="1" x14ac:dyDescent="0.2">
      <c r="A5" s="1472" t="s">
        <v>948</v>
      </c>
      <c r="B5" s="1472"/>
      <c r="C5" s="1472"/>
      <c r="D5" s="1472"/>
      <c r="E5" s="1472"/>
      <c r="F5" s="827"/>
    </row>
    <row r="6" spans="1:6" ht="14.25" thickBot="1" x14ac:dyDescent="0.3">
      <c r="A6" s="828"/>
      <c r="B6" s="828"/>
      <c r="C6" s="828"/>
      <c r="D6" s="1473" t="s">
        <v>502</v>
      </c>
      <c r="E6" s="1473"/>
      <c r="F6" s="827"/>
    </row>
    <row r="7" spans="1:6" ht="15" customHeight="1" thickBot="1" x14ac:dyDescent="0.25">
      <c r="A7" s="1199" t="s">
        <v>532</v>
      </c>
      <c r="B7" s="1200" t="s">
        <v>805</v>
      </c>
      <c r="C7" s="1200" t="s">
        <v>797</v>
      </c>
      <c r="D7" s="1200" t="s">
        <v>806</v>
      </c>
      <c r="E7" s="1201" t="s">
        <v>48</v>
      </c>
      <c r="F7" s="827"/>
    </row>
    <row r="8" spans="1:6" x14ac:dyDescent="0.2">
      <c r="A8" s="1197" t="s">
        <v>533</v>
      </c>
      <c r="B8" s="1198">
        <v>335000</v>
      </c>
      <c r="C8" s="1423">
        <f>4581667+381000</f>
        <v>4962667</v>
      </c>
      <c r="D8" s="1198"/>
      <c r="E8" s="1161">
        <f t="shared" ref="E8:E10" si="0">SUM(B8:D8)</f>
        <v>5297667</v>
      </c>
      <c r="F8" s="827"/>
    </row>
    <row r="9" spans="1:6" x14ac:dyDescent="0.2">
      <c r="A9" s="832" t="s">
        <v>534</v>
      </c>
      <c r="B9" s="833"/>
      <c r="C9" s="833"/>
      <c r="D9" s="833"/>
      <c r="E9" s="795">
        <f t="shared" si="0"/>
        <v>0</v>
      </c>
      <c r="F9" s="827"/>
    </row>
    <row r="10" spans="1:6" x14ac:dyDescent="0.2">
      <c r="A10" s="834" t="s">
        <v>535</v>
      </c>
      <c r="B10" s="835"/>
      <c r="C10" s="835">
        <v>44249999</v>
      </c>
      <c r="D10" s="835"/>
      <c r="E10" s="795">
        <f t="shared" si="0"/>
        <v>44249999</v>
      </c>
      <c r="F10" s="827"/>
    </row>
    <row r="11" spans="1:6" x14ac:dyDescent="0.2">
      <c r="A11" s="834" t="s">
        <v>536</v>
      </c>
      <c r="B11" s="835"/>
      <c r="C11" s="835"/>
      <c r="D11" s="835"/>
      <c r="E11" s="837">
        <v>0</v>
      </c>
      <c r="F11" s="827"/>
    </row>
    <row r="12" spans="1:6" x14ac:dyDescent="0.2">
      <c r="A12" s="834" t="s">
        <v>110</v>
      </c>
      <c r="B12" s="835"/>
      <c r="C12" s="835"/>
      <c r="D12" s="835"/>
      <c r="E12" s="837">
        <v>0</v>
      </c>
      <c r="F12" s="827"/>
    </row>
    <row r="13" spans="1:6" x14ac:dyDescent="0.2">
      <c r="A13" s="834" t="s">
        <v>537</v>
      </c>
      <c r="B13" s="835"/>
      <c r="C13" s="835"/>
      <c r="D13" s="835"/>
      <c r="E13" s="837">
        <v>0</v>
      </c>
      <c r="F13" s="827"/>
    </row>
    <row r="14" spans="1:6" ht="13.5" thickBot="1" x14ac:dyDescent="0.25">
      <c r="A14" s="838"/>
      <c r="B14" s="839"/>
      <c r="C14" s="839"/>
      <c r="D14" s="839"/>
      <c r="E14" s="837">
        <v>0</v>
      </c>
      <c r="F14" s="827"/>
    </row>
    <row r="15" spans="1:6" ht="13.5" thickBot="1" x14ac:dyDescent="0.25">
      <c r="A15" s="840" t="s">
        <v>538</v>
      </c>
      <c r="B15" s="786">
        <f>SUM(B8:B14)</f>
        <v>335000</v>
      </c>
      <c r="C15" s="786">
        <f>SUM(C8:C14)</f>
        <v>49212666</v>
      </c>
      <c r="D15" s="786">
        <f>SUM(D8:D14)</f>
        <v>0</v>
      </c>
      <c r="E15" s="786">
        <f>SUM(E8:E14)</f>
        <v>49547666</v>
      </c>
      <c r="F15" s="827"/>
    </row>
    <row r="16" spans="1:6" ht="13.5" thickBot="1" x14ac:dyDescent="0.25">
      <c r="A16" s="841"/>
      <c r="B16" s="841"/>
      <c r="C16" s="841"/>
      <c r="D16" s="841"/>
      <c r="E16" s="841"/>
      <c r="F16" s="827"/>
    </row>
    <row r="17" spans="1:6" ht="15" customHeight="1" thickBot="1" x14ac:dyDescent="0.25">
      <c r="A17" s="1199" t="s">
        <v>539</v>
      </c>
      <c r="B17" s="1200" t="s">
        <v>805</v>
      </c>
      <c r="C17" s="1200" t="s">
        <v>797</v>
      </c>
      <c r="D17" s="1200" t="s">
        <v>806</v>
      </c>
      <c r="E17" s="1201" t="s">
        <v>48</v>
      </c>
      <c r="F17" s="827"/>
    </row>
    <row r="18" spans="1:6" x14ac:dyDescent="0.2">
      <c r="A18" s="1197" t="s">
        <v>540</v>
      </c>
      <c r="B18" s="1198"/>
      <c r="C18" s="1198"/>
      <c r="D18" s="1198"/>
      <c r="E18" s="1161">
        <f t="shared" ref="E18:E24" si="1">SUM(B18:D18)</f>
        <v>0</v>
      </c>
      <c r="F18" s="827"/>
    </row>
    <row r="19" spans="1:6" x14ac:dyDescent="0.2">
      <c r="A19" s="843" t="s">
        <v>541</v>
      </c>
      <c r="B19" s="835">
        <v>335000</v>
      </c>
      <c r="C19" s="449">
        <f>48583956+381000</f>
        <v>48964956</v>
      </c>
      <c r="D19" s="835"/>
      <c r="E19" s="795">
        <f t="shared" si="1"/>
        <v>49299956</v>
      </c>
      <c r="F19" s="827"/>
    </row>
    <row r="20" spans="1:6" x14ac:dyDescent="0.2">
      <c r="A20" s="834" t="s">
        <v>542</v>
      </c>
      <c r="B20" s="835"/>
      <c r="C20" s="835">
        <v>247710</v>
      </c>
      <c r="D20" s="835"/>
      <c r="E20" s="795">
        <f t="shared" si="1"/>
        <v>247710</v>
      </c>
      <c r="F20" s="827"/>
    </row>
    <row r="21" spans="1:6" x14ac:dyDescent="0.2">
      <c r="A21" s="834" t="s">
        <v>543</v>
      </c>
      <c r="B21" s="835"/>
      <c r="C21" s="835"/>
      <c r="D21" s="835"/>
      <c r="E21" s="795">
        <f t="shared" si="1"/>
        <v>0</v>
      </c>
      <c r="F21" s="827"/>
    </row>
    <row r="22" spans="1:6" x14ac:dyDescent="0.2">
      <c r="A22" s="844" t="s">
        <v>544</v>
      </c>
      <c r="B22" s="835"/>
      <c r="C22" s="835"/>
      <c r="D22" s="835"/>
      <c r="E22" s="795">
        <f t="shared" si="1"/>
        <v>0</v>
      </c>
      <c r="F22" s="827"/>
    </row>
    <row r="23" spans="1:6" x14ac:dyDescent="0.2">
      <c r="A23" s="844" t="s">
        <v>545</v>
      </c>
      <c r="B23" s="835"/>
      <c r="C23" s="835"/>
      <c r="D23" s="835"/>
      <c r="E23" s="795">
        <f t="shared" si="1"/>
        <v>0</v>
      </c>
      <c r="F23" s="827"/>
    </row>
    <row r="24" spans="1:6" ht="13.5" thickBot="1" x14ac:dyDescent="0.25">
      <c r="A24" s="838"/>
      <c r="B24" s="839"/>
      <c r="C24" s="839"/>
      <c r="D24" s="839"/>
      <c r="E24" s="795">
        <f t="shared" si="1"/>
        <v>0</v>
      </c>
      <c r="F24" s="827"/>
    </row>
    <row r="25" spans="1:6" ht="13.5" thickBot="1" x14ac:dyDescent="0.25">
      <c r="A25" s="840" t="s">
        <v>49</v>
      </c>
      <c r="B25" s="786">
        <f>SUM(B18:B24)</f>
        <v>335000</v>
      </c>
      <c r="C25" s="786">
        <f>SUM(C18:C24)</f>
        <v>49212666</v>
      </c>
      <c r="D25" s="786">
        <f>SUM(D18:D24)</f>
        <v>0</v>
      </c>
      <c r="E25" s="786">
        <f>SUM(E18:E24)</f>
        <v>49547666</v>
      </c>
      <c r="F25" s="827"/>
    </row>
    <row r="26" spans="1:6" x14ac:dyDescent="0.2">
      <c r="A26" s="825"/>
      <c r="B26" s="825"/>
      <c r="C26" s="825"/>
      <c r="D26" s="825"/>
      <c r="E26" s="825"/>
    </row>
    <row r="27" spans="1:6" ht="48.75" customHeight="1" x14ac:dyDescent="0.25">
      <c r="A27" s="1474" t="s">
        <v>949</v>
      </c>
      <c r="B27" s="1474"/>
      <c r="C27" s="1474"/>
      <c r="D27" s="1474"/>
      <c r="E27" s="1474"/>
    </row>
    <row r="28" spans="1:6" ht="14.25" thickBot="1" x14ac:dyDescent="0.3">
      <c r="A28" s="828"/>
      <c r="B28" s="828"/>
      <c r="C28" s="828"/>
      <c r="D28" s="1473" t="s">
        <v>502</v>
      </c>
      <c r="E28" s="1473"/>
    </row>
    <row r="29" spans="1:6" ht="13.5" thickBot="1" x14ac:dyDescent="0.25">
      <c r="A29" s="829" t="s">
        <v>532</v>
      </c>
      <c r="B29" s="783" t="s">
        <v>805</v>
      </c>
      <c r="C29" s="783" t="s">
        <v>797</v>
      </c>
      <c r="D29" s="783" t="s">
        <v>806</v>
      </c>
      <c r="E29" s="784" t="s">
        <v>48</v>
      </c>
    </row>
    <row r="30" spans="1:6" x14ac:dyDescent="0.2">
      <c r="A30" s="830" t="s">
        <v>533</v>
      </c>
      <c r="B30" s="831"/>
      <c r="C30" s="1181">
        <f>444400+1</f>
        <v>444401</v>
      </c>
      <c r="D30" s="831"/>
      <c r="E30" s="740">
        <f>SUM(B30:D30)</f>
        <v>444401</v>
      </c>
    </row>
    <row r="31" spans="1:6" x14ac:dyDescent="0.2">
      <c r="A31" s="832" t="s">
        <v>534</v>
      </c>
      <c r="B31" s="833"/>
      <c r="C31" s="833"/>
      <c r="D31" s="833"/>
      <c r="E31" s="795">
        <f t="shared" ref="E31:E36" si="2">SUM(B31:D31)</f>
        <v>0</v>
      </c>
    </row>
    <row r="32" spans="1:6" x14ac:dyDescent="0.2">
      <c r="A32" s="834" t="s">
        <v>535</v>
      </c>
      <c r="B32" s="835"/>
      <c r="C32" s="836">
        <v>3999600</v>
      </c>
      <c r="D32" s="835"/>
      <c r="E32" s="795">
        <f t="shared" si="2"/>
        <v>3999600</v>
      </c>
    </row>
    <row r="33" spans="1:5" x14ac:dyDescent="0.2">
      <c r="A33" s="834" t="s">
        <v>536</v>
      </c>
      <c r="B33" s="835"/>
      <c r="C33" s="835"/>
      <c r="D33" s="835"/>
      <c r="E33" s="795">
        <f t="shared" si="2"/>
        <v>0</v>
      </c>
    </row>
    <row r="34" spans="1:5" x14ac:dyDescent="0.2">
      <c r="A34" s="834" t="s">
        <v>110</v>
      </c>
      <c r="B34" s="835"/>
      <c r="C34" s="835"/>
      <c r="D34" s="835"/>
      <c r="E34" s="795">
        <f t="shared" si="2"/>
        <v>0</v>
      </c>
    </row>
    <row r="35" spans="1:5" x14ac:dyDescent="0.2">
      <c r="A35" s="834" t="s">
        <v>537</v>
      </c>
      <c r="B35" s="835"/>
      <c r="C35" s="835"/>
      <c r="D35" s="835"/>
      <c r="E35" s="795">
        <f t="shared" si="2"/>
        <v>0</v>
      </c>
    </row>
    <row r="36" spans="1:5" ht="13.5" thickBot="1" x14ac:dyDescent="0.25">
      <c r="A36" s="838"/>
      <c r="B36" s="839"/>
      <c r="C36" s="839"/>
      <c r="D36" s="839"/>
      <c r="E36" s="1161">
        <f t="shared" si="2"/>
        <v>0</v>
      </c>
    </row>
    <row r="37" spans="1:5" ht="13.5" thickBot="1" x14ac:dyDescent="0.25">
      <c r="A37" s="840" t="s">
        <v>538</v>
      </c>
      <c r="B37" s="786">
        <f>SUM(B30:B36)</f>
        <v>0</v>
      </c>
      <c r="C37" s="786">
        <f>SUM(C30:C36)</f>
        <v>4444001</v>
      </c>
      <c r="D37" s="786">
        <f>SUM(D30:D36)</f>
        <v>0</v>
      </c>
      <c r="E37" s="787">
        <f>SUM(E30:E36)</f>
        <v>4444001</v>
      </c>
    </row>
    <row r="38" spans="1:5" ht="13.5" thickBot="1" x14ac:dyDescent="0.25">
      <c r="A38" s="841"/>
      <c r="B38" s="841"/>
      <c r="C38" s="841"/>
      <c r="D38" s="841"/>
      <c r="E38" s="841"/>
    </row>
    <row r="39" spans="1:5" ht="13.5" thickBot="1" x14ac:dyDescent="0.25">
      <c r="A39" s="829" t="s">
        <v>539</v>
      </c>
      <c r="B39" s="783" t="s">
        <v>805</v>
      </c>
      <c r="C39" s="783" t="s">
        <v>797</v>
      </c>
      <c r="D39" s="783" t="s">
        <v>806</v>
      </c>
      <c r="E39" s="784" t="s">
        <v>48</v>
      </c>
    </row>
    <row r="40" spans="1:5" x14ac:dyDescent="0.2">
      <c r="A40" s="830" t="s">
        <v>540</v>
      </c>
      <c r="B40" s="831"/>
      <c r="C40" s="842">
        <v>196850</v>
      </c>
      <c r="D40" s="831"/>
      <c r="E40" s="740">
        <f>SUM(B40:D40)</f>
        <v>196850</v>
      </c>
    </row>
    <row r="41" spans="1:5" x14ac:dyDescent="0.2">
      <c r="A41" s="843" t="s">
        <v>541</v>
      </c>
      <c r="B41" s="835"/>
      <c r="C41" s="449">
        <f>2197788+1</f>
        <v>2197789</v>
      </c>
      <c r="D41" s="835"/>
      <c r="E41" s="795">
        <f>SUM(B41:D41)</f>
        <v>2197789</v>
      </c>
    </row>
    <row r="42" spans="1:5" x14ac:dyDescent="0.2">
      <c r="A42" s="834" t="s">
        <v>542</v>
      </c>
      <c r="B42" s="835"/>
      <c r="C42" s="836">
        <v>2049362</v>
      </c>
      <c r="D42" s="835"/>
      <c r="E42" s="795">
        <f>SUM(B42:D42)</f>
        <v>2049362</v>
      </c>
    </row>
    <row r="43" spans="1:5" x14ac:dyDescent="0.2">
      <c r="A43" s="834" t="s">
        <v>543</v>
      </c>
      <c r="B43" s="835"/>
      <c r="C43" s="835"/>
      <c r="D43" s="835"/>
      <c r="E43" s="795">
        <f>SUM(B43:D43)</f>
        <v>0</v>
      </c>
    </row>
    <row r="44" spans="1:5" x14ac:dyDescent="0.2">
      <c r="A44" s="844" t="s">
        <v>544</v>
      </c>
      <c r="B44" s="835"/>
      <c r="C44" s="835"/>
      <c r="D44" s="835"/>
      <c r="E44" s="1161">
        <f>SUM(B44:D44)</f>
        <v>0</v>
      </c>
    </row>
    <row r="45" spans="1:5" x14ac:dyDescent="0.2">
      <c r="A45" s="844" t="s">
        <v>545</v>
      </c>
      <c r="B45" s="835"/>
      <c r="C45" s="835"/>
      <c r="D45" s="835"/>
      <c r="E45" s="837">
        <v>0</v>
      </c>
    </row>
    <row r="46" spans="1:5" ht="13.5" thickBot="1" x14ac:dyDescent="0.25">
      <c r="A46" s="838"/>
      <c r="B46" s="839"/>
      <c r="C46" s="839"/>
      <c r="D46" s="839"/>
      <c r="E46" s="837">
        <v>0</v>
      </c>
    </row>
    <row r="47" spans="1:5" ht="13.5" thickBot="1" x14ac:dyDescent="0.25">
      <c r="A47" s="840" t="s">
        <v>49</v>
      </c>
      <c r="B47" s="786">
        <f>SUM(B40:B46)</f>
        <v>0</v>
      </c>
      <c r="C47" s="786">
        <f>SUM(C40:C46)</f>
        <v>4444001</v>
      </c>
      <c r="D47" s="786">
        <f>SUM(D40:D46)</f>
        <v>0</v>
      </c>
      <c r="E47" s="787">
        <f>SUM(E40:E46)</f>
        <v>4444001</v>
      </c>
    </row>
    <row r="48" spans="1:5" x14ac:dyDescent="0.2">
      <c r="A48" s="825"/>
      <c r="B48" s="825"/>
      <c r="C48" s="825"/>
      <c r="D48" s="825"/>
      <c r="E48" s="825"/>
    </row>
  </sheetData>
  <mergeCells count="6">
    <mergeCell ref="A1:E1"/>
    <mergeCell ref="A5:E5"/>
    <mergeCell ref="D6:E6"/>
    <mergeCell ref="A27:E27"/>
    <mergeCell ref="D28:E28"/>
    <mergeCell ref="A3:E3"/>
  </mergeCells>
  <conditionalFormatting sqref="D25">
    <cfRule type="cellIs" dxfId="47" priority="11" stopIfTrue="1" operator="equal">
      <formula>0</formula>
    </cfRule>
  </conditionalFormatting>
  <conditionalFormatting sqref="E11:E14">
    <cfRule type="cellIs" dxfId="46" priority="20" stopIfTrue="1" operator="equal">
      <formula>0</formula>
    </cfRule>
  </conditionalFormatting>
  <conditionalFormatting sqref="E8:E10">
    <cfRule type="cellIs" dxfId="45" priority="19" stopIfTrue="1" operator="equal">
      <formula>0</formula>
    </cfRule>
  </conditionalFormatting>
  <conditionalFormatting sqref="B15">
    <cfRule type="cellIs" dxfId="44" priority="18" stopIfTrue="1" operator="equal">
      <formula>0</formula>
    </cfRule>
  </conditionalFormatting>
  <conditionalFormatting sqref="C15">
    <cfRule type="cellIs" dxfId="43" priority="17" stopIfTrue="1" operator="equal">
      <formula>0</formula>
    </cfRule>
  </conditionalFormatting>
  <conditionalFormatting sqref="D15">
    <cfRule type="cellIs" dxfId="42" priority="16" stopIfTrue="1" operator="equal">
      <formula>0</formula>
    </cfRule>
  </conditionalFormatting>
  <conditionalFormatting sqref="E15">
    <cfRule type="cellIs" dxfId="41" priority="15" stopIfTrue="1" operator="equal">
      <formula>0</formula>
    </cfRule>
  </conditionalFormatting>
  <conditionalFormatting sqref="E18:E24">
    <cfRule type="cellIs" dxfId="40" priority="14" stopIfTrue="1" operator="equal">
      <formula>0</formula>
    </cfRule>
  </conditionalFormatting>
  <conditionalFormatting sqref="B25">
    <cfRule type="cellIs" dxfId="39" priority="13" stopIfTrue="1" operator="equal">
      <formula>0</formula>
    </cfRule>
  </conditionalFormatting>
  <conditionalFormatting sqref="C25">
    <cfRule type="cellIs" dxfId="38" priority="12" stopIfTrue="1" operator="equal">
      <formula>0</formula>
    </cfRule>
  </conditionalFormatting>
  <conditionalFormatting sqref="E25">
    <cfRule type="cellIs" dxfId="37" priority="10" stopIfTrue="1" operator="equal">
      <formula>0</formula>
    </cfRule>
  </conditionalFormatting>
  <conditionalFormatting sqref="E42">
    <cfRule type="cellIs" dxfId="36" priority="3" stopIfTrue="1" operator="equal">
      <formula>0</formula>
    </cfRule>
  </conditionalFormatting>
  <conditionalFormatting sqref="E45:E46">
    <cfRule type="cellIs" dxfId="35" priority="9" stopIfTrue="1" operator="equal">
      <formula>0</formula>
    </cfRule>
  </conditionalFormatting>
  <conditionalFormatting sqref="E30:E36">
    <cfRule type="cellIs" dxfId="34" priority="8" stopIfTrue="1" operator="equal">
      <formula>0</formula>
    </cfRule>
  </conditionalFormatting>
  <conditionalFormatting sqref="B37:E37">
    <cfRule type="cellIs" dxfId="33" priority="7" stopIfTrue="1" operator="equal">
      <formula>0</formula>
    </cfRule>
  </conditionalFormatting>
  <conditionalFormatting sqref="B47:E47">
    <cfRule type="cellIs" dxfId="32" priority="6" stopIfTrue="1" operator="equal">
      <formula>0</formula>
    </cfRule>
  </conditionalFormatting>
  <conditionalFormatting sqref="E40">
    <cfRule type="cellIs" dxfId="31" priority="5" stopIfTrue="1" operator="equal">
      <formula>0</formula>
    </cfRule>
  </conditionalFormatting>
  <conditionalFormatting sqref="E41">
    <cfRule type="cellIs" dxfId="30" priority="4" stopIfTrue="1" operator="equal">
      <formula>0</formula>
    </cfRule>
  </conditionalFormatting>
  <conditionalFormatting sqref="E43">
    <cfRule type="cellIs" dxfId="29" priority="2" stopIfTrue="1" operator="equal">
      <formula>0</formula>
    </cfRule>
  </conditionalFormatting>
  <conditionalFormatting sqref="E44">
    <cfRule type="cellIs" dxfId="28" priority="1" stopIfTrue="1" operator="equal">
      <formula>0</formula>
    </cfRule>
  </conditionalFormatting>
  <printOptions horizontalCentered="1"/>
  <pageMargins left="0.7" right="0.7" top="0.75" bottom="0.75" header="0.3" footer="0.3"/>
  <pageSetup paperSize="9" scale="97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"/>
  <dimension ref="A1:K164"/>
  <sheetViews>
    <sheetView tabSelected="1" zoomScale="115" zoomScaleNormal="115" zoomScaleSheetLayoutView="115" zoomScalePageLayoutView="85" workbookViewId="0">
      <selection activeCell="A5" sqref="A5:C5"/>
    </sheetView>
  </sheetViews>
  <sheetFormatPr defaultRowHeight="15.75" x14ac:dyDescent="0.25"/>
  <cols>
    <col min="1" max="1" width="9.5" style="170" customWidth="1"/>
    <col min="2" max="2" width="91.6640625" style="170" customWidth="1"/>
    <col min="3" max="3" width="21.6640625" style="814" customWidth="1"/>
    <col min="4" max="4" width="18" style="170" hidden="1" customWidth="1"/>
    <col min="5" max="5" width="14.5" style="170" hidden="1" customWidth="1"/>
    <col min="6" max="6" width="15.33203125" style="170" hidden="1" customWidth="1"/>
    <col min="7" max="7" width="11.1640625" style="170" hidden="1" customWidth="1"/>
    <col min="8" max="8" width="15.5" style="334" hidden="1" customWidth="1"/>
    <col min="9" max="9" width="17.83203125" style="335" hidden="1" customWidth="1"/>
    <col min="10" max="12" width="9.33203125" style="170" customWidth="1"/>
    <col min="13" max="16384" width="9.33203125" style="170"/>
  </cols>
  <sheetData>
    <row r="1" spans="1:9" s="662" customFormat="1" x14ac:dyDescent="0.25">
      <c r="A1" s="1433" t="str">
        <f>CONCATENATE("1. melléklet"," ",ALAPADATOK!A7," ",ALAPADATOK!B7," ",ALAPADATOK!C7," ",ALAPADATOK!D7," ",ALAPADATOK!E7," ",ALAPADATOK!F7," ",ALAPADATOK!G7," ",ALAPADATOK!H7)</f>
        <v>1. melléklet a 19 / 2021. ( XI.29. ) önkormányzati rendelethez</v>
      </c>
      <c r="B1" s="1433"/>
      <c r="C1" s="1433"/>
      <c r="H1" s="334"/>
      <c r="I1" s="335"/>
    </row>
    <row r="2" spans="1:9" s="670" customFormat="1" x14ac:dyDescent="0.25">
      <c r="A2" s="692"/>
      <c r="B2" s="692"/>
      <c r="C2" s="692"/>
      <c r="H2" s="334"/>
      <c r="I2" s="335"/>
    </row>
    <row r="3" spans="1:9" s="662" customFormat="1" x14ac:dyDescent="0.25">
      <c r="A3" s="1432" t="str">
        <f>CONCATENATE(ALAPADATOK!A3)</f>
        <v>Tiszavasvári Város Önkormányzat</v>
      </c>
      <c r="B3" s="1432"/>
      <c r="C3" s="1432"/>
      <c r="D3" s="1432" t="s">
        <v>710</v>
      </c>
      <c r="E3" s="1432"/>
      <c r="F3" s="1432"/>
      <c r="H3" s="334"/>
      <c r="I3" s="335"/>
    </row>
    <row r="4" spans="1:9" s="662" customFormat="1" x14ac:dyDescent="0.25">
      <c r="A4" s="1431" t="str">
        <f>CONCATENATE(ALAPADATOK!D7," ÉVI KÖLTSÉGVETÉS")</f>
        <v>2021. ÉVI KÖLTSÉGVETÉS</v>
      </c>
      <c r="B4" s="1431"/>
      <c r="C4" s="1431"/>
      <c r="D4" s="1431" t="s">
        <v>987</v>
      </c>
      <c r="E4" s="1431"/>
      <c r="F4" s="1431"/>
      <c r="H4" s="334"/>
      <c r="I4" s="335"/>
    </row>
    <row r="5" spans="1:9" s="662" customFormat="1" x14ac:dyDescent="0.25">
      <c r="A5" s="1431" t="s">
        <v>714</v>
      </c>
      <c r="B5" s="1431"/>
      <c r="C5" s="1431"/>
      <c r="D5" s="1431" t="s">
        <v>714</v>
      </c>
      <c r="E5" s="1431"/>
      <c r="F5" s="1431"/>
      <c r="H5" s="334"/>
      <c r="I5" s="335"/>
    </row>
    <row r="6" spans="1:9" s="662" customFormat="1" x14ac:dyDescent="0.25">
      <c r="C6" s="814"/>
      <c r="H6" s="334"/>
      <c r="I6" s="335"/>
    </row>
    <row r="7" spans="1:9" ht="15.95" customHeight="1" x14ac:dyDescent="0.25">
      <c r="A7" s="1435" t="s">
        <v>13</v>
      </c>
      <c r="B7" s="1435"/>
      <c r="C7" s="1435"/>
      <c r="D7" s="813"/>
      <c r="E7" s="813"/>
      <c r="F7" s="813"/>
    </row>
    <row r="8" spans="1:9" ht="15.95" customHeight="1" thickBot="1" x14ac:dyDescent="0.3">
      <c r="A8" s="1233" t="s">
        <v>115</v>
      </c>
      <c r="B8" s="1233"/>
      <c r="C8" s="1026" t="s">
        <v>494</v>
      </c>
      <c r="D8" s="813"/>
      <c r="E8" s="813"/>
      <c r="F8" s="813"/>
    </row>
    <row r="9" spans="1:9" ht="38.1" customHeight="1" thickBot="1" x14ac:dyDescent="0.3">
      <c r="A9" s="20" t="s">
        <v>64</v>
      </c>
      <c r="B9" s="21" t="s">
        <v>15</v>
      </c>
      <c r="C9" s="515" t="s">
        <v>796</v>
      </c>
      <c r="D9" s="813" t="s">
        <v>499</v>
      </c>
      <c r="E9" s="813" t="s">
        <v>500</v>
      </c>
      <c r="F9" s="813" t="s">
        <v>501</v>
      </c>
    </row>
    <row r="10" spans="1:9" s="182" customFormat="1" ht="12" customHeight="1" thickBot="1" x14ac:dyDescent="0.25">
      <c r="A10" s="176" t="s">
        <v>391</v>
      </c>
      <c r="B10" s="177" t="s">
        <v>392</v>
      </c>
      <c r="C10" s="1027" t="s">
        <v>393</v>
      </c>
      <c r="H10" s="334"/>
      <c r="I10" s="335"/>
    </row>
    <row r="11" spans="1:9" s="183" customFormat="1" ht="12" customHeight="1" thickBot="1" x14ac:dyDescent="0.25">
      <c r="A11" s="17" t="s">
        <v>16</v>
      </c>
      <c r="B11" s="18" t="s">
        <v>181</v>
      </c>
      <c r="C11" s="117">
        <f t="shared" ref="C11:C43" si="0">SUM(D11:F11)</f>
        <v>1652495968</v>
      </c>
      <c r="D11" s="267">
        <f>+D12+D13+D14+D17+D18+D19</f>
        <v>1652495968</v>
      </c>
      <c r="E11" s="112">
        <f>+E12+E13+E14+E17+E18+E19</f>
        <v>0</v>
      </c>
      <c r="F11" s="112">
        <f>+F12+F13+F14+F17+F18+F19</f>
        <v>0</v>
      </c>
      <c r="H11" s="336">
        <f>'1.2.sz.mell. '!C11+'1.3.sz.mell.'!C11+'1.4.sz.mell. '!C11+'1.5.sz.mell.'!C11</f>
        <v>1652495968</v>
      </c>
      <c r="I11" s="336">
        <f t="shared" ref="I11:I75" si="1">C11-H11</f>
        <v>0</v>
      </c>
    </row>
    <row r="12" spans="1:9" s="183" customFormat="1" ht="12" customHeight="1" thickBot="1" x14ac:dyDescent="0.25">
      <c r="A12" s="12" t="s">
        <v>86</v>
      </c>
      <c r="B12" s="184" t="s">
        <v>182</v>
      </c>
      <c r="C12" s="408">
        <f>SUM(D12:F12)</f>
        <v>296878177</v>
      </c>
      <c r="D12" s="222">
        <f>295696597+1181580</f>
        <v>296878177</v>
      </c>
      <c r="E12" s="222"/>
      <c r="F12" s="222"/>
      <c r="H12" s="336">
        <f>'1.2.sz.mell. '!C12+'1.3.sz.mell.'!C12+'1.4.sz.mell. '!C12+'1.5.sz.mell.'!C12</f>
        <v>296878177</v>
      </c>
      <c r="I12" s="337">
        <f>C12-H12</f>
        <v>0</v>
      </c>
    </row>
    <row r="13" spans="1:9" s="183" customFormat="1" ht="12" customHeight="1" thickBot="1" x14ac:dyDescent="0.25">
      <c r="A13" s="11" t="s">
        <v>87</v>
      </c>
      <c r="B13" s="185" t="s">
        <v>183</v>
      </c>
      <c r="C13" s="290">
        <f t="shared" si="0"/>
        <v>263054630</v>
      </c>
      <c r="D13" s="863">
        <f>254023920+8379000+651710</f>
        <v>263054630</v>
      </c>
      <c r="E13" s="863"/>
      <c r="F13" s="863"/>
      <c r="H13" s="336">
        <f>'1.2.sz.mell. '!C13+'1.3.sz.mell.'!C13+'1.4.sz.mell. '!C13+'1.5.sz.mell.'!C13</f>
        <v>263054630</v>
      </c>
      <c r="I13" s="338">
        <f t="shared" si="1"/>
        <v>0</v>
      </c>
    </row>
    <row r="14" spans="1:9" s="183" customFormat="1" ht="12" customHeight="1" thickBot="1" x14ac:dyDescent="0.25">
      <c r="A14" s="11" t="s">
        <v>88</v>
      </c>
      <c r="B14" s="185" t="s">
        <v>766</v>
      </c>
      <c r="C14" s="290">
        <f t="shared" si="0"/>
        <v>846202661</v>
      </c>
      <c r="D14" s="863">
        <f>SUM(D15:D16)</f>
        <v>846202661</v>
      </c>
      <c r="E14" s="863">
        <f>SUM(E15:E16)</f>
        <v>0</v>
      </c>
      <c r="F14" s="863">
        <f>SUM(F15:F16)</f>
        <v>0</v>
      </c>
      <c r="H14" s="336">
        <f>'1.2.sz.mell. '!C14+'1.3.sz.mell.'!C14+'1.4.sz.mell. '!C14+'1.5.sz.mell.'!C14</f>
        <v>846202661</v>
      </c>
      <c r="I14" s="338">
        <f t="shared" si="1"/>
        <v>0</v>
      </c>
    </row>
    <row r="15" spans="1:9" s="183" customFormat="1" ht="12" customHeight="1" thickBot="1" x14ac:dyDescent="0.25">
      <c r="A15" s="11" t="s">
        <v>764</v>
      </c>
      <c r="B15" s="185" t="s">
        <v>767</v>
      </c>
      <c r="C15" s="290">
        <f t="shared" si="0"/>
        <v>642804986</v>
      </c>
      <c r="D15" s="863">
        <f>635476079-1227663+10429183+1536897-3409510</f>
        <v>642804986</v>
      </c>
      <c r="E15" s="863"/>
      <c r="F15" s="863"/>
      <c r="H15" s="336">
        <f>'1.2.sz.mell. '!C15+'1.3.sz.mell.'!C15+'1.4.sz.mell. '!C15+'1.5.sz.mell.'!C15</f>
        <v>642804986</v>
      </c>
      <c r="I15" s="338">
        <f t="shared" si="1"/>
        <v>0</v>
      </c>
    </row>
    <row r="16" spans="1:9" s="183" customFormat="1" ht="12" customHeight="1" thickBot="1" x14ac:dyDescent="0.25">
      <c r="A16" s="11" t="s">
        <v>765</v>
      </c>
      <c r="B16" s="185" t="s">
        <v>768</v>
      </c>
      <c r="C16" s="290">
        <f t="shared" si="0"/>
        <v>203397675</v>
      </c>
      <c r="D16" s="863">
        <f>126258794+1334340+75804541</f>
        <v>203397675</v>
      </c>
      <c r="E16" s="863"/>
      <c r="F16" s="863"/>
      <c r="H16" s="336">
        <f>'1.2.sz.mell. '!C16+'1.3.sz.mell.'!C16+'1.4.sz.mell. '!C16+'1.5.sz.mell.'!C16</f>
        <v>203397675</v>
      </c>
      <c r="I16" s="338">
        <f t="shared" si="1"/>
        <v>0</v>
      </c>
    </row>
    <row r="17" spans="1:9" s="183" customFormat="1" ht="12" customHeight="1" thickBot="1" x14ac:dyDescent="0.25">
      <c r="A17" s="11" t="s">
        <v>89</v>
      </c>
      <c r="B17" s="185" t="s">
        <v>185</v>
      </c>
      <c r="C17" s="290">
        <f t="shared" si="0"/>
        <v>42308416</v>
      </c>
      <c r="D17" s="863">
        <f>40888120+1420296</f>
        <v>42308416</v>
      </c>
      <c r="E17" s="863"/>
      <c r="F17" s="863"/>
      <c r="H17" s="336">
        <f>'1.2.sz.mell. '!C17+'1.3.sz.mell.'!C17+'1.4.sz.mell. '!C17+'1.5.sz.mell.'!C17</f>
        <v>42308416</v>
      </c>
      <c r="I17" s="338">
        <f t="shared" si="1"/>
        <v>0</v>
      </c>
    </row>
    <row r="18" spans="1:9" s="183" customFormat="1" ht="12" customHeight="1" thickBot="1" x14ac:dyDescent="0.25">
      <c r="A18" s="11" t="s">
        <v>112</v>
      </c>
      <c r="B18" s="108" t="s">
        <v>394</v>
      </c>
      <c r="C18" s="290">
        <f t="shared" si="0"/>
        <v>202586020</v>
      </c>
      <c r="D18" s="863">
        <f>234271694+107725-21793399-60000000+50000000</f>
        <v>202586020</v>
      </c>
      <c r="E18" s="863"/>
      <c r="F18" s="863"/>
      <c r="H18" s="336">
        <f>'1.2.sz.mell. '!C18+'1.3.sz.mell.'!C18+'1.4.sz.mell. '!C18+'1.5.sz.mell.'!C18</f>
        <v>202586020</v>
      </c>
      <c r="I18" s="338">
        <f t="shared" si="1"/>
        <v>0</v>
      </c>
    </row>
    <row r="19" spans="1:9" s="183" customFormat="1" ht="12" customHeight="1" thickBot="1" x14ac:dyDescent="0.25">
      <c r="A19" s="13" t="s">
        <v>90</v>
      </c>
      <c r="B19" s="109" t="s">
        <v>395</v>
      </c>
      <c r="C19" s="409">
        <f t="shared" si="0"/>
        <v>1466064</v>
      </c>
      <c r="D19" s="101">
        <v>1466064</v>
      </c>
      <c r="E19" s="113"/>
      <c r="F19" s="113"/>
      <c r="H19" s="336">
        <f>'1.2.sz.mell. '!C19+'1.3.sz.mell.'!C19+'1.4.sz.mell. '!C19+'1.5.sz.mell.'!C19</f>
        <v>1466064</v>
      </c>
      <c r="I19" s="339">
        <f t="shared" si="1"/>
        <v>0</v>
      </c>
    </row>
    <row r="20" spans="1:9" s="183" customFormat="1" ht="12" customHeight="1" thickBot="1" x14ac:dyDescent="0.25">
      <c r="A20" s="17" t="s">
        <v>17</v>
      </c>
      <c r="B20" s="107" t="s">
        <v>186</v>
      </c>
      <c r="C20" s="117">
        <f t="shared" si="0"/>
        <v>358216768</v>
      </c>
      <c r="D20" s="267">
        <f>+D21+D22+D23+D24+D25</f>
        <v>258417749</v>
      </c>
      <c r="E20" s="112">
        <f>+E21+E22+E23+E24+E25</f>
        <v>0</v>
      </c>
      <c r="F20" s="112">
        <f>+F21+F22+F23+F24+F25</f>
        <v>99799019</v>
      </c>
      <c r="H20" s="336">
        <f>'1.2.sz.mell. '!C20+'1.3.sz.mell.'!C20+'1.4.sz.mell. '!C20+'1.5.sz.mell.'!C20</f>
        <v>358216768</v>
      </c>
      <c r="I20" s="336">
        <f t="shared" si="1"/>
        <v>0</v>
      </c>
    </row>
    <row r="21" spans="1:9" s="183" customFormat="1" ht="12" customHeight="1" thickBot="1" x14ac:dyDescent="0.25">
      <c r="A21" s="12" t="s">
        <v>92</v>
      </c>
      <c r="B21" s="184" t="s">
        <v>187</v>
      </c>
      <c r="C21" s="408">
        <f t="shared" si="0"/>
        <v>0</v>
      </c>
      <c r="D21" s="269"/>
      <c r="E21" s="114"/>
      <c r="F21" s="114"/>
      <c r="H21" s="336">
        <f>'1.2.sz.mell. '!C21+'1.3.sz.mell.'!C21+'1.4.sz.mell. '!C21+'1.5.sz.mell.'!C21</f>
        <v>0</v>
      </c>
      <c r="I21" s="337">
        <f t="shared" si="1"/>
        <v>0</v>
      </c>
    </row>
    <row r="22" spans="1:9" s="183" customFormat="1" ht="12" customHeight="1" thickBot="1" x14ac:dyDescent="0.25">
      <c r="A22" s="11" t="s">
        <v>93</v>
      </c>
      <c r="B22" s="185" t="s">
        <v>188</v>
      </c>
      <c r="C22" s="290">
        <f t="shared" si="0"/>
        <v>0</v>
      </c>
      <c r="D22" s="101"/>
      <c r="E22" s="113"/>
      <c r="F22" s="113"/>
      <c r="H22" s="336">
        <f>'1.2.sz.mell. '!C22+'1.3.sz.mell.'!C22+'1.4.sz.mell. '!C22+'1.5.sz.mell.'!C22</f>
        <v>0</v>
      </c>
      <c r="I22" s="338">
        <f t="shared" si="1"/>
        <v>0</v>
      </c>
    </row>
    <row r="23" spans="1:9" s="183" customFormat="1" ht="12" customHeight="1" thickBot="1" x14ac:dyDescent="0.25">
      <c r="A23" s="11" t="s">
        <v>94</v>
      </c>
      <c r="B23" s="185" t="s">
        <v>354</v>
      </c>
      <c r="C23" s="290">
        <f t="shared" si="0"/>
        <v>0</v>
      </c>
      <c r="D23" s="101"/>
      <c r="E23" s="113"/>
      <c r="F23" s="113"/>
      <c r="H23" s="336">
        <f>'1.2.sz.mell. '!C23+'1.3.sz.mell.'!C23+'1.4.sz.mell. '!C23+'1.5.sz.mell.'!C23</f>
        <v>0</v>
      </c>
      <c r="I23" s="338">
        <f t="shared" si="1"/>
        <v>0</v>
      </c>
    </row>
    <row r="24" spans="1:9" s="183" customFormat="1" ht="12" customHeight="1" thickBot="1" x14ac:dyDescent="0.25">
      <c r="A24" s="11" t="s">
        <v>95</v>
      </c>
      <c r="B24" s="185" t="s">
        <v>355</v>
      </c>
      <c r="C24" s="290">
        <f t="shared" si="0"/>
        <v>0</v>
      </c>
      <c r="D24" s="101"/>
      <c r="E24" s="113"/>
      <c r="F24" s="113"/>
      <c r="H24" s="336">
        <f>'1.2.sz.mell. '!C24+'1.3.sz.mell.'!C24+'1.4.sz.mell. '!C24+'1.5.sz.mell.'!C24</f>
        <v>0</v>
      </c>
      <c r="I24" s="338">
        <f t="shared" si="1"/>
        <v>0</v>
      </c>
    </row>
    <row r="25" spans="1:9" s="183" customFormat="1" ht="12" customHeight="1" thickBot="1" x14ac:dyDescent="0.25">
      <c r="A25" s="11" t="s">
        <v>96</v>
      </c>
      <c r="B25" s="185" t="s">
        <v>189</v>
      </c>
      <c r="C25" s="290">
        <f t="shared" si="0"/>
        <v>358216768</v>
      </c>
      <c r="D25" s="864">
        <f>255808159+24966440+4143150+23500000-50000000</f>
        <v>258417749</v>
      </c>
      <c r="E25" s="863"/>
      <c r="F25" s="863">
        <f>9618799+90180220</f>
        <v>99799019</v>
      </c>
      <c r="H25" s="336">
        <f>'1.2.sz.mell. '!C25+'1.3.sz.mell.'!C25+'1.4.sz.mell. '!C25+'1.5.sz.mell.'!C25</f>
        <v>358216768</v>
      </c>
      <c r="I25" s="338">
        <f t="shared" si="1"/>
        <v>0</v>
      </c>
    </row>
    <row r="26" spans="1:9" s="183" customFormat="1" ht="12" customHeight="1" thickBot="1" x14ac:dyDescent="0.25">
      <c r="A26" s="13" t="s">
        <v>105</v>
      </c>
      <c r="B26" s="109" t="s">
        <v>190</v>
      </c>
      <c r="C26" s="409">
        <f t="shared" si="0"/>
        <v>131495850</v>
      </c>
      <c r="D26" s="865">
        <f>17520150+30768216</f>
        <v>48288366</v>
      </c>
      <c r="E26" s="173"/>
      <c r="F26" s="173">
        <v>83207484</v>
      </c>
      <c r="H26" s="336">
        <f>'1.2.sz.mell. '!C26+'1.3.sz.mell.'!C26+'1.4.sz.mell. '!C26+'1.5.sz.mell.'!C26</f>
        <v>131495850</v>
      </c>
      <c r="I26" s="339">
        <f t="shared" si="1"/>
        <v>0</v>
      </c>
    </row>
    <row r="27" spans="1:9" s="183" customFormat="1" ht="12" customHeight="1" thickBot="1" x14ac:dyDescent="0.25">
      <c r="A27" s="17" t="s">
        <v>18</v>
      </c>
      <c r="B27" s="18" t="s">
        <v>191</v>
      </c>
      <c r="C27" s="257">
        <f t="shared" si="0"/>
        <v>2080082998</v>
      </c>
      <c r="D27" s="267">
        <f>+D28+D29+D30+D31+D32</f>
        <v>2018153717</v>
      </c>
      <c r="E27" s="112">
        <f>+E28+E29+E30+E31+E32</f>
        <v>0</v>
      </c>
      <c r="F27" s="112">
        <f>+F28+F29+F30+F31+F32</f>
        <v>61929281</v>
      </c>
      <c r="H27" s="336">
        <f>'1.2.sz.mell. '!C27+'1.3.sz.mell.'!C27+'1.4.sz.mell. '!C27+'1.5.sz.mell.'!C27</f>
        <v>2080082998</v>
      </c>
      <c r="I27" s="336">
        <f t="shared" si="1"/>
        <v>0</v>
      </c>
    </row>
    <row r="28" spans="1:9" s="183" customFormat="1" ht="12" customHeight="1" thickBot="1" x14ac:dyDescent="0.25">
      <c r="A28" s="12" t="s">
        <v>75</v>
      </c>
      <c r="B28" s="184" t="s">
        <v>192</v>
      </c>
      <c r="C28" s="1389">
        <f t="shared" si="0"/>
        <v>1872500100</v>
      </c>
      <c r="D28" s="866">
        <f>1305000000+13500100+554000000</f>
        <v>1872500100</v>
      </c>
      <c r="E28" s="507"/>
      <c r="F28" s="507"/>
      <c r="H28" s="336">
        <f>'1.2.sz.mell. '!C28+'1.3.sz.mell.'!C28+'1.4.sz.mell. '!C28+'1.5.sz.mell.'!C28</f>
        <v>1872500100</v>
      </c>
      <c r="I28" s="337">
        <f t="shared" si="1"/>
        <v>0</v>
      </c>
    </row>
    <row r="29" spans="1:9" s="183" customFormat="1" ht="12" customHeight="1" thickBot="1" x14ac:dyDescent="0.25">
      <c r="A29" s="11" t="s">
        <v>76</v>
      </c>
      <c r="B29" s="185" t="s">
        <v>193</v>
      </c>
      <c r="C29" s="959">
        <f t="shared" si="0"/>
        <v>0</v>
      </c>
      <c r="D29" s="864"/>
      <c r="E29" s="863"/>
      <c r="F29" s="863"/>
      <c r="H29" s="336">
        <f>'1.2.sz.mell. '!C29+'1.3.sz.mell.'!C29+'1.4.sz.mell. '!C29+'1.5.sz.mell.'!C29</f>
        <v>0</v>
      </c>
      <c r="I29" s="338">
        <f t="shared" si="1"/>
        <v>0</v>
      </c>
    </row>
    <row r="30" spans="1:9" s="183" customFormat="1" ht="12" customHeight="1" thickBot="1" x14ac:dyDescent="0.25">
      <c r="A30" s="11" t="s">
        <v>77</v>
      </c>
      <c r="B30" s="185" t="s">
        <v>356</v>
      </c>
      <c r="C30" s="290">
        <f t="shared" si="0"/>
        <v>0</v>
      </c>
      <c r="D30" s="864"/>
      <c r="E30" s="863"/>
      <c r="F30" s="863"/>
      <c r="H30" s="336">
        <f>'1.2.sz.mell. '!C30+'1.3.sz.mell.'!C30+'1.4.sz.mell. '!C30+'1.5.sz.mell.'!C30</f>
        <v>0</v>
      </c>
      <c r="I30" s="338">
        <f t="shared" si="1"/>
        <v>0</v>
      </c>
    </row>
    <row r="31" spans="1:9" s="183" customFormat="1" ht="12" customHeight="1" thickBot="1" x14ac:dyDescent="0.25">
      <c r="A31" s="11" t="s">
        <v>78</v>
      </c>
      <c r="B31" s="185" t="s">
        <v>357</v>
      </c>
      <c r="C31" s="290">
        <f t="shared" si="0"/>
        <v>0</v>
      </c>
      <c r="D31" s="864"/>
      <c r="E31" s="863"/>
      <c r="F31" s="863"/>
      <c r="H31" s="336">
        <f>'1.2.sz.mell. '!C31+'1.3.sz.mell.'!C31+'1.4.sz.mell. '!C31+'1.5.sz.mell.'!C31</f>
        <v>0</v>
      </c>
      <c r="I31" s="338">
        <f t="shared" si="1"/>
        <v>0</v>
      </c>
    </row>
    <row r="32" spans="1:9" s="183" customFormat="1" ht="12" customHeight="1" thickBot="1" x14ac:dyDescent="0.25">
      <c r="A32" s="11" t="s">
        <v>123</v>
      </c>
      <c r="B32" s="185" t="s">
        <v>194</v>
      </c>
      <c r="C32" s="290">
        <f t="shared" si="0"/>
        <v>207582898</v>
      </c>
      <c r="D32" s="864">
        <f>127479073+18062206+112338</f>
        <v>145653617</v>
      </c>
      <c r="E32" s="863"/>
      <c r="F32" s="863">
        <f>51850900+10078381</f>
        <v>61929281</v>
      </c>
      <c r="H32" s="336">
        <f>'1.2.sz.mell. '!C32+'1.3.sz.mell.'!C32+'1.4.sz.mell. '!C32+'1.5.sz.mell.'!C32</f>
        <v>207582898</v>
      </c>
      <c r="I32" s="338">
        <f t="shared" si="1"/>
        <v>0</v>
      </c>
    </row>
    <row r="33" spans="1:9" s="183" customFormat="1" ht="12" customHeight="1" thickBot="1" x14ac:dyDescent="0.25">
      <c r="A33" s="13" t="s">
        <v>124</v>
      </c>
      <c r="B33" s="186" t="s">
        <v>195</v>
      </c>
      <c r="C33" s="409">
        <f t="shared" si="0"/>
        <v>80423773</v>
      </c>
      <c r="D33" s="865">
        <f>21590900+1499571+3482179+806423</f>
        <v>27379073</v>
      </c>
      <c r="E33" s="173"/>
      <c r="F33" s="173">
        <v>53044700</v>
      </c>
      <c r="H33" s="336">
        <f>'1.2.sz.mell. '!C33+'1.3.sz.mell.'!C33+'1.4.sz.mell. '!C33+'1.5.sz.mell.'!C33</f>
        <v>80423773</v>
      </c>
      <c r="I33" s="339">
        <f t="shared" si="1"/>
        <v>0</v>
      </c>
    </row>
    <row r="34" spans="1:9" s="183" customFormat="1" ht="12" customHeight="1" thickBot="1" x14ac:dyDescent="0.25">
      <c r="A34" s="17" t="s">
        <v>125</v>
      </c>
      <c r="B34" s="18" t="s">
        <v>196</v>
      </c>
      <c r="C34" s="117">
        <f t="shared" si="0"/>
        <v>398600000</v>
      </c>
      <c r="D34" s="270">
        <f>+D35++D39+D40</f>
        <v>398600000</v>
      </c>
      <c r="E34" s="270">
        <f>+E35++E39+E40</f>
        <v>0</v>
      </c>
      <c r="F34" s="270">
        <f>+F35++F39+F40</f>
        <v>0</v>
      </c>
      <c r="H34" s="336">
        <f>'1.2.sz.mell. '!C34+'1.3.sz.mell.'!C34+'1.4.sz.mell. '!C34+'1.5.sz.mell.'!C34</f>
        <v>398600000</v>
      </c>
      <c r="I34" s="336">
        <f t="shared" si="1"/>
        <v>0</v>
      </c>
    </row>
    <row r="35" spans="1:9" s="183" customFormat="1" ht="12" customHeight="1" thickBot="1" x14ac:dyDescent="0.25">
      <c r="A35" s="12" t="s">
        <v>197</v>
      </c>
      <c r="B35" s="184" t="s">
        <v>579</v>
      </c>
      <c r="C35" s="408">
        <f t="shared" ref="C35:C39" si="2">SUM(D35:F35)</f>
        <v>385080000</v>
      </c>
      <c r="D35" s="284">
        <f>SUM(D36:D37)</f>
        <v>385080000</v>
      </c>
      <c r="E35" s="284">
        <f>SUM(E36:E37)</f>
        <v>0</v>
      </c>
      <c r="F35" s="284">
        <f>SUM(F36:F37)</f>
        <v>0</v>
      </c>
      <c r="H35" s="336">
        <f>'1.2.sz.mell. '!C35+'1.3.sz.mell.'!C35+'1.4.sz.mell. '!C35+'1.5.sz.mell.'!C35</f>
        <v>385080000</v>
      </c>
      <c r="I35" s="337">
        <f t="shared" si="1"/>
        <v>0</v>
      </c>
    </row>
    <row r="36" spans="1:9" s="183" customFormat="1" ht="12" customHeight="1" thickBot="1" x14ac:dyDescent="0.25">
      <c r="A36" s="11" t="s">
        <v>198</v>
      </c>
      <c r="B36" s="185" t="s">
        <v>203</v>
      </c>
      <c r="C36" s="290">
        <f t="shared" si="2"/>
        <v>88280000</v>
      </c>
      <c r="D36" s="101">
        <v>88280000</v>
      </c>
      <c r="E36" s="113"/>
      <c r="F36" s="113"/>
      <c r="H36" s="336">
        <f>'1.2.sz.mell. '!C36+'1.3.sz.mell.'!C36+'1.4.sz.mell. '!C36+'1.5.sz.mell.'!C36</f>
        <v>88280000</v>
      </c>
      <c r="I36" s="338">
        <f t="shared" si="1"/>
        <v>0</v>
      </c>
    </row>
    <row r="37" spans="1:9" s="183" customFormat="1" ht="12" customHeight="1" thickBot="1" x14ac:dyDescent="0.25">
      <c r="A37" s="11" t="s">
        <v>199</v>
      </c>
      <c r="B37" s="242" t="s">
        <v>578</v>
      </c>
      <c r="C37" s="289">
        <f t="shared" si="2"/>
        <v>296800000</v>
      </c>
      <c r="D37" s="101">
        <v>296800000</v>
      </c>
      <c r="E37" s="113"/>
      <c r="F37" s="113"/>
      <c r="H37" s="336">
        <f>'1.2.sz.mell. '!C37+'1.3.sz.mell.'!C37+'1.4.sz.mell. '!C37+'1.5.sz.mell.'!C37</f>
        <v>296800000</v>
      </c>
      <c r="I37" s="338">
        <f t="shared" si="1"/>
        <v>0</v>
      </c>
    </row>
    <row r="38" spans="1:9" s="183" customFormat="1" ht="12" customHeight="1" thickBot="1" x14ac:dyDescent="0.25">
      <c r="A38" s="11" t="s">
        <v>200</v>
      </c>
      <c r="B38" s="185" t="s">
        <v>479</v>
      </c>
      <c r="C38" s="289">
        <f t="shared" si="2"/>
        <v>0</v>
      </c>
      <c r="D38" s="864"/>
      <c r="E38" s="863"/>
      <c r="F38" s="863"/>
      <c r="H38" s="336">
        <f>'1.2.sz.mell. '!C38+'1.3.sz.mell.'!C38+'1.4.sz.mell. '!C38+'1.5.sz.mell.'!C38</f>
        <v>0</v>
      </c>
      <c r="I38" s="338">
        <f t="shared" si="1"/>
        <v>0</v>
      </c>
    </row>
    <row r="39" spans="1:9" s="183" customFormat="1" ht="12" customHeight="1" thickBot="1" x14ac:dyDescent="0.25">
      <c r="A39" s="11" t="s">
        <v>201</v>
      </c>
      <c r="B39" s="185" t="s">
        <v>205</v>
      </c>
      <c r="C39" s="289">
        <f t="shared" si="2"/>
        <v>0</v>
      </c>
      <c r="D39" s="101"/>
      <c r="E39" s="113"/>
      <c r="F39" s="113"/>
      <c r="H39" s="336">
        <f>'1.2.sz.mell. '!C39+'1.3.sz.mell.'!C39+'1.4.sz.mell. '!C39+'1.5.sz.mell.'!C39</f>
        <v>0</v>
      </c>
      <c r="I39" s="338">
        <f t="shared" si="1"/>
        <v>0</v>
      </c>
    </row>
    <row r="40" spans="1:9" s="183" customFormat="1" ht="12" customHeight="1" thickBot="1" x14ac:dyDescent="0.25">
      <c r="A40" s="13" t="s">
        <v>202</v>
      </c>
      <c r="B40" s="186" t="s">
        <v>206</v>
      </c>
      <c r="C40" s="409">
        <f t="shared" si="0"/>
        <v>13520000</v>
      </c>
      <c r="D40" s="865">
        <v>13520000</v>
      </c>
      <c r="E40" s="173"/>
      <c r="F40" s="173"/>
      <c r="H40" s="336">
        <f>'1.2.sz.mell. '!C40+'1.3.sz.mell.'!C40+'1.4.sz.mell. '!C40+'1.5.sz.mell.'!C40</f>
        <v>13520000</v>
      </c>
      <c r="I40" s="339">
        <f t="shared" si="1"/>
        <v>0</v>
      </c>
    </row>
    <row r="41" spans="1:9" s="183" customFormat="1" ht="12" customHeight="1" thickBot="1" x14ac:dyDescent="0.25">
      <c r="A41" s="17" t="s">
        <v>20</v>
      </c>
      <c r="B41" s="18" t="s">
        <v>396</v>
      </c>
      <c r="C41" s="117">
        <f>SUM(D41:F41)</f>
        <v>367517639</v>
      </c>
      <c r="D41" s="267">
        <f>SUM(D42:D52)</f>
        <v>69179396</v>
      </c>
      <c r="E41" s="112">
        <f>SUM(E42:E52)</f>
        <v>10088614</v>
      </c>
      <c r="F41" s="112">
        <f>SUM(F42:F52)</f>
        <v>288249629</v>
      </c>
      <c r="H41" s="336">
        <f>'1.2.sz.mell. '!C41+'1.3.sz.mell.'!C41+'1.4.sz.mell. '!C41+'1.5.sz.mell.'!C41</f>
        <v>367517639</v>
      </c>
      <c r="I41" s="336">
        <f t="shared" si="1"/>
        <v>0</v>
      </c>
    </row>
    <row r="42" spans="1:9" s="183" customFormat="1" ht="12" customHeight="1" thickBot="1" x14ac:dyDescent="0.25">
      <c r="A42" s="12" t="s">
        <v>79</v>
      </c>
      <c r="B42" s="184" t="s">
        <v>209</v>
      </c>
      <c r="C42" s="408">
        <f t="shared" si="0"/>
        <v>0</v>
      </c>
      <c r="D42" s="866"/>
      <c r="E42" s="222"/>
      <c r="F42" s="222"/>
      <c r="H42" s="336">
        <f>'1.2.sz.mell. '!C42+'1.3.sz.mell.'!C42+'1.4.sz.mell. '!C42+'1.5.sz.mell.'!C42</f>
        <v>0</v>
      </c>
      <c r="I42" s="337">
        <f t="shared" si="1"/>
        <v>0</v>
      </c>
    </row>
    <row r="43" spans="1:9" s="183" customFormat="1" ht="12.75" customHeight="1" thickBot="1" x14ac:dyDescent="0.25">
      <c r="A43" s="11" t="s">
        <v>80</v>
      </c>
      <c r="B43" s="185" t="s">
        <v>210</v>
      </c>
      <c r="C43" s="290">
        <f t="shared" si="0"/>
        <v>67234315</v>
      </c>
      <c r="D43" s="864">
        <f>16336984-3004139</f>
        <v>13332845</v>
      </c>
      <c r="E43" s="863">
        <v>5076402</v>
      </c>
      <c r="F43" s="222">
        <f>25515233+11296835+600000+11413000</f>
        <v>48825068</v>
      </c>
      <c r="H43" s="336">
        <f>'1.2.sz.mell. '!C43+'1.3.sz.mell.'!C43+'1.4.sz.mell. '!C43+'1.5.sz.mell.'!C43</f>
        <v>67234315</v>
      </c>
      <c r="I43" s="338">
        <f t="shared" si="1"/>
        <v>0</v>
      </c>
    </row>
    <row r="44" spans="1:9" s="183" customFormat="1" ht="12" customHeight="1" thickBot="1" x14ac:dyDescent="0.25">
      <c r="A44" s="11" t="s">
        <v>81</v>
      </c>
      <c r="B44" s="185" t="s">
        <v>211</v>
      </c>
      <c r="C44" s="290">
        <f t="shared" ref="C44:C94" si="3">SUM(D44:F44)</f>
        <v>29233899</v>
      </c>
      <c r="D44" s="864">
        <f>9686744+10000+783507</f>
        <v>10480251</v>
      </c>
      <c r="E44" s="863">
        <v>2788648</v>
      </c>
      <c r="F44" s="222">
        <f>1270000+5000+4600000+10090000</f>
        <v>15965000</v>
      </c>
      <c r="H44" s="336">
        <f>'1.2.sz.mell. '!C44+'1.3.sz.mell.'!C44+'1.4.sz.mell. '!C44+'1.5.sz.mell.'!C44</f>
        <v>29233899</v>
      </c>
      <c r="I44" s="338">
        <f t="shared" si="1"/>
        <v>0</v>
      </c>
    </row>
    <row r="45" spans="1:9" s="183" customFormat="1" ht="12" customHeight="1" thickBot="1" x14ac:dyDescent="0.25">
      <c r="A45" s="11" t="s">
        <v>127</v>
      </c>
      <c r="B45" s="185" t="s">
        <v>212</v>
      </c>
      <c r="C45" s="290">
        <f t="shared" si="3"/>
        <v>6822173</v>
      </c>
      <c r="D45" s="864">
        <f>3743473+3078700</f>
        <v>6822173</v>
      </c>
      <c r="E45" s="863"/>
      <c r="F45" s="222"/>
      <c r="H45" s="336">
        <f>'1.2.sz.mell. '!C45+'1.3.sz.mell.'!C45+'1.4.sz.mell. '!C45+'1.5.sz.mell.'!C45</f>
        <v>6822173</v>
      </c>
      <c r="I45" s="338">
        <f t="shared" si="1"/>
        <v>0</v>
      </c>
    </row>
    <row r="46" spans="1:9" s="183" customFormat="1" ht="12" customHeight="1" thickBot="1" x14ac:dyDescent="0.25">
      <c r="A46" s="11" t="s">
        <v>128</v>
      </c>
      <c r="B46" s="185" t="s">
        <v>213</v>
      </c>
      <c r="C46" s="290">
        <f>SUM(D46:F46)</f>
        <v>199444919</v>
      </c>
      <c r="D46" s="864"/>
      <c r="E46" s="863"/>
      <c r="F46" s="222">
        <f>1175672+23682732+1011380+173575135</f>
        <v>199444919</v>
      </c>
      <c r="H46" s="336">
        <f>'1.2.sz.mell. '!C46+'1.3.sz.mell.'!C46+'1.4.sz.mell. '!C46+'1.5.sz.mell.'!C46</f>
        <v>199444919</v>
      </c>
      <c r="I46" s="338">
        <f t="shared" si="1"/>
        <v>0</v>
      </c>
    </row>
    <row r="47" spans="1:9" s="183" customFormat="1" ht="12" customHeight="1" thickBot="1" x14ac:dyDescent="0.25">
      <c r="A47" s="11" t="s">
        <v>129</v>
      </c>
      <c r="B47" s="185" t="s">
        <v>214</v>
      </c>
      <c r="C47" s="290">
        <f t="shared" si="3"/>
        <v>24329911</v>
      </c>
      <c r="D47" s="864">
        <f>8308287+322263</f>
        <v>8630550</v>
      </c>
      <c r="E47" s="863">
        <v>2123564</v>
      </c>
      <c r="F47" s="222">
        <f>6457815+1525999+1677073+3914910</f>
        <v>13575797</v>
      </c>
      <c r="H47" s="336">
        <f>'1.2.sz.mell. '!C47+'1.3.sz.mell.'!C47+'1.4.sz.mell. '!C47+'1.5.sz.mell.'!C47</f>
        <v>24329911</v>
      </c>
      <c r="I47" s="338">
        <f t="shared" si="1"/>
        <v>0</v>
      </c>
    </row>
    <row r="48" spans="1:9" s="183" customFormat="1" ht="12" customHeight="1" thickBot="1" x14ac:dyDescent="0.25">
      <c r="A48" s="11" t="s">
        <v>130</v>
      </c>
      <c r="B48" s="185" t="s">
        <v>215</v>
      </c>
      <c r="C48" s="290">
        <f t="shared" si="3"/>
        <v>37770645</v>
      </c>
      <c r="D48" s="864">
        <f>25525800+1809000</f>
        <v>27334800</v>
      </c>
      <c r="E48" s="863"/>
      <c r="F48" s="222">
        <f>9450092+680000+305753</f>
        <v>10435845</v>
      </c>
      <c r="H48" s="336">
        <f>'1.2.sz.mell. '!C48+'1.3.sz.mell.'!C48+'1.4.sz.mell. '!C48+'1.5.sz.mell.'!C48</f>
        <v>37770645</v>
      </c>
      <c r="I48" s="338">
        <f t="shared" si="1"/>
        <v>0</v>
      </c>
    </row>
    <row r="49" spans="1:9" s="183" customFormat="1" ht="12" customHeight="1" thickBot="1" x14ac:dyDescent="0.25">
      <c r="A49" s="11" t="s">
        <v>131</v>
      </c>
      <c r="B49" s="185" t="s">
        <v>484</v>
      </c>
      <c r="C49" s="290">
        <f t="shared" si="3"/>
        <v>0</v>
      </c>
      <c r="D49" s="864"/>
      <c r="E49" s="863"/>
      <c r="F49" s="222"/>
      <c r="H49" s="336">
        <f>'1.2.sz.mell. '!C49+'1.3.sz.mell.'!C49+'1.4.sz.mell. '!C49+'1.5.sz.mell.'!C49</f>
        <v>0</v>
      </c>
      <c r="I49" s="338">
        <f t="shared" si="1"/>
        <v>0</v>
      </c>
    </row>
    <row r="50" spans="1:9" s="183" customFormat="1" ht="12" customHeight="1" thickBot="1" x14ac:dyDescent="0.25">
      <c r="A50" s="11" t="s">
        <v>207</v>
      </c>
      <c r="B50" s="185" t="s">
        <v>217</v>
      </c>
      <c r="C50" s="290">
        <f t="shared" si="3"/>
        <v>0</v>
      </c>
      <c r="D50" s="864"/>
      <c r="E50" s="863"/>
      <c r="F50" s="222"/>
      <c r="H50" s="336">
        <f>'1.2.sz.mell. '!C50+'1.3.sz.mell.'!C50+'1.4.sz.mell. '!C50+'1.5.sz.mell.'!C50</f>
        <v>0</v>
      </c>
      <c r="I50" s="338">
        <f t="shared" si="1"/>
        <v>0</v>
      </c>
    </row>
    <row r="51" spans="1:9" s="183" customFormat="1" ht="12" customHeight="1" thickBot="1" x14ac:dyDescent="0.25">
      <c r="A51" s="13" t="s">
        <v>208</v>
      </c>
      <c r="B51" s="186" t="s">
        <v>397</v>
      </c>
      <c r="C51" s="290">
        <f t="shared" si="3"/>
        <v>1000000</v>
      </c>
      <c r="D51" s="865">
        <v>1000000</v>
      </c>
      <c r="E51" s="173"/>
      <c r="F51" s="222"/>
      <c r="H51" s="336">
        <f>'1.2.sz.mell. '!C51+'1.3.sz.mell.'!C51+'1.4.sz.mell. '!C51+'1.5.sz.mell.'!C51</f>
        <v>1000000</v>
      </c>
      <c r="I51" s="338">
        <f t="shared" si="1"/>
        <v>0</v>
      </c>
    </row>
    <row r="52" spans="1:9" s="183" customFormat="1" ht="12" customHeight="1" thickBot="1" x14ac:dyDescent="0.25">
      <c r="A52" s="13" t="s">
        <v>398</v>
      </c>
      <c r="B52" s="109" t="s">
        <v>218</v>
      </c>
      <c r="C52" s="409">
        <f t="shared" si="3"/>
        <v>1681777</v>
      </c>
      <c r="D52" s="865">
        <f>1514062+4715+60000</f>
        <v>1578777</v>
      </c>
      <c r="E52" s="173">
        <v>100000</v>
      </c>
      <c r="F52" s="222">
        <v>3000</v>
      </c>
      <c r="H52" s="336">
        <f>'1.2.sz.mell. '!C52+'1.3.sz.mell.'!C52+'1.4.sz.mell. '!C52+'1.5.sz.mell.'!C52</f>
        <v>1681777</v>
      </c>
      <c r="I52" s="339">
        <f t="shared" si="1"/>
        <v>0</v>
      </c>
    </row>
    <row r="53" spans="1:9" s="183" customFormat="1" ht="12" customHeight="1" thickBot="1" x14ac:dyDescent="0.25">
      <c r="A53" s="17" t="s">
        <v>21</v>
      </c>
      <c r="B53" s="18" t="s">
        <v>219</v>
      </c>
      <c r="C53" s="117">
        <f t="shared" si="3"/>
        <v>63000000</v>
      </c>
      <c r="D53" s="267">
        <f>SUM(D54:D58)</f>
        <v>63000000</v>
      </c>
      <c r="E53" s="112">
        <f>SUM(E54:E58)</f>
        <v>0</v>
      </c>
      <c r="F53" s="112">
        <f>SUM(F54:F58)</f>
        <v>0</v>
      </c>
      <c r="H53" s="336">
        <f>'1.2.sz.mell. '!C53+'1.3.sz.mell.'!C53+'1.4.sz.mell. '!C53+'1.5.sz.mell.'!C53</f>
        <v>63000000</v>
      </c>
      <c r="I53" s="336">
        <f t="shared" si="1"/>
        <v>0</v>
      </c>
    </row>
    <row r="54" spans="1:9" s="183" customFormat="1" ht="12" customHeight="1" thickBot="1" x14ac:dyDescent="0.25">
      <c r="A54" s="12" t="s">
        <v>82</v>
      </c>
      <c r="B54" s="184" t="s">
        <v>223</v>
      </c>
      <c r="C54" s="1028">
        <f t="shared" si="3"/>
        <v>0</v>
      </c>
      <c r="D54" s="866"/>
      <c r="E54" s="222"/>
      <c r="F54" s="222"/>
      <c r="H54" s="336">
        <f>'1.2.sz.mell. '!C54+'1.3.sz.mell.'!C54+'1.4.sz.mell. '!C54+'1.5.sz.mell.'!C54</f>
        <v>0</v>
      </c>
      <c r="I54" s="337">
        <f t="shared" si="1"/>
        <v>0</v>
      </c>
    </row>
    <row r="55" spans="1:9" s="183" customFormat="1" ht="12" customHeight="1" thickBot="1" x14ac:dyDescent="0.25">
      <c r="A55" s="11" t="s">
        <v>83</v>
      </c>
      <c r="B55" s="185" t="s">
        <v>224</v>
      </c>
      <c r="C55" s="290">
        <f t="shared" si="3"/>
        <v>63000000</v>
      </c>
      <c r="D55" s="864">
        <v>63000000</v>
      </c>
      <c r="E55" s="863"/>
      <c r="F55" s="863"/>
      <c r="H55" s="336">
        <f>'1.2.sz.mell. '!C55+'1.3.sz.mell.'!C55+'1.4.sz.mell. '!C55+'1.5.sz.mell.'!C55</f>
        <v>63000000</v>
      </c>
      <c r="I55" s="338">
        <f t="shared" si="1"/>
        <v>0</v>
      </c>
    </row>
    <row r="56" spans="1:9" s="183" customFormat="1" ht="12" customHeight="1" thickBot="1" x14ac:dyDescent="0.25">
      <c r="A56" s="11" t="s">
        <v>220</v>
      </c>
      <c r="B56" s="185" t="s">
        <v>225</v>
      </c>
      <c r="C56" s="290">
        <f t="shared" si="3"/>
        <v>0</v>
      </c>
      <c r="D56" s="864"/>
      <c r="E56" s="863"/>
      <c r="F56" s="863"/>
      <c r="H56" s="336">
        <f>'1.2.sz.mell. '!C56+'1.3.sz.mell.'!C56+'1.4.sz.mell. '!C56+'1.5.sz.mell.'!C56</f>
        <v>0</v>
      </c>
      <c r="I56" s="338">
        <f t="shared" si="1"/>
        <v>0</v>
      </c>
    </row>
    <row r="57" spans="1:9" s="183" customFormat="1" ht="12" customHeight="1" thickBot="1" x14ac:dyDescent="0.25">
      <c r="A57" s="11" t="s">
        <v>221</v>
      </c>
      <c r="B57" s="185" t="s">
        <v>226</v>
      </c>
      <c r="C57" s="290">
        <f t="shared" si="3"/>
        <v>0</v>
      </c>
      <c r="D57" s="864"/>
      <c r="E57" s="863"/>
      <c r="F57" s="863"/>
      <c r="H57" s="336">
        <f>'1.2.sz.mell. '!C57+'1.3.sz.mell.'!C57+'1.4.sz.mell. '!C57+'1.5.sz.mell.'!C57</f>
        <v>0</v>
      </c>
      <c r="I57" s="338">
        <f t="shared" si="1"/>
        <v>0</v>
      </c>
    </row>
    <row r="58" spans="1:9" s="183" customFormat="1" ht="12" customHeight="1" thickBot="1" x14ac:dyDescent="0.25">
      <c r="A58" s="13" t="s">
        <v>222</v>
      </c>
      <c r="B58" s="109" t="s">
        <v>227</v>
      </c>
      <c r="C58" s="1029">
        <f t="shared" si="3"/>
        <v>0</v>
      </c>
      <c r="D58" s="865"/>
      <c r="E58" s="173"/>
      <c r="F58" s="173"/>
      <c r="H58" s="336">
        <f>'1.2.sz.mell. '!C58+'1.3.sz.mell.'!C58+'1.4.sz.mell. '!C58+'1.5.sz.mell.'!C58</f>
        <v>0</v>
      </c>
      <c r="I58" s="339">
        <f t="shared" si="1"/>
        <v>0</v>
      </c>
    </row>
    <row r="59" spans="1:9" s="183" customFormat="1" ht="12" customHeight="1" thickBot="1" x14ac:dyDescent="0.25">
      <c r="A59" s="17" t="s">
        <v>132</v>
      </c>
      <c r="B59" s="387" t="s">
        <v>228</v>
      </c>
      <c r="C59" s="480">
        <f t="shared" si="3"/>
        <v>11607028</v>
      </c>
      <c r="D59" s="267">
        <f>SUM(D60:D62)</f>
        <v>11607028</v>
      </c>
      <c r="E59" s="112">
        <f>SUM(E60:E62)</f>
        <v>0</v>
      </c>
      <c r="F59" s="112">
        <f>SUM(F60:F62)</f>
        <v>0</v>
      </c>
      <c r="H59" s="336">
        <f>'1.2.sz.mell. '!C59+'1.3.sz.mell.'!C59+'1.4.sz.mell. '!C59+'1.5.sz.mell.'!C59</f>
        <v>11607028</v>
      </c>
      <c r="I59" s="336">
        <f t="shared" si="1"/>
        <v>0</v>
      </c>
    </row>
    <row r="60" spans="1:9" s="183" customFormat="1" ht="12" customHeight="1" thickBot="1" x14ac:dyDescent="0.25">
      <c r="A60" s="12" t="s">
        <v>84</v>
      </c>
      <c r="B60" s="184" t="s">
        <v>229</v>
      </c>
      <c r="C60" s="289">
        <f t="shared" si="3"/>
        <v>1000000</v>
      </c>
      <c r="D60" s="269">
        <v>1000000</v>
      </c>
      <c r="E60" s="114"/>
      <c r="F60" s="114"/>
      <c r="H60" s="336">
        <f>'1.2.sz.mell. '!C60+'1.3.sz.mell.'!C60+'1.4.sz.mell. '!C60+'1.5.sz.mell.'!C60</f>
        <v>1000000</v>
      </c>
      <c r="I60" s="337">
        <f t="shared" si="1"/>
        <v>0</v>
      </c>
    </row>
    <row r="61" spans="1:9" s="183" customFormat="1" ht="12" customHeight="1" thickBot="1" x14ac:dyDescent="0.25">
      <c r="A61" s="11" t="s">
        <v>85</v>
      </c>
      <c r="B61" s="185" t="s">
        <v>358</v>
      </c>
      <c r="C61" s="290">
        <f t="shared" si="3"/>
        <v>200000</v>
      </c>
      <c r="D61" s="864">
        <v>200000</v>
      </c>
      <c r="E61" s="863"/>
      <c r="F61" s="863"/>
      <c r="H61" s="336">
        <f>'1.2.sz.mell. '!C61+'1.3.sz.mell.'!C61+'1.4.sz.mell. '!C61+'1.5.sz.mell.'!C61</f>
        <v>200000</v>
      </c>
      <c r="I61" s="338">
        <f t="shared" si="1"/>
        <v>0</v>
      </c>
    </row>
    <row r="62" spans="1:9" s="183" customFormat="1" ht="12" customHeight="1" thickBot="1" x14ac:dyDescent="0.25">
      <c r="A62" s="11" t="s">
        <v>232</v>
      </c>
      <c r="B62" s="185" t="s">
        <v>230</v>
      </c>
      <c r="C62" s="845">
        <f t="shared" si="3"/>
        <v>10407028</v>
      </c>
      <c r="D62" s="864">
        <f>1000000-726000+10000000+133028</f>
        <v>10407028</v>
      </c>
      <c r="E62" s="863"/>
      <c r="F62" s="863"/>
      <c r="H62" s="336">
        <f>'1.2.sz.mell. '!C62+'1.3.sz.mell.'!C62+'1.4.sz.mell. '!C62+'1.5.sz.mell.'!C62</f>
        <v>10407028</v>
      </c>
      <c r="I62" s="338">
        <f t="shared" si="1"/>
        <v>0</v>
      </c>
    </row>
    <row r="63" spans="1:9" s="183" customFormat="1" ht="12" customHeight="1" thickBot="1" x14ac:dyDescent="0.25">
      <c r="A63" s="13" t="s">
        <v>233</v>
      </c>
      <c r="B63" s="109" t="s">
        <v>231</v>
      </c>
      <c r="C63" s="409">
        <f t="shared" si="3"/>
        <v>0</v>
      </c>
      <c r="D63" s="102"/>
      <c r="E63" s="115"/>
      <c r="F63" s="115"/>
      <c r="H63" s="336">
        <f>'1.2.sz.mell. '!C63+'1.3.sz.mell.'!C63+'1.4.sz.mell. '!C63+'1.5.sz.mell.'!C63</f>
        <v>0</v>
      </c>
      <c r="I63" s="339">
        <f t="shared" si="1"/>
        <v>0</v>
      </c>
    </row>
    <row r="64" spans="1:9" s="183" customFormat="1" ht="12" customHeight="1" thickBot="1" x14ac:dyDescent="0.25">
      <c r="A64" s="17" t="s">
        <v>23</v>
      </c>
      <c r="B64" s="107" t="s">
        <v>234</v>
      </c>
      <c r="C64" s="117">
        <f t="shared" si="3"/>
        <v>250000</v>
      </c>
      <c r="D64" s="267">
        <f>SUM(D65:D67)</f>
        <v>250000</v>
      </c>
      <c r="E64" s="112">
        <f>SUM(E65:E67)</f>
        <v>0</v>
      </c>
      <c r="F64" s="112">
        <f>SUM(F65:F67)</f>
        <v>0</v>
      </c>
      <c r="H64" s="336">
        <f>'1.2.sz.mell. '!C64+'1.3.sz.mell.'!C64+'1.4.sz.mell. '!C64+'1.5.sz.mell.'!C64</f>
        <v>250000</v>
      </c>
      <c r="I64" s="336">
        <f t="shared" si="1"/>
        <v>0</v>
      </c>
    </row>
    <row r="65" spans="1:9" s="183" customFormat="1" ht="12" customHeight="1" thickBot="1" x14ac:dyDescent="0.25">
      <c r="A65" s="12" t="s">
        <v>133</v>
      </c>
      <c r="B65" s="184" t="s">
        <v>236</v>
      </c>
      <c r="C65" s="1028">
        <f t="shared" si="3"/>
        <v>0</v>
      </c>
      <c r="D65" s="864"/>
      <c r="E65" s="863"/>
      <c r="F65" s="863"/>
      <c r="H65" s="336">
        <f>'1.2.sz.mell. '!C65+'1.3.sz.mell.'!C65+'1.4.sz.mell. '!C65+'1.5.sz.mell.'!C65</f>
        <v>0</v>
      </c>
      <c r="I65" s="337">
        <f t="shared" si="1"/>
        <v>0</v>
      </c>
    </row>
    <row r="66" spans="1:9" s="183" customFormat="1" ht="12" customHeight="1" thickBot="1" x14ac:dyDescent="0.25">
      <c r="A66" s="11" t="s">
        <v>134</v>
      </c>
      <c r="B66" s="185" t="s">
        <v>359</v>
      </c>
      <c r="C66" s="959">
        <f t="shared" si="3"/>
        <v>0</v>
      </c>
      <c r="D66" s="864"/>
      <c r="E66" s="863"/>
      <c r="F66" s="863"/>
      <c r="H66" s="336">
        <f>'1.2.sz.mell. '!C66+'1.3.sz.mell.'!C66+'1.4.sz.mell. '!C66+'1.5.sz.mell.'!C66</f>
        <v>0</v>
      </c>
      <c r="I66" s="338">
        <f t="shared" si="1"/>
        <v>0</v>
      </c>
    </row>
    <row r="67" spans="1:9" s="183" customFormat="1" ht="12" customHeight="1" thickBot="1" x14ac:dyDescent="0.25">
      <c r="A67" s="11" t="s">
        <v>160</v>
      </c>
      <c r="B67" s="185" t="s">
        <v>237</v>
      </c>
      <c r="C67" s="290">
        <f t="shared" si="3"/>
        <v>250000</v>
      </c>
      <c r="D67" s="864">
        <f>200000+50000</f>
        <v>250000</v>
      </c>
      <c r="E67" s="863"/>
      <c r="F67" s="863"/>
      <c r="H67" s="336">
        <f>'1.2.sz.mell. '!C67+'1.3.sz.mell.'!C67+'1.4.sz.mell. '!C67+'1.5.sz.mell.'!C67</f>
        <v>250000</v>
      </c>
      <c r="I67" s="338">
        <f t="shared" si="1"/>
        <v>0</v>
      </c>
    </row>
    <row r="68" spans="1:9" s="183" customFormat="1" ht="12" customHeight="1" thickBot="1" x14ac:dyDescent="0.25">
      <c r="A68" s="13" t="s">
        <v>235</v>
      </c>
      <c r="B68" s="109" t="s">
        <v>238</v>
      </c>
      <c r="C68" s="409">
        <f t="shared" si="3"/>
        <v>0</v>
      </c>
      <c r="D68" s="864"/>
      <c r="E68" s="863"/>
      <c r="F68" s="863"/>
      <c r="H68" s="336">
        <f>'1.2.sz.mell. '!C68+'1.3.sz.mell.'!C68+'1.4.sz.mell. '!C68+'1.5.sz.mell.'!C68</f>
        <v>0</v>
      </c>
      <c r="I68" s="339">
        <f t="shared" si="1"/>
        <v>0</v>
      </c>
    </row>
    <row r="69" spans="1:9" s="183" customFormat="1" ht="12" customHeight="1" thickBot="1" x14ac:dyDescent="0.25">
      <c r="A69" s="243" t="s">
        <v>399</v>
      </c>
      <c r="B69" s="18" t="s">
        <v>239</v>
      </c>
      <c r="C69" s="117">
        <f t="shared" si="3"/>
        <v>4931770401</v>
      </c>
      <c r="D69" s="270">
        <f>+D11+D20+D27+D34+D41+D53+D59+D64</f>
        <v>4471703858</v>
      </c>
      <c r="E69" s="117">
        <f>+E11+E20+E27+E34+E41+E53+E59+E64</f>
        <v>10088614</v>
      </c>
      <c r="F69" s="117">
        <f>+F11+F20+F27+F34+F41+F53+F59+F64</f>
        <v>449977929</v>
      </c>
      <c r="H69" s="336">
        <f>'1.2.sz.mell. '!C69+'1.3.sz.mell.'!C69+'1.4.sz.mell. '!C69+'1.5.sz.mell.'!C69</f>
        <v>4931770401</v>
      </c>
      <c r="I69" s="336">
        <f t="shared" si="1"/>
        <v>0</v>
      </c>
    </row>
    <row r="70" spans="1:9" s="183" customFormat="1" ht="12" customHeight="1" thickBot="1" x14ac:dyDescent="0.25">
      <c r="A70" s="244" t="s">
        <v>240</v>
      </c>
      <c r="B70" s="107" t="s">
        <v>241</v>
      </c>
      <c r="C70" s="117">
        <f t="shared" si="3"/>
        <v>1035562529</v>
      </c>
      <c r="D70" s="267">
        <f>SUM(D71:D73)</f>
        <v>1035562529</v>
      </c>
      <c r="E70" s="112">
        <f>SUM(E71:E73)</f>
        <v>0</v>
      </c>
      <c r="F70" s="112">
        <f>SUM(F71:F73)</f>
        <v>0</v>
      </c>
      <c r="H70" s="336">
        <f>'1.2.sz.mell. '!C70+'1.3.sz.mell.'!C70+'1.4.sz.mell. '!C70+'1.5.sz.mell.'!C70</f>
        <v>1035562529</v>
      </c>
      <c r="I70" s="336">
        <f t="shared" si="1"/>
        <v>0</v>
      </c>
    </row>
    <row r="71" spans="1:9" s="183" customFormat="1" ht="12" customHeight="1" thickBot="1" x14ac:dyDescent="0.25">
      <c r="A71" s="12" t="s">
        <v>272</v>
      </c>
      <c r="B71" s="184" t="s">
        <v>242</v>
      </c>
      <c r="C71" s="408">
        <f t="shared" si="3"/>
        <v>185562529</v>
      </c>
      <c r="D71" s="864">
        <f>11503705+7058824+167000000</f>
        <v>185562529</v>
      </c>
      <c r="E71" s="863"/>
      <c r="F71" s="863"/>
      <c r="H71" s="336">
        <f>'1.2.sz.mell. '!C71+'1.3.sz.mell.'!C71+'1.4.sz.mell. '!C71+'1.5.sz.mell.'!C71</f>
        <v>185562529</v>
      </c>
      <c r="I71" s="337">
        <f t="shared" si="1"/>
        <v>0</v>
      </c>
    </row>
    <row r="72" spans="1:9" s="183" customFormat="1" ht="12" customHeight="1" thickBot="1" x14ac:dyDescent="0.25">
      <c r="A72" s="11" t="s">
        <v>281</v>
      </c>
      <c r="B72" s="185" t="s">
        <v>243</v>
      </c>
      <c r="C72" s="290">
        <f t="shared" si="3"/>
        <v>850000000</v>
      </c>
      <c r="D72" s="864">
        <v>850000000</v>
      </c>
      <c r="E72" s="863"/>
      <c r="F72" s="863"/>
      <c r="H72" s="336">
        <f>'1.2.sz.mell. '!C72+'1.3.sz.mell.'!C72+'1.4.sz.mell. '!C72+'1.5.sz.mell.'!C72</f>
        <v>850000000</v>
      </c>
      <c r="I72" s="338">
        <f t="shared" si="1"/>
        <v>0</v>
      </c>
    </row>
    <row r="73" spans="1:9" s="183" customFormat="1" ht="12" customHeight="1" thickBot="1" x14ac:dyDescent="0.25">
      <c r="A73" s="13" t="s">
        <v>282</v>
      </c>
      <c r="B73" s="245" t="s">
        <v>400</v>
      </c>
      <c r="C73" s="1029">
        <f t="shared" si="3"/>
        <v>0</v>
      </c>
      <c r="D73" s="864"/>
      <c r="E73" s="863"/>
      <c r="F73" s="863"/>
      <c r="H73" s="336">
        <f>'1.2.sz.mell. '!C73+'1.3.sz.mell.'!C73+'1.4.sz.mell. '!C73+'1.5.sz.mell.'!C73</f>
        <v>0</v>
      </c>
      <c r="I73" s="339">
        <f t="shared" si="1"/>
        <v>0</v>
      </c>
    </row>
    <row r="74" spans="1:9" s="183" customFormat="1" ht="12" customHeight="1" thickBot="1" x14ac:dyDescent="0.25">
      <c r="A74" s="244" t="s">
        <v>245</v>
      </c>
      <c r="B74" s="107" t="s">
        <v>246</v>
      </c>
      <c r="C74" s="117">
        <f t="shared" si="3"/>
        <v>0</v>
      </c>
      <c r="D74" s="267">
        <f>SUM(D75:D78)</f>
        <v>0</v>
      </c>
      <c r="E74" s="112">
        <f>SUM(E75:E78)</f>
        <v>0</v>
      </c>
      <c r="F74" s="112">
        <f>SUM(F75:F78)</f>
        <v>0</v>
      </c>
      <c r="H74" s="336">
        <f>'1.2.sz.mell. '!C74+'1.3.sz.mell.'!C74+'1.4.sz.mell. '!C74+'1.5.sz.mell.'!C74</f>
        <v>0</v>
      </c>
      <c r="I74" s="336">
        <f t="shared" si="1"/>
        <v>0</v>
      </c>
    </row>
    <row r="75" spans="1:9" s="183" customFormat="1" ht="12" customHeight="1" thickBot="1" x14ac:dyDescent="0.25">
      <c r="A75" s="12" t="s">
        <v>113</v>
      </c>
      <c r="B75" s="184" t="s">
        <v>247</v>
      </c>
      <c r="C75" s="1028">
        <f t="shared" si="3"/>
        <v>0</v>
      </c>
      <c r="D75" s="864"/>
      <c r="E75" s="863"/>
      <c r="F75" s="863"/>
      <c r="H75" s="336">
        <f>'1.2.sz.mell. '!C75+'1.3.sz.mell.'!C75+'1.4.sz.mell. '!C75+'1.5.sz.mell.'!C75</f>
        <v>0</v>
      </c>
      <c r="I75" s="337">
        <f t="shared" si="1"/>
        <v>0</v>
      </c>
    </row>
    <row r="76" spans="1:9" s="183" customFormat="1" ht="12" customHeight="1" thickBot="1" x14ac:dyDescent="0.25">
      <c r="A76" s="11" t="s">
        <v>114</v>
      </c>
      <c r="B76" s="185" t="s">
        <v>807</v>
      </c>
      <c r="C76" s="959">
        <f t="shared" si="3"/>
        <v>0</v>
      </c>
      <c r="D76" s="864"/>
      <c r="E76" s="863"/>
      <c r="F76" s="863"/>
      <c r="H76" s="336">
        <f>'1.2.sz.mell. '!C76+'1.3.sz.mell.'!C76+'1.4.sz.mell. '!C76+'1.5.sz.mell.'!C76</f>
        <v>0</v>
      </c>
      <c r="I76" s="338">
        <f t="shared" ref="I76:I94" si="4">C76-H76</f>
        <v>0</v>
      </c>
    </row>
    <row r="77" spans="1:9" s="183" customFormat="1" ht="12" customHeight="1" thickBot="1" x14ac:dyDescent="0.25">
      <c r="A77" s="11" t="s">
        <v>273</v>
      </c>
      <c r="B77" s="185" t="s">
        <v>249</v>
      </c>
      <c r="C77" s="959">
        <f t="shared" si="3"/>
        <v>0</v>
      </c>
      <c r="D77" s="864"/>
      <c r="E77" s="863"/>
      <c r="F77" s="863"/>
      <c r="H77" s="336">
        <f>'1.2.sz.mell. '!C77+'1.3.sz.mell.'!C77+'1.4.sz.mell. '!C77+'1.5.sz.mell.'!C77</f>
        <v>0</v>
      </c>
      <c r="I77" s="338">
        <f t="shared" si="4"/>
        <v>0</v>
      </c>
    </row>
    <row r="78" spans="1:9" s="183" customFormat="1" ht="12" customHeight="1" thickBot="1" x14ac:dyDescent="0.25">
      <c r="A78" s="13" t="s">
        <v>274</v>
      </c>
      <c r="B78" s="109" t="s">
        <v>808</v>
      </c>
      <c r="C78" s="1029">
        <f t="shared" si="3"/>
        <v>0</v>
      </c>
      <c r="D78" s="864"/>
      <c r="E78" s="863"/>
      <c r="F78" s="863"/>
      <c r="H78" s="336">
        <f>'1.2.sz.mell. '!C78+'1.3.sz.mell.'!C78+'1.4.sz.mell. '!C78+'1.5.sz.mell.'!C78</f>
        <v>0</v>
      </c>
      <c r="I78" s="339">
        <f t="shared" si="4"/>
        <v>0</v>
      </c>
    </row>
    <row r="79" spans="1:9" s="183" customFormat="1" ht="12" customHeight="1" thickBot="1" x14ac:dyDescent="0.25">
      <c r="A79" s="244" t="s">
        <v>251</v>
      </c>
      <c r="B79" s="107" t="s">
        <v>252</v>
      </c>
      <c r="C79" s="117">
        <f t="shared" si="3"/>
        <v>856482639</v>
      </c>
      <c r="D79" s="267">
        <f>SUM(D80:D81)</f>
        <v>847491815</v>
      </c>
      <c r="E79" s="112">
        <f>SUM(E80:E81)</f>
        <v>216699</v>
      </c>
      <c r="F79" s="112">
        <f>SUM(F80:F81)</f>
        <v>8774125</v>
      </c>
      <c r="H79" s="336">
        <f>'1.2.sz.mell. '!C79+'1.3.sz.mell.'!C79+'1.4.sz.mell. '!C79+'1.5.sz.mell.'!C79</f>
        <v>856482639</v>
      </c>
      <c r="I79" s="336">
        <f t="shared" si="4"/>
        <v>0</v>
      </c>
    </row>
    <row r="80" spans="1:9" s="183" customFormat="1" ht="12" customHeight="1" thickBot="1" x14ac:dyDescent="0.25">
      <c r="A80" s="12" t="s">
        <v>275</v>
      </c>
      <c r="B80" s="184" t="s">
        <v>253</v>
      </c>
      <c r="C80" s="408">
        <f t="shared" si="3"/>
        <v>856482639</v>
      </c>
      <c r="D80" s="864">
        <v>847491815</v>
      </c>
      <c r="E80" s="863">
        <v>216699</v>
      </c>
      <c r="F80" s="863">
        <f>284491+913769+284096+1261346+6030423</f>
        <v>8774125</v>
      </c>
      <c r="H80" s="336">
        <f>'1.2.sz.mell. '!C80+'1.3.sz.mell.'!C80+'1.4.sz.mell. '!C80+'1.5.sz.mell.'!C80</f>
        <v>856482639</v>
      </c>
      <c r="I80" s="337">
        <f t="shared" si="4"/>
        <v>0</v>
      </c>
    </row>
    <row r="81" spans="1:9" s="183" customFormat="1" ht="12" customHeight="1" thickBot="1" x14ac:dyDescent="0.25">
      <c r="A81" s="13" t="s">
        <v>276</v>
      </c>
      <c r="B81" s="109" t="s">
        <v>254</v>
      </c>
      <c r="C81" s="1029">
        <f t="shared" si="3"/>
        <v>0</v>
      </c>
      <c r="D81" s="864"/>
      <c r="E81" s="863"/>
      <c r="F81" s="863"/>
      <c r="H81" s="336">
        <f>'1.2.sz.mell. '!C81+'1.3.sz.mell.'!C81+'1.4.sz.mell. '!C81+'1.5.sz.mell.'!C81</f>
        <v>0</v>
      </c>
      <c r="I81" s="339">
        <f t="shared" si="4"/>
        <v>0</v>
      </c>
    </row>
    <row r="82" spans="1:9" s="183" customFormat="1" ht="12" customHeight="1" thickBot="1" x14ac:dyDescent="0.25">
      <c r="A82" s="244" t="s">
        <v>255</v>
      </c>
      <c r="B82" s="107" t="s">
        <v>256</v>
      </c>
      <c r="C82" s="117">
        <f t="shared" si="3"/>
        <v>48966750</v>
      </c>
      <c r="D82" s="267">
        <f>SUM(D83:D85)</f>
        <v>48966750</v>
      </c>
      <c r="E82" s="112">
        <f>SUM(E83:E85)</f>
        <v>0</v>
      </c>
      <c r="F82" s="112">
        <f>SUM(F83:F85)</f>
        <v>0</v>
      </c>
      <c r="H82" s="336">
        <f>'1.2.sz.mell. '!C82+'1.3.sz.mell.'!C82+'1.4.sz.mell. '!C82+'1.5.sz.mell.'!C82</f>
        <v>48966750</v>
      </c>
      <c r="I82" s="336">
        <f t="shared" si="4"/>
        <v>0</v>
      </c>
    </row>
    <row r="83" spans="1:9" s="183" customFormat="1" ht="12" customHeight="1" thickBot="1" x14ac:dyDescent="0.25">
      <c r="A83" s="12" t="s">
        <v>277</v>
      </c>
      <c r="B83" s="184" t="s">
        <v>257</v>
      </c>
      <c r="C83" s="408">
        <f t="shared" si="3"/>
        <v>48966750</v>
      </c>
      <c r="D83" s="864">
        <v>48966750</v>
      </c>
      <c r="E83" s="863"/>
      <c r="F83" s="863"/>
      <c r="H83" s="336">
        <f>'1.2.sz.mell. '!C83+'1.3.sz.mell.'!C83+'1.4.sz.mell. '!C83+'1.5.sz.mell.'!C83</f>
        <v>48966750</v>
      </c>
      <c r="I83" s="337">
        <f t="shared" si="4"/>
        <v>0</v>
      </c>
    </row>
    <row r="84" spans="1:9" s="183" customFormat="1" ht="12" customHeight="1" thickBot="1" x14ac:dyDescent="0.25">
      <c r="A84" s="11" t="s">
        <v>278</v>
      </c>
      <c r="B84" s="185" t="s">
        <v>258</v>
      </c>
      <c r="C84" s="959">
        <f t="shared" si="3"/>
        <v>0</v>
      </c>
      <c r="D84" s="864"/>
      <c r="E84" s="863"/>
      <c r="F84" s="863"/>
      <c r="H84" s="336">
        <f>'1.2.sz.mell. '!C84+'1.3.sz.mell.'!C84+'1.4.sz.mell. '!C84+'1.5.sz.mell.'!C84</f>
        <v>0</v>
      </c>
      <c r="I84" s="338">
        <f t="shared" si="4"/>
        <v>0</v>
      </c>
    </row>
    <row r="85" spans="1:9" s="183" customFormat="1" ht="12" customHeight="1" thickBot="1" x14ac:dyDescent="0.25">
      <c r="A85" s="13" t="s">
        <v>279</v>
      </c>
      <c r="B85" s="109" t="s">
        <v>809</v>
      </c>
      <c r="C85" s="1029">
        <f t="shared" si="3"/>
        <v>0</v>
      </c>
      <c r="D85" s="864"/>
      <c r="E85" s="863"/>
      <c r="F85" s="863"/>
      <c r="H85" s="336">
        <f>'1.2.sz.mell. '!C85+'1.3.sz.mell.'!C85+'1.4.sz.mell. '!C85+'1.5.sz.mell.'!C85</f>
        <v>0</v>
      </c>
      <c r="I85" s="339">
        <f t="shared" si="4"/>
        <v>0</v>
      </c>
    </row>
    <row r="86" spans="1:9" s="183" customFormat="1" ht="12" customHeight="1" thickBot="1" x14ac:dyDescent="0.25">
      <c r="A86" s="244" t="s">
        <v>260</v>
      </c>
      <c r="B86" s="107" t="s">
        <v>280</v>
      </c>
      <c r="C86" s="117">
        <f t="shared" si="3"/>
        <v>0</v>
      </c>
      <c r="D86" s="267">
        <f>SUM(D87:D90)</f>
        <v>0</v>
      </c>
      <c r="E86" s="112">
        <f>SUM(E87:E90)</f>
        <v>0</v>
      </c>
      <c r="F86" s="112">
        <f>SUM(F87:F90)</f>
        <v>0</v>
      </c>
      <c r="H86" s="336">
        <f>'1.2.sz.mell. '!C86+'1.3.sz.mell.'!C86+'1.4.sz.mell. '!C86+'1.5.sz.mell.'!C86</f>
        <v>0</v>
      </c>
      <c r="I86" s="336">
        <f t="shared" si="4"/>
        <v>0</v>
      </c>
    </row>
    <row r="87" spans="1:9" s="183" customFormat="1" ht="12" customHeight="1" thickBot="1" x14ac:dyDescent="0.25">
      <c r="A87" s="188" t="s">
        <v>261</v>
      </c>
      <c r="B87" s="184" t="s">
        <v>262</v>
      </c>
      <c r="C87" s="1028">
        <f t="shared" si="3"/>
        <v>0</v>
      </c>
      <c r="D87" s="864"/>
      <c r="E87" s="863"/>
      <c r="F87" s="863"/>
      <c r="H87" s="336">
        <f>'1.2.sz.mell. '!C87+'1.3.sz.mell.'!C87+'1.4.sz.mell. '!C87+'1.5.sz.mell.'!C87</f>
        <v>0</v>
      </c>
      <c r="I87" s="337">
        <f t="shared" si="4"/>
        <v>0</v>
      </c>
    </row>
    <row r="88" spans="1:9" s="183" customFormat="1" ht="12" customHeight="1" thickBot="1" x14ac:dyDescent="0.25">
      <c r="A88" s="189" t="s">
        <v>263</v>
      </c>
      <c r="B88" s="185" t="s">
        <v>264</v>
      </c>
      <c r="C88" s="959">
        <f t="shared" si="3"/>
        <v>0</v>
      </c>
      <c r="D88" s="864"/>
      <c r="E88" s="863"/>
      <c r="F88" s="863"/>
      <c r="H88" s="336">
        <f>'1.2.sz.mell. '!C88+'1.3.sz.mell.'!C88+'1.4.sz.mell. '!C88+'1.5.sz.mell.'!C88</f>
        <v>0</v>
      </c>
      <c r="I88" s="338">
        <f t="shared" si="4"/>
        <v>0</v>
      </c>
    </row>
    <row r="89" spans="1:9" s="183" customFormat="1" ht="12" customHeight="1" thickBot="1" x14ac:dyDescent="0.25">
      <c r="A89" s="189" t="s">
        <v>265</v>
      </c>
      <c r="B89" s="185" t="s">
        <v>266</v>
      </c>
      <c r="C89" s="959">
        <f t="shared" si="3"/>
        <v>0</v>
      </c>
      <c r="D89" s="864"/>
      <c r="E89" s="863"/>
      <c r="F89" s="863"/>
      <c r="H89" s="336">
        <f>'1.2.sz.mell. '!C89+'1.3.sz.mell.'!C89+'1.4.sz.mell. '!C89+'1.5.sz.mell.'!C89</f>
        <v>0</v>
      </c>
      <c r="I89" s="338">
        <f t="shared" si="4"/>
        <v>0</v>
      </c>
    </row>
    <row r="90" spans="1:9" s="183" customFormat="1" ht="12" customHeight="1" thickBot="1" x14ac:dyDescent="0.25">
      <c r="A90" s="190" t="s">
        <v>267</v>
      </c>
      <c r="B90" s="109" t="s">
        <v>268</v>
      </c>
      <c r="C90" s="1029">
        <f t="shared" si="3"/>
        <v>0</v>
      </c>
      <c r="D90" s="864"/>
      <c r="E90" s="863"/>
      <c r="F90" s="863"/>
      <c r="H90" s="336">
        <f>'1.2.sz.mell. '!C90+'1.3.sz.mell.'!C90+'1.4.sz.mell. '!C90+'1.5.sz.mell.'!C90</f>
        <v>0</v>
      </c>
      <c r="I90" s="339">
        <f t="shared" si="4"/>
        <v>0</v>
      </c>
    </row>
    <row r="91" spans="1:9" s="183" customFormat="1" ht="12" customHeight="1" thickBot="1" x14ac:dyDescent="0.25">
      <c r="A91" s="244" t="s">
        <v>269</v>
      </c>
      <c r="B91" s="107" t="s">
        <v>401</v>
      </c>
      <c r="C91" s="117">
        <f t="shared" si="3"/>
        <v>0</v>
      </c>
      <c r="D91" s="272"/>
      <c r="E91" s="223"/>
      <c r="F91" s="223"/>
      <c r="H91" s="336">
        <f>'1.2.sz.mell. '!C91+'1.3.sz.mell.'!C91+'1.4.sz.mell. '!C91+'1.5.sz.mell.'!C91</f>
        <v>0</v>
      </c>
      <c r="I91" s="336">
        <f t="shared" si="4"/>
        <v>0</v>
      </c>
    </row>
    <row r="92" spans="1:9" s="183" customFormat="1" ht="13.5" customHeight="1" thickBot="1" x14ac:dyDescent="0.25">
      <c r="A92" s="244" t="s">
        <v>271</v>
      </c>
      <c r="B92" s="107" t="s">
        <v>270</v>
      </c>
      <c r="C92" s="117">
        <f t="shared" si="3"/>
        <v>0</v>
      </c>
      <c r="D92" s="272"/>
      <c r="E92" s="223"/>
      <c r="F92" s="223"/>
      <c r="H92" s="336">
        <f>'1.2.sz.mell. '!C92+'1.3.sz.mell.'!C92+'1.4.sz.mell. '!C92+'1.5.sz.mell.'!C92</f>
        <v>0</v>
      </c>
      <c r="I92" s="336">
        <f t="shared" si="4"/>
        <v>0</v>
      </c>
    </row>
    <row r="93" spans="1:9" s="183" customFormat="1" ht="15.75" customHeight="1" thickBot="1" x14ac:dyDescent="0.25">
      <c r="A93" s="244" t="s">
        <v>283</v>
      </c>
      <c r="B93" s="191" t="s">
        <v>402</v>
      </c>
      <c r="C93" s="117">
        <f t="shared" si="3"/>
        <v>1941011918</v>
      </c>
      <c r="D93" s="270">
        <f>+D70+D74+D79+D82+D86+D92+D91</f>
        <v>1932021094</v>
      </c>
      <c r="E93" s="117">
        <f>+E70+E74+E79+E82+E86+E92+E91</f>
        <v>216699</v>
      </c>
      <c r="F93" s="117">
        <f>+F70+F74+F79+F82+F86+F92+F91</f>
        <v>8774125</v>
      </c>
      <c r="H93" s="336">
        <f>'1.2.sz.mell. '!C93+'1.3.sz.mell.'!C93+'1.4.sz.mell. '!C93+'1.5.sz.mell.'!C93</f>
        <v>1941011918</v>
      </c>
      <c r="I93" s="336">
        <f t="shared" si="4"/>
        <v>0</v>
      </c>
    </row>
    <row r="94" spans="1:9" s="183" customFormat="1" ht="16.5" customHeight="1" thickBot="1" x14ac:dyDescent="0.25">
      <c r="A94" s="246" t="s">
        <v>403</v>
      </c>
      <c r="B94" s="192" t="s">
        <v>404</v>
      </c>
      <c r="C94" s="117">
        <f t="shared" si="3"/>
        <v>6872782319</v>
      </c>
      <c r="D94" s="270">
        <f>+D69+D93</f>
        <v>6403724952</v>
      </c>
      <c r="E94" s="117">
        <f>+E69+E93</f>
        <v>10305313</v>
      </c>
      <c r="F94" s="117">
        <f>+F69+F93</f>
        <v>458752054</v>
      </c>
      <c r="H94" s="336">
        <f>'1.2.sz.mell. '!C94+'1.3.sz.mell.'!C94+'1.4.sz.mell. '!C94+'1.5.sz.mell.'!C94</f>
        <v>6872782319</v>
      </c>
      <c r="I94" s="336">
        <f t="shared" si="4"/>
        <v>0</v>
      </c>
    </row>
    <row r="95" spans="1:9" ht="16.5" customHeight="1" thickBot="1" x14ac:dyDescent="0.3">
      <c r="A95" s="1435" t="s">
        <v>44</v>
      </c>
      <c r="B95" s="1435"/>
      <c r="C95" s="1435"/>
      <c r="D95" s="568"/>
      <c r="H95" s="336">
        <f>'1.2.sz.mell. '!C95+'1.3.sz.mell.'!C95+'1.4.sz.mell. '!C96+'1.5.sz.mell.'!C96</f>
        <v>0</v>
      </c>
      <c r="I95" s="334"/>
    </row>
    <row r="96" spans="1:9" s="509" customFormat="1" ht="16.5" customHeight="1" thickBot="1" x14ac:dyDescent="0.3">
      <c r="A96" s="1436" t="s">
        <v>116</v>
      </c>
      <c r="B96" s="1436"/>
      <c r="C96" s="960" t="s">
        <v>494</v>
      </c>
      <c r="H96" s="336" t="e">
        <f>'1.2.sz.mell. '!C96+'1.3.sz.mell.'!C96+'1.4.sz.mell. '!C97+'1.5.sz.mell.'!C97</f>
        <v>#VALUE!</v>
      </c>
      <c r="I96" s="334"/>
    </row>
    <row r="97" spans="1:9" ht="38.1" customHeight="1" thickBot="1" x14ac:dyDescent="0.3">
      <c r="A97" s="20" t="s">
        <v>64</v>
      </c>
      <c r="B97" s="21" t="s">
        <v>45</v>
      </c>
      <c r="C97" s="515" t="str">
        <f>+C9</f>
        <v>2021. évi előirányzat</v>
      </c>
      <c r="D97" s="170" t="s">
        <v>499</v>
      </c>
      <c r="E97" s="170" t="s">
        <v>500</v>
      </c>
      <c r="F97" s="170" t="s">
        <v>501</v>
      </c>
      <c r="H97" s="336" t="e">
        <f>'1.2.sz.mell. '!C97+'1.3.sz.mell.'!C97+'1.4.sz.mell. '!C98+'1.5.sz.mell.'!C98</f>
        <v>#VALUE!</v>
      </c>
      <c r="I97" s="334"/>
    </row>
    <row r="98" spans="1:9" s="182" customFormat="1" ht="12" customHeight="1" thickBot="1" x14ac:dyDescent="0.25">
      <c r="A98" s="25" t="s">
        <v>391</v>
      </c>
      <c r="B98" s="26" t="s">
        <v>392</v>
      </c>
      <c r="C98" s="1027" t="s">
        <v>393</v>
      </c>
      <c r="H98" s="336" t="e">
        <f>'1.2.sz.mell. '!C98+'1.3.sz.mell.'!C98+'1.4.sz.mell. '!C99+'1.5.sz.mell.'!C99</f>
        <v>#VALUE!</v>
      </c>
      <c r="I98" s="334"/>
    </row>
    <row r="99" spans="1:9" ht="12" customHeight="1" thickBot="1" x14ac:dyDescent="0.3">
      <c r="A99" s="19" t="s">
        <v>16</v>
      </c>
      <c r="B99" s="23" t="s">
        <v>442</v>
      </c>
      <c r="C99" s="1030">
        <f t="shared" ref="C99:C160" si="5">SUM(D99:F99)</f>
        <v>3051402886</v>
      </c>
      <c r="D99" s="275">
        <f>+D100+D101+D102+D103+D104+D117</f>
        <v>1056661227</v>
      </c>
      <c r="E99" s="111">
        <f>+E100+E101+E102+E103+E104+E117</f>
        <v>236433590</v>
      </c>
      <c r="F99" s="280">
        <f>F100+F101+F102+F103+F104+F117</f>
        <v>1758308069</v>
      </c>
      <c r="H99" s="336">
        <f>'1.2.sz.mell. '!C99+'1.3.sz.mell.'!C99+'1.4.sz.mell. '!C100+'1.5.sz.mell.'!C100</f>
        <v>3051402886</v>
      </c>
      <c r="I99" s="336">
        <f t="shared" ref="I99:I160" si="6">C99-H99</f>
        <v>0</v>
      </c>
    </row>
    <row r="100" spans="1:9" ht="12" customHeight="1" thickBot="1" x14ac:dyDescent="0.3">
      <c r="A100" s="14" t="s">
        <v>86</v>
      </c>
      <c r="B100" s="7" t="s">
        <v>46</v>
      </c>
      <c r="C100" s="1179">
        <f t="shared" si="5"/>
        <v>1262842511</v>
      </c>
      <c r="D100" s="867">
        <f>47896992-18600298+18784340+1037700+1247173-6502834+3889130+4660788</f>
        <v>52412991</v>
      </c>
      <c r="E100" s="261">
        <v>166097510</v>
      </c>
      <c r="F100" s="261">
        <f>82248525+71998629+56715808+218334179+615034869</f>
        <v>1044332010</v>
      </c>
      <c r="H100" s="336">
        <f>'1.2.sz.mell. '!C100+'1.3.sz.mell.'!C100+'1.4.sz.mell. '!C101+'1.5.sz.mell.'!C101</f>
        <v>1262842511</v>
      </c>
      <c r="I100" s="337">
        <f t="shared" si="6"/>
        <v>0</v>
      </c>
    </row>
    <row r="101" spans="1:9" ht="12" customHeight="1" thickBot="1" x14ac:dyDescent="0.3">
      <c r="A101" s="11" t="s">
        <v>87</v>
      </c>
      <c r="B101" s="5" t="s">
        <v>135</v>
      </c>
      <c r="C101" s="1179">
        <f t="shared" si="5"/>
        <v>213754567</v>
      </c>
      <c r="D101" s="864">
        <f>8163648-2868694+281775+160844+234715-1216730+922188+722422</f>
        <v>6400168</v>
      </c>
      <c r="E101" s="116">
        <v>29077925</v>
      </c>
      <c r="F101" s="863">
        <f>13031917+11651828+9106816+38909967+105575946</f>
        <v>178276474</v>
      </c>
      <c r="H101" s="336">
        <f>'1.2.sz.mell. '!C101+'1.3.sz.mell.'!C101+'1.4.sz.mell. '!C102+'1.5.sz.mell.'!C102</f>
        <v>213754567</v>
      </c>
      <c r="I101" s="338">
        <f t="shared" si="6"/>
        <v>0</v>
      </c>
    </row>
    <row r="102" spans="1:9" ht="12" customHeight="1" thickBot="1" x14ac:dyDescent="0.3">
      <c r="A102" s="11" t="s">
        <v>88</v>
      </c>
      <c r="B102" s="5" t="s">
        <v>111</v>
      </c>
      <c r="C102" s="1179">
        <f>SUM(D102:F102)</f>
        <v>1183379085</v>
      </c>
      <c r="D102" s="865">
        <f>408709299+107725-6192766+8896325+96499-4800000+156702535+1660697+19544478+21732876</f>
        <v>606457668</v>
      </c>
      <c r="E102" s="173">
        <v>41258155</v>
      </c>
      <c r="F102" s="863">
        <f>16220856+149872937+61195180+87035872+221374740-36323</f>
        <v>535663262</v>
      </c>
      <c r="H102" s="336">
        <f>'1.2.sz.mell. '!C102+'1.3.sz.mell.'!C102+'1.4.sz.mell. '!C103+'1.5.sz.mell.'!C103</f>
        <v>1183379085</v>
      </c>
      <c r="I102" s="338">
        <f t="shared" si="6"/>
        <v>0</v>
      </c>
    </row>
    <row r="103" spans="1:9" ht="12" customHeight="1" thickBot="1" x14ac:dyDescent="0.3">
      <c r="A103" s="11" t="s">
        <v>89</v>
      </c>
      <c r="B103" s="5" t="s">
        <v>136</v>
      </c>
      <c r="C103" s="1179">
        <f t="shared" ref="C103:C119" si="7">SUM(D103:F103)</f>
        <v>53500000</v>
      </c>
      <c r="D103" s="865">
        <f>56500000-3000000</f>
        <v>53500000</v>
      </c>
      <c r="E103" s="173"/>
      <c r="F103" s="173"/>
      <c r="H103" s="336">
        <f>'1.2.sz.mell. '!C103+'1.3.sz.mell.'!C103+'1.4.sz.mell. '!C104+'1.5.sz.mell.'!C104</f>
        <v>53500000</v>
      </c>
      <c r="I103" s="338">
        <f t="shared" si="6"/>
        <v>0</v>
      </c>
    </row>
    <row r="104" spans="1:9" ht="12" customHeight="1" thickBot="1" x14ac:dyDescent="0.3">
      <c r="A104" s="11" t="s">
        <v>100</v>
      </c>
      <c r="B104" s="4" t="s">
        <v>137</v>
      </c>
      <c r="C104" s="373">
        <f t="shared" si="7"/>
        <v>252838130</v>
      </c>
      <c r="D104" s="865">
        <f>SUM(D105:D116)</f>
        <v>252801807</v>
      </c>
      <c r="E104" s="259">
        <f>SUM(E105:E116)</f>
        <v>0</v>
      </c>
      <c r="F104" s="865">
        <f>SUM(F105:F116)</f>
        <v>36323</v>
      </c>
      <c r="H104" s="336">
        <f>'1.2.sz.mell. '!C104+'1.3.sz.mell.'!C104+'1.4.sz.mell. '!C105+'1.5.sz.mell.'!C105</f>
        <v>252838130</v>
      </c>
      <c r="I104" s="338">
        <f t="shared" si="6"/>
        <v>0</v>
      </c>
    </row>
    <row r="105" spans="1:9" ht="12" customHeight="1" thickBot="1" x14ac:dyDescent="0.3">
      <c r="A105" s="11" t="s">
        <v>90</v>
      </c>
      <c r="B105" s="5" t="s">
        <v>405</v>
      </c>
      <c r="C105" s="373">
        <f t="shared" si="7"/>
        <v>17242997</v>
      </c>
      <c r="D105" s="865">
        <f>140000+15636933+1466064</f>
        <v>17242997</v>
      </c>
      <c r="E105" s="173"/>
      <c r="F105" s="173"/>
      <c r="H105" s="336">
        <f>'1.2.sz.mell. '!C105+'1.3.sz.mell.'!C105+'1.4.sz.mell. '!C106+'1.5.sz.mell.'!C106</f>
        <v>17242997</v>
      </c>
      <c r="I105" s="338">
        <f t="shared" si="6"/>
        <v>0</v>
      </c>
    </row>
    <row r="106" spans="1:9" ht="12" customHeight="1" thickBot="1" x14ac:dyDescent="0.3">
      <c r="A106" s="11" t="s">
        <v>91</v>
      </c>
      <c r="B106" s="60" t="s">
        <v>406</v>
      </c>
      <c r="C106" s="373">
        <f t="shared" si="7"/>
        <v>0</v>
      </c>
      <c r="D106" s="865"/>
      <c r="E106" s="173"/>
      <c r="F106" s="173"/>
      <c r="H106" s="336">
        <f>'1.2.sz.mell. '!C106+'1.3.sz.mell.'!C106+'1.4.sz.mell. '!C107+'1.5.sz.mell.'!C107</f>
        <v>0</v>
      </c>
      <c r="I106" s="338">
        <f t="shared" si="6"/>
        <v>0</v>
      </c>
    </row>
    <row r="107" spans="1:9" ht="12" customHeight="1" thickBot="1" x14ac:dyDescent="0.3">
      <c r="A107" s="11" t="s">
        <v>101</v>
      </c>
      <c r="B107" s="60" t="s">
        <v>407</v>
      </c>
      <c r="C107" s="373">
        <f t="shared" si="7"/>
        <v>24566831</v>
      </c>
      <c r="D107" s="865">
        <f>24566831</f>
        <v>24566831</v>
      </c>
      <c r="E107" s="173"/>
      <c r="F107" s="173"/>
      <c r="H107" s="336">
        <f>'1.2.sz.mell. '!C107+'1.3.sz.mell.'!C107+'1.4.sz.mell. '!C108+'1.5.sz.mell.'!C108</f>
        <v>24566831</v>
      </c>
      <c r="I107" s="338">
        <f t="shared" si="6"/>
        <v>0</v>
      </c>
    </row>
    <row r="108" spans="1:9" ht="12" customHeight="1" thickBot="1" x14ac:dyDescent="0.3">
      <c r="A108" s="11" t="s">
        <v>102</v>
      </c>
      <c r="B108" s="58" t="s">
        <v>286</v>
      </c>
      <c r="C108" s="373">
        <f t="shared" si="7"/>
        <v>0</v>
      </c>
      <c r="D108" s="259"/>
      <c r="E108" s="173"/>
      <c r="F108" s="173"/>
      <c r="H108" s="336">
        <f>'1.2.sz.mell. '!C108+'1.3.sz.mell.'!C108+'1.4.sz.mell. '!C109+'1.5.sz.mell.'!C109</f>
        <v>0</v>
      </c>
      <c r="I108" s="338">
        <f t="shared" si="6"/>
        <v>0</v>
      </c>
    </row>
    <row r="109" spans="1:9" ht="12" customHeight="1" thickBot="1" x14ac:dyDescent="0.3">
      <c r="A109" s="11" t="s">
        <v>103</v>
      </c>
      <c r="B109" s="59" t="s">
        <v>287</v>
      </c>
      <c r="C109" s="373">
        <f t="shared" si="7"/>
        <v>0</v>
      </c>
      <c r="D109" s="259"/>
      <c r="E109" s="173"/>
      <c r="F109" s="173"/>
      <c r="H109" s="336">
        <f>'1.2.sz.mell. '!C109+'1.3.sz.mell.'!C109+'1.4.sz.mell. '!C110+'1.5.sz.mell.'!C110</f>
        <v>0</v>
      </c>
      <c r="I109" s="338">
        <f t="shared" si="6"/>
        <v>0</v>
      </c>
    </row>
    <row r="110" spans="1:9" ht="12" customHeight="1" thickBot="1" x14ac:dyDescent="0.3">
      <c r="A110" s="11" t="s">
        <v>104</v>
      </c>
      <c r="B110" s="59" t="s">
        <v>288</v>
      </c>
      <c r="C110" s="373">
        <f t="shared" si="7"/>
        <v>0</v>
      </c>
      <c r="D110" s="259"/>
      <c r="E110" s="173"/>
      <c r="F110" s="173"/>
      <c r="H110" s="336">
        <f>'1.2.sz.mell. '!C110+'1.3.sz.mell.'!C110+'1.4.sz.mell. '!C111+'1.5.sz.mell.'!C111</f>
        <v>0</v>
      </c>
      <c r="I110" s="338">
        <f t="shared" si="6"/>
        <v>0</v>
      </c>
    </row>
    <row r="111" spans="1:9" ht="12" customHeight="1" thickBot="1" x14ac:dyDescent="0.3">
      <c r="A111" s="11" t="s">
        <v>106</v>
      </c>
      <c r="B111" s="58" t="s">
        <v>289</v>
      </c>
      <c r="C111" s="373">
        <f t="shared" si="7"/>
        <v>672323</v>
      </c>
      <c r="D111" s="259">
        <v>636000</v>
      </c>
      <c r="E111" s="173"/>
      <c r="F111" s="173">
        <v>36323</v>
      </c>
      <c r="H111" s="336">
        <f>'1.2.sz.mell. '!C111+'1.3.sz.mell.'!C111+'1.4.sz.mell. '!C112+'1.5.sz.mell.'!C112</f>
        <v>672323</v>
      </c>
      <c r="I111" s="338">
        <f t="shared" si="6"/>
        <v>0</v>
      </c>
    </row>
    <row r="112" spans="1:9" ht="12" customHeight="1" thickBot="1" x14ac:dyDescent="0.3">
      <c r="A112" s="11" t="s">
        <v>138</v>
      </c>
      <c r="B112" s="58" t="s">
        <v>290</v>
      </c>
      <c r="C112" s="373">
        <f t="shared" si="7"/>
        <v>0</v>
      </c>
      <c r="D112" s="259"/>
      <c r="E112" s="173"/>
      <c r="F112" s="173"/>
      <c r="H112" s="336">
        <f>'1.2.sz.mell. '!C112+'1.3.sz.mell.'!C112+'1.4.sz.mell. '!C113+'1.5.sz.mell.'!C113</f>
        <v>0</v>
      </c>
      <c r="I112" s="338">
        <f t="shared" si="6"/>
        <v>0</v>
      </c>
    </row>
    <row r="113" spans="1:11" ht="12" customHeight="1" thickBot="1" x14ac:dyDescent="0.3">
      <c r="A113" s="11" t="s">
        <v>284</v>
      </c>
      <c r="B113" s="59" t="s">
        <v>291</v>
      </c>
      <c r="C113" s="373">
        <f t="shared" si="7"/>
        <v>0</v>
      </c>
      <c r="D113" s="259"/>
      <c r="E113" s="173"/>
      <c r="F113" s="173"/>
      <c r="H113" s="336">
        <f>'1.2.sz.mell. '!C113+'1.3.sz.mell.'!C113+'1.4.sz.mell. '!C114+'1.5.sz.mell.'!C114</f>
        <v>0</v>
      </c>
      <c r="I113" s="338">
        <f t="shared" si="6"/>
        <v>0</v>
      </c>
    </row>
    <row r="114" spans="1:11" ht="12" customHeight="1" thickBot="1" x14ac:dyDescent="0.3">
      <c r="A114" s="10" t="s">
        <v>285</v>
      </c>
      <c r="B114" s="60" t="s">
        <v>292</v>
      </c>
      <c r="C114" s="373">
        <f t="shared" si="7"/>
        <v>0</v>
      </c>
      <c r="D114" s="259"/>
      <c r="E114" s="173"/>
      <c r="F114" s="173"/>
      <c r="H114" s="336">
        <f>'1.2.sz.mell. '!C114+'1.3.sz.mell.'!C114+'1.4.sz.mell. '!C115+'1.5.sz.mell.'!C115</f>
        <v>0</v>
      </c>
      <c r="I114" s="338">
        <f t="shared" si="6"/>
        <v>0</v>
      </c>
    </row>
    <row r="115" spans="1:11" ht="12" customHeight="1" thickBot="1" x14ac:dyDescent="0.3">
      <c r="A115" s="11" t="s">
        <v>408</v>
      </c>
      <c r="B115" s="60" t="s">
        <v>293</v>
      </c>
      <c r="C115" s="373">
        <f t="shared" si="7"/>
        <v>0</v>
      </c>
      <c r="D115" s="259"/>
      <c r="E115" s="173"/>
      <c r="F115" s="173"/>
      <c r="H115" s="336">
        <f>'1.2.sz.mell. '!C115+'1.3.sz.mell.'!C115+'1.4.sz.mell. '!C116+'1.5.sz.mell.'!C116</f>
        <v>0</v>
      </c>
      <c r="I115" s="338">
        <f t="shared" si="6"/>
        <v>0</v>
      </c>
    </row>
    <row r="116" spans="1:11" ht="12" customHeight="1" thickBot="1" x14ac:dyDescent="0.3">
      <c r="A116" s="13" t="s">
        <v>409</v>
      </c>
      <c r="B116" s="60" t="s">
        <v>294</v>
      </c>
      <c r="C116" s="373">
        <f t="shared" si="7"/>
        <v>210355979</v>
      </c>
      <c r="D116" s="256">
        <f>173591867+27025595-4053420+10664415+690537+2436985</f>
        <v>210355979</v>
      </c>
      <c r="E116" s="116"/>
      <c r="F116" s="173"/>
      <c r="H116" s="336">
        <f>'1.2.sz.mell. '!C116+'1.3.sz.mell.'!C116+'1.4.sz.mell. '!C117+'1.5.sz.mell.'!C117</f>
        <v>210355979</v>
      </c>
      <c r="I116" s="338">
        <f t="shared" si="6"/>
        <v>0</v>
      </c>
    </row>
    <row r="117" spans="1:11" ht="12" customHeight="1" thickBot="1" x14ac:dyDescent="0.3">
      <c r="A117" s="11" t="s">
        <v>410</v>
      </c>
      <c r="B117" s="5" t="s">
        <v>47</v>
      </c>
      <c r="C117" s="1179">
        <f t="shared" si="7"/>
        <v>85088593</v>
      </c>
      <c r="D117" s="256">
        <f>SUM(D118:D119)</f>
        <v>85088593</v>
      </c>
      <c r="E117" s="256">
        <f>SUM(E118:E119)</f>
        <v>0</v>
      </c>
      <c r="F117" s="864">
        <f>SUM(F118:F119)</f>
        <v>0</v>
      </c>
      <c r="H117" s="336">
        <f>'1.2.sz.mell. '!C117+'1.3.sz.mell.'!C117+'1.4.sz.mell. '!C118+'1.5.sz.mell.'!C118</f>
        <v>85088593</v>
      </c>
      <c r="I117" s="338">
        <f t="shared" si="6"/>
        <v>0</v>
      </c>
    </row>
    <row r="118" spans="1:11" ht="12" customHeight="1" thickBot="1" x14ac:dyDescent="0.3">
      <c r="A118" s="11" t="s">
        <v>411</v>
      </c>
      <c r="B118" s="5" t="s">
        <v>412</v>
      </c>
      <c r="C118" s="1179">
        <f t="shared" si="7"/>
        <v>4244765</v>
      </c>
      <c r="D118" s="865">
        <f>10000000-8622933+2854876-254000-2206257+540000+13433386-939589-2276958-8283760</f>
        <v>4244765</v>
      </c>
      <c r="E118" s="173"/>
      <c r="F118" s="863"/>
      <c r="H118" s="336">
        <f>'1.2.sz.mell. '!C118+'1.3.sz.mell.'!C118+'1.4.sz.mell. '!C119+'1.5.sz.mell.'!C119</f>
        <v>4244765</v>
      </c>
      <c r="I118" s="338">
        <f t="shared" si="6"/>
        <v>0</v>
      </c>
    </row>
    <row r="119" spans="1:11" ht="12" customHeight="1" thickBot="1" x14ac:dyDescent="0.3">
      <c r="A119" s="15" t="s">
        <v>413</v>
      </c>
      <c r="B119" s="247" t="s">
        <v>414</v>
      </c>
      <c r="C119" s="373">
        <f t="shared" si="7"/>
        <v>80843828</v>
      </c>
      <c r="D119" s="286">
        <f>99315612+4715+7058824-10000000-346499-540000-13770424-160000-718400</f>
        <v>80843828</v>
      </c>
      <c r="E119" s="265"/>
      <c r="F119" s="265"/>
      <c r="H119" s="336">
        <f>'1.2.sz.mell. '!C119+'1.3.sz.mell.'!C119+'1.4.sz.mell. '!C120+'1.5.sz.mell.'!C120</f>
        <v>80843828</v>
      </c>
      <c r="I119" s="339">
        <f t="shared" si="6"/>
        <v>0</v>
      </c>
    </row>
    <row r="120" spans="1:11" ht="12" customHeight="1" thickBot="1" x14ac:dyDescent="0.3">
      <c r="A120" s="248" t="s">
        <v>17</v>
      </c>
      <c r="B120" s="375" t="s">
        <v>295</v>
      </c>
      <c r="C120" s="378">
        <f t="shared" si="5"/>
        <v>2897418936</v>
      </c>
      <c r="D120" s="267">
        <f>+D121+D123+D125</f>
        <v>2819056677</v>
      </c>
      <c r="E120" s="112">
        <f>+E121+E123+E125</f>
        <v>2765199</v>
      </c>
      <c r="F120" s="250">
        <f>+F121+F123+F125</f>
        <v>75597060</v>
      </c>
      <c r="H120" s="336">
        <f>'1.2.sz.mell. '!C120+'1.3.sz.mell.'!C120+'1.4.sz.mell. '!C121+'1.5.sz.mell.'!C121</f>
        <v>2897418936</v>
      </c>
      <c r="I120" s="336">
        <f t="shared" si="6"/>
        <v>0</v>
      </c>
    </row>
    <row r="121" spans="1:11" ht="15" customHeight="1" thickBot="1" x14ac:dyDescent="0.3">
      <c r="A121" s="12" t="s">
        <v>92</v>
      </c>
      <c r="B121" s="5" t="s">
        <v>159</v>
      </c>
      <c r="C121" s="1179">
        <f t="shared" si="5"/>
        <v>954373578</v>
      </c>
      <c r="D121" s="866">
        <f>535995745+200000+18112206+3010000+254000+2425-103156039+16979802+163950980+242480422</f>
        <v>877829541</v>
      </c>
      <c r="E121" s="222">
        <v>2765199</v>
      </c>
      <c r="F121" s="222">
        <f>25000+58071807+800000+14882031</f>
        <v>73778838</v>
      </c>
      <c r="H121" s="336">
        <f>'1.2.sz.mell. '!C121+'1.3.sz.mell.'!C121+'1.4.sz.mell. '!C122+'1.5.sz.mell.'!C122</f>
        <v>954373578</v>
      </c>
      <c r="I121" s="337">
        <f t="shared" si="6"/>
        <v>0</v>
      </c>
      <c r="K121" s="934"/>
    </row>
    <row r="122" spans="1:11" ht="12" customHeight="1" thickBot="1" x14ac:dyDescent="0.3">
      <c r="A122" s="12" t="s">
        <v>93</v>
      </c>
      <c r="B122" s="9" t="s">
        <v>299</v>
      </c>
      <c r="C122" s="373">
        <f t="shared" si="5"/>
        <v>259141516</v>
      </c>
      <c r="D122" s="866">
        <f>401925076+2425-142138515+401550-1049020</f>
        <v>259141516</v>
      </c>
      <c r="E122" s="222"/>
      <c r="F122" s="222"/>
      <c r="H122" s="336">
        <f>'1.2.sz.mell. '!C122+'1.3.sz.mell.'!C122+'1.4.sz.mell. '!C123+'1.5.sz.mell.'!C123</f>
        <v>259141516</v>
      </c>
      <c r="I122" s="338">
        <f t="shared" si="6"/>
        <v>0</v>
      </c>
    </row>
    <row r="123" spans="1:11" ht="12" customHeight="1" thickBot="1" x14ac:dyDescent="0.3">
      <c r="A123" s="12" t="s">
        <v>94</v>
      </c>
      <c r="B123" s="9" t="s">
        <v>139</v>
      </c>
      <c r="C123" s="1179">
        <f t="shared" si="5"/>
        <v>1937133552</v>
      </c>
      <c r="D123" s="864">
        <f>357345208-317500+537576+1293527941-11598175+295820280</f>
        <v>1935315330</v>
      </c>
      <c r="E123" s="116"/>
      <c r="F123" s="863">
        <f>1500722+317500</f>
        <v>1818222</v>
      </c>
      <c r="H123" s="336">
        <f>'1.2.sz.mell. '!C123+'1.3.sz.mell.'!C123+'1.4.sz.mell. '!C124+'1.5.sz.mell.'!C124</f>
        <v>1937133552</v>
      </c>
      <c r="I123" s="338">
        <f t="shared" si="6"/>
        <v>0</v>
      </c>
    </row>
    <row r="124" spans="1:11" ht="12" customHeight="1" thickBot="1" x14ac:dyDescent="0.3">
      <c r="A124" s="12" t="s">
        <v>95</v>
      </c>
      <c r="B124" s="9" t="s">
        <v>300</v>
      </c>
      <c r="C124" s="373">
        <f t="shared" si="5"/>
        <v>390701940</v>
      </c>
      <c r="D124" s="864">
        <f>80032238+2424+210655116-2424+101702816-1688230</f>
        <v>390701940</v>
      </c>
      <c r="E124" s="508"/>
      <c r="F124" s="864"/>
      <c r="H124" s="336">
        <f>'1.2.sz.mell. '!C124+'1.3.sz.mell.'!C124+'1.4.sz.mell. '!C125+'1.5.sz.mell.'!C125</f>
        <v>390701940</v>
      </c>
      <c r="I124" s="338">
        <f t="shared" si="6"/>
        <v>0</v>
      </c>
    </row>
    <row r="125" spans="1:11" ht="12" customHeight="1" thickBot="1" x14ac:dyDescent="0.3">
      <c r="A125" s="12" t="s">
        <v>96</v>
      </c>
      <c r="B125" s="109" t="s">
        <v>161</v>
      </c>
      <c r="C125" s="373">
        <f t="shared" si="5"/>
        <v>5911806</v>
      </c>
      <c r="D125" s="256">
        <f>SUM(D126:D133)</f>
        <v>5911806</v>
      </c>
      <c r="E125" s="256">
        <f>SUM(E126:E133)</f>
        <v>0</v>
      </c>
      <c r="F125" s="864">
        <f>SUM(F126:F133)</f>
        <v>0</v>
      </c>
      <c r="H125" s="336">
        <f>'1.2.sz.mell. '!C125+'1.3.sz.mell.'!C125+'1.4.sz.mell. '!C126+'1.5.sz.mell.'!C126</f>
        <v>5911806</v>
      </c>
      <c r="I125" s="338">
        <f t="shared" si="6"/>
        <v>0</v>
      </c>
    </row>
    <row r="126" spans="1:11" ht="12" customHeight="1" thickBot="1" x14ac:dyDescent="0.3">
      <c r="A126" s="12" t="s">
        <v>105</v>
      </c>
      <c r="B126" s="108" t="s">
        <v>360</v>
      </c>
      <c r="C126" s="373">
        <f t="shared" si="5"/>
        <v>0</v>
      </c>
      <c r="D126" s="101"/>
      <c r="E126" s="101"/>
      <c r="F126" s="864"/>
      <c r="H126" s="336">
        <f>'1.2.sz.mell. '!C126+'1.3.sz.mell.'!C126+'1.4.sz.mell. '!C127+'1.5.sz.mell.'!C127</f>
        <v>0</v>
      </c>
      <c r="I126" s="338">
        <f t="shared" si="6"/>
        <v>0</v>
      </c>
    </row>
    <row r="127" spans="1:11" ht="12" customHeight="1" thickBot="1" x14ac:dyDescent="0.3">
      <c r="A127" s="12" t="s">
        <v>107</v>
      </c>
      <c r="B127" s="180" t="s">
        <v>305</v>
      </c>
      <c r="C127" s="1179">
        <f t="shared" si="5"/>
        <v>0</v>
      </c>
      <c r="D127" s="101"/>
      <c r="E127" s="101"/>
      <c r="F127" s="864"/>
      <c r="H127" s="336">
        <f>'1.2.sz.mell. '!C127+'1.3.sz.mell.'!C127+'1.4.sz.mell. '!C128+'1.5.sz.mell.'!C128</f>
        <v>0</v>
      </c>
      <c r="I127" s="338">
        <f t="shared" si="6"/>
        <v>0</v>
      </c>
    </row>
    <row r="128" spans="1:11" ht="16.5" thickBot="1" x14ac:dyDescent="0.3">
      <c r="A128" s="12" t="s">
        <v>140</v>
      </c>
      <c r="B128" s="59" t="s">
        <v>288</v>
      </c>
      <c r="C128" s="373">
        <f t="shared" si="5"/>
        <v>0</v>
      </c>
      <c r="D128" s="101"/>
      <c r="E128" s="101"/>
      <c r="F128" s="864"/>
      <c r="H128" s="336">
        <f>'1.2.sz.mell. '!C128+'1.3.sz.mell.'!C128+'1.4.sz.mell. '!C129+'1.5.sz.mell.'!C129</f>
        <v>0</v>
      </c>
      <c r="I128" s="338">
        <f t="shared" si="6"/>
        <v>0</v>
      </c>
    </row>
    <row r="129" spans="1:9" ht="12" customHeight="1" thickBot="1" x14ac:dyDescent="0.3">
      <c r="A129" s="12" t="s">
        <v>141</v>
      </c>
      <c r="B129" s="59" t="s">
        <v>304</v>
      </c>
      <c r="C129" s="373">
        <f t="shared" si="5"/>
        <v>0</v>
      </c>
      <c r="D129" s="101"/>
      <c r="E129" s="101"/>
      <c r="F129" s="864"/>
      <c r="H129" s="336">
        <f>'1.2.sz.mell. '!C129+'1.3.sz.mell.'!C129+'1.4.sz.mell. '!C130+'1.5.sz.mell.'!C130</f>
        <v>0</v>
      </c>
      <c r="I129" s="338">
        <f t="shared" si="6"/>
        <v>0</v>
      </c>
    </row>
    <row r="130" spans="1:9" ht="12" customHeight="1" thickBot="1" x14ac:dyDescent="0.3">
      <c r="A130" s="12" t="s">
        <v>142</v>
      </c>
      <c r="B130" s="59" t="s">
        <v>303</v>
      </c>
      <c r="C130" s="373">
        <f t="shared" si="5"/>
        <v>0</v>
      </c>
      <c r="D130" s="101"/>
      <c r="E130" s="101"/>
      <c r="F130" s="864"/>
      <c r="H130" s="336">
        <f>'1.2.sz.mell. '!C130+'1.3.sz.mell.'!C130+'1.4.sz.mell. '!C131+'1.5.sz.mell.'!C131</f>
        <v>0</v>
      </c>
      <c r="I130" s="338">
        <f t="shared" si="6"/>
        <v>0</v>
      </c>
    </row>
    <row r="131" spans="1:9" ht="12" customHeight="1" thickBot="1" x14ac:dyDescent="0.3">
      <c r="A131" s="12" t="s">
        <v>296</v>
      </c>
      <c r="B131" s="59" t="s">
        <v>291</v>
      </c>
      <c r="C131" s="373">
        <f t="shared" si="5"/>
        <v>0</v>
      </c>
      <c r="D131" s="101"/>
      <c r="E131" s="101"/>
      <c r="F131" s="864"/>
      <c r="H131" s="336">
        <f>'1.2.sz.mell. '!C131+'1.3.sz.mell.'!C131+'1.4.sz.mell. '!C132+'1.5.sz.mell.'!C132</f>
        <v>0</v>
      </c>
      <c r="I131" s="338">
        <f t="shared" si="6"/>
        <v>0</v>
      </c>
    </row>
    <row r="132" spans="1:9" ht="12" customHeight="1" thickBot="1" x14ac:dyDescent="0.3">
      <c r="A132" s="12" t="s">
        <v>297</v>
      </c>
      <c r="B132" s="59" t="s">
        <v>302</v>
      </c>
      <c r="C132" s="373">
        <f t="shared" si="5"/>
        <v>0</v>
      </c>
      <c r="D132" s="101"/>
      <c r="E132" s="101"/>
      <c r="F132" s="864"/>
      <c r="H132" s="336">
        <f>'1.2.sz.mell. '!C132+'1.3.sz.mell.'!C132+'1.4.sz.mell. '!C133+'1.5.sz.mell.'!C133</f>
        <v>0</v>
      </c>
      <c r="I132" s="338">
        <f t="shared" si="6"/>
        <v>0</v>
      </c>
    </row>
    <row r="133" spans="1:9" ht="16.5" thickBot="1" x14ac:dyDescent="0.3">
      <c r="A133" s="10" t="s">
        <v>298</v>
      </c>
      <c r="B133" s="59" t="s">
        <v>301</v>
      </c>
      <c r="C133" s="373">
        <f t="shared" si="5"/>
        <v>5911806</v>
      </c>
      <c r="D133" s="259">
        <v>5911806</v>
      </c>
      <c r="E133" s="259"/>
      <c r="F133" s="865"/>
      <c r="H133" s="336">
        <f>'1.2.sz.mell. '!C133+'1.3.sz.mell.'!C133+'1.4.sz.mell. '!C134+'1.5.sz.mell.'!C134</f>
        <v>5911806</v>
      </c>
      <c r="I133" s="339">
        <f t="shared" si="6"/>
        <v>0</v>
      </c>
    </row>
    <row r="134" spans="1:9" ht="12" customHeight="1" thickBot="1" x14ac:dyDescent="0.3">
      <c r="A134" s="17" t="s">
        <v>18</v>
      </c>
      <c r="B134" s="376" t="s">
        <v>415</v>
      </c>
      <c r="C134" s="378">
        <f t="shared" si="5"/>
        <v>5948821822</v>
      </c>
      <c r="D134" s="267">
        <f>+D99+D120</f>
        <v>3875717904</v>
      </c>
      <c r="E134" s="112">
        <f>+E99+E120</f>
        <v>239198789</v>
      </c>
      <c r="F134" s="112">
        <f>+F99+F120</f>
        <v>1833905129</v>
      </c>
      <c r="H134" s="336">
        <f>'1.2.sz.mell. '!C134+'1.3.sz.mell.'!C134+'1.4.sz.mell. '!C135+'1.5.sz.mell.'!C135</f>
        <v>5948821822</v>
      </c>
      <c r="I134" s="336">
        <f t="shared" si="6"/>
        <v>0</v>
      </c>
    </row>
    <row r="135" spans="1:9" ht="12" customHeight="1" thickBot="1" x14ac:dyDescent="0.3">
      <c r="A135" s="17" t="s">
        <v>19</v>
      </c>
      <c r="B135" s="376" t="s">
        <v>416</v>
      </c>
      <c r="C135" s="378">
        <f>SUM(D135:F135)</f>
        <v>874993747</v>
      </c>
      <c r="D135" s="267">
        <f>+D136+D137+D138</f>
        <v>874993747</v>
      </c>
      <c r="E135" s="112">
        <f>+E136+E137+E138</f>
        <v>0</v>
      </c>
      <c r="F135" s="112">
        <f>+F136+F137+F138</f>
        <v>0</v>
      </c>
      <c r="H135" s="336">
        <f>'1.2.sz.mell. '!C135+'1.3.sz.mell.'!C135+'1.4.sz.mell. '!C136+'1.5.sz.mell.'!C136</f>
        <v>874993747</v>
      </c>
      <c r="I135" s="336">
        <f t="shared" si="6"/>
        <v>0</v>
      </c>
    </row>
    <row r="136" spans="1:9" ht="12" customHeight="1" thickBot="1" x14ac:dyDescent="0.3">
      <c r="A136" s="12" t="s">
        <v>197</v>
      </c>
      <c r="B136" s="9" t="s">
        <v>417</v>
      </c>
      <c r="C136" s="373">
        <f>SUM(D136:F136)</f>
        <v>24993747</v>
      </c>
      <c r="D136" s="256">
        <v>24993747</v>
      </c>
      <c r="E136" s="256"/>
      <c r="F136" s="864"/>
      <c r="H136" s="336">
        <f>'1.2.sz.mell. '!C136+'1.3.sz.mell.'!C136+'1.4.sz.mell. '!C137+'1.5.sz.mell.'!C137</f>
        <v>24993747</v>
      </c>
      <c r="I136" s="337">
        <f t="shared" si="6"/>
        <v>0</v>
      </c>
    </row>
    <row r="137" spans="1:9" ht="12" customHeight="1" thickBot="1" x14ac:dyDescent="0.3">
      <c r="A137" s="12" t="s">
        <v>200</v>
      </c>
      <c r="B137" s="9" t="s">
        <v>418</v>
      </c>
      <c r="C137" s="373">
        <f>SUM(D137:F137)</f>
        <v>850000000</v>
      </c>
      <c r="D137" s="101">
        <v>850000000</v>
      </c>
      <c r="E137" s="101"/>
      <c r="F137" s="101"/>
      <c r="H137" s="336">
        <f>'1.2.sz.mell. '!C137+'1.3.sz.mell.'!C137+'1.4.sz.mell. '!C138+'1.5.sz.mell.'!C138</f>
        <v>850000000</v>
      </c>
      <c r="I137" s="338">
        <f t="shared" si="6"/>
        <v>0</v>
      </c>
    </row>
    <row r="138" spans="1:9" ht="12" customHeight="1" thickBot="1" x14ac:dyDescent="0.3">
      <c r="A138" s="10" t="s">
        <v>201</v>
      </c>
      <c r="B138" s="9" t="s">
        <v>419</v>
      </c>
      <c r="C138" s="428">
        <f t="shared" si="5"/>
        <v>0</v>
      </c>
      <c r="D138" s="101"/>
      <c r="E138" s="101"/>
      <c r="F138" s="101"/>
      <c r="H138" s="336">
        <f>'1.2.sz.mell. '!C138+'1.3.sz.mell.'!C138+'1.4.sz.mell. '!C139+'1.5.sz.mell.'!C139</f>
        <v>0</v>
      </c>
      <c r="I138" s="339">
        <f t="shared" si="6"/>
        <v>0</v>
      </c>
    </row>
    <row r="139" spans="1:9" ht="12" customHeight="1" thickBot="1" x14ac:dyDescent="0.3">
      <c r="A139" s="17" t="s">
        <v>20</v>
      </c>
      <c r="B139" s="376" t="s">
        <v>420</v>
      </c>
      <c r="C139" s="378">
        <f t="shared" si="5"/>
        <v>0</v>
      </c>
      <c r="D139" s="267">
        <f>+D140+D141+D142+D143+D144+D145</f>
        <v>0</v>
      </c>
      <c r="E139" s="112">
        <f>+E140+E141+E142+E143+E144+E145</f>
        <v>0</v>
      </c>
      <c r="F139" s="112">
        <f>SUM(F140:F145)</f>
        <v>0</v>
      </c>
      <c r="H139" s="336">
        <f>'1.2.sz.mell. '!C139+'1.3.sz.mell.'!C139+'1.4.sz.mell. '!C140+'1.5.sz.mell.'!C140</f>
        <v>0</v>
      </c>
      <c r="I139" s="336">
        <f t="shared" si="6"/>
        <v>0</v>
      </c>
    </row>
    <row r="140" spans="1:9" ht="12" customHeight="1" thickBot="1" x14ac:dyDescent="0.3">
      <c r="A140" s="12" t="s">
        <v>79</v>
      </c>
      <c r="B140" s="6" t="s">
        <v>421</v>
      </c>
      <c r="C140" s="373">
        <f t="shared" si="5"/>
        <v>0</v>
      </c>
      <c r="D140" s="101"/>
      <c r="E140" s="101"/>
      <c r="F140" s="101"/>
      <c r="H140" s="336">
        <f>'1.2.sz.mell. '!C140+'1.3.sz.mell.'!C140+'1.4.sz.mell. '!C141+'1.5.sz.mell.'!C141</f>
        <v>0</v>
      </c>
      <c r="I140" s="337">
        <f t="shared" si="6"/>
        <v>0</v>
      </c>
    </row>
    <row r="141" spans="1:9" ht="12" customHeight="1" thickBot="1" x14ac:dyDescent="0.3">
      <c r="A141" s="12" t="s">
        <v>80</v>
      </c>
      <c r="B141" s="6" t="s">
        <v>422</v>
      </c>
      <c r="C141" s="373">
        <f t="shared" si="5"/>
        <v>0</v>
      </c>
      <c r="D141" s="101"/>
      <c r="E141" s="101"/>
      <c r="F141" s="101"/>
      <c r="H141" s="336">
        <f>'1.2.sz.mell. '!C141+'1.3.sz.mell.'!C141+'1.4.sz.mell. '!C142+'1.5.sz.mell.'!C142</f>
        <v>0</v>
      </c>
      <c r="I141" s="338">
        <f t="shared" si="6"/>
        <v>0</v>
      </c>
    </row>
    <row r="142" spans="1:9" ht="12" customHeight="1" thickBot="1" x14ac:dyDescent="0.3">
      <c r="A142" s="12" t="s">
        <v>81</v>
      </c>
      <c r="B142" s="6" t="s">
        <v>423</v>
      </c>
      <c r="C142" s="373">
        <f t="shared" si="5"/>
        <v>0</v>
      </c>
      <c r="D142" s="101"/>
      <c r="E142" s="101"/>
      <c r="F142" s="101"/>
      <c r="H142" s="336">
        <f>'1.2.sz.mell. '!C142+'1.3.sz.mell.'!C142+'1.4.sz.mell. '!C143+'1.5.sz.mell.'!C143</f>
        <v>0</v>
      </c>
      <c r="I142" s="338">
        <f t="shared" si="6"/>
        <v>0</v>
      </c>
    </row>
    <row r="143" spans="1:9" ht="12" customHeight="1" thickBot="1" x14ac:dyDescent="0.3">
      <c r="A143" s="12" t="s">
        <v>127</v>
      </c>
      <c r="B143" s="6" t="s">
        <v>424</v>
      </c>
      <c r="C143" s="373">
        <f t="shared" si="5"/>
        <v>0</v>
      </c>
      <c r="D143" s="101"/>
      <c r="E143" s="101"/>
      <c r="F143" s="101"/>
      <c r="H143" s="336">
        <f>'1.2.sz.mell. '!C143+'1.3.sz.mell.'!C143+'1.4.sz.mell. '!C144+'1.5.sz.mell.'!C144</f>
        <v>0</v>
      </c>
      <c r="I143" s="338">
        <f t="shared" si="6"/>
        <v>0</v>
      </c>
    </row>
    <row r="144" spans="1:9" ht="12" customHeight="1" thickBot="1" x14ac:dyDescent="0.3">
      <c r="A144" s="12" t="s">
        <v>128</v>
      </c>
      <c r="B144" s="6" t="s">
        <v>425</v>
      </c>
      <c r="C144" s="373">
        <f t="shared" si="5"/>
        <v>0</v>
      </c>
      <c r="D144" s="101"/>
      <c r="E144" s="101"/>
      <c r="F144" s="101"/>
      <c r="H144" s="336">
        <f>'1.2.sz.mell. '!C144+'1.3.sz.mell.'!C144+'1.4.sz.mell. '!C145+'1.5.sz.mell.'!C145</f>
        <v>0</v>
      </c>
      <c r="I144" s="338">
        <f t="shared" si="6"/>
        <v>0</v>
      </c>
    </row>
    <row r="145" spans="1:9" ht="12" customHeight="1" thickBot="1" x14ac:dyDescent="0.3">
      <c r="A145" s="10" t="s">
        <v>129</v>
      </c>
      <c r="B145" s="6" t="s">
        <v>426</v>
      </c>
      <c r="C145" s="428">
        <f t="shared" si="5"/>
        <v>0</v>
      </c>
      <c r="D145" s="101"/>
      <c r="E145" s="101"/>
      <c r="F145" s="101"/>
      <c r="H145" s="336">
        <f>'1.2.sz.mell. '!C145+'1.3.sz.mell.'!C145+'1.4.sz.mell. '!C146+'1.5.sz.mell.'!C146</f>
        <v>0</v>
      </c>
      <c r="I145" s="339">
        <f t="shared" si="6"/>
        <v>0</v>
      </c>
    </row>
    <row r="146" spans="1:9" ht="12" customHeight="1" thickBot="1" x14ac:dyDescent="0.3">
      <c r="A146" s="17" t="s">
        <v>21</v>
      </c>
      <c r="B146" s="376" t="s">
        <v>427</v>
      </c>
      <c r="C146" s="378">
        <f t="shared" si="5"/>
        <v>48966750</v>
      </c>
      <c r="D146" s="270">
        <f>+D147+D148+D149+D150</f>
        <v>48966750</v>
      </c>
      <c r="E146" s="117">
        <f>+E147+E148+E149+E150</f>
        <v>0</v>
      </c>
      <c r="F146" s="117">
        <f>+F147+F148+F149+F150</f>
        <v>0</v>
      </c>
      <c r="H146" s="336">
        <f>'1.2.sz.mell. '!C146+'1.3.sz.mell.'!C146+'1.4.sz.mell. '!C147+'1.5.sz.mell.'!C147</f>
        <v>48966750</v>
      </c>
      <c r="I146" s="336">
        <f t="shared" si="6"/>
        <v>0</v>
      </c>
    </row>
    <row r="147" spans="1:9" ht="12" customHeight="1" thickBot="1" x14ac:dyDescent="0.3">
      <c r="A147" s="12" t="s">
        <v>82</v>
      </c>
      <c r="B147" s="6" t="s">
        <v>306</v>
      </c>
      <c r="C147" s="374">
        <f t="shared" si="5"/>
        <v>0</v>
      </c>
      <c r="D147" s="101"/>
      <c r="E147" s="101"/>
      <c r="F147" s="101"/>
      <c r="H147" s="336">
        <f>'1.2.sz.mell. '!C147+'1.3.sz.mell.'!C147+'1.4.sz.mell. '!C148+'1.5.sz.mell.'!C148</f>
        <v>0</v>
      </c>
      <c r="I147" s="337">
        <f t="shared" si="6"/>
        <v>0</v>
      </c>
    </row>
    <row r="148" spans="1:9" ht="12" customHeight="1" thickBot="1" x14ac:dyDescent="0.3">
      <c r="A148" s="12" t="s">
        <v>83</v>
      </c>
      <c r="B148" s="6" t="s">
        <v>307</v>
      </c>
      <c r="C148" s="373">
        <f t="shared" si="5"/>
        <v>48966750</v>
      </c>
      <c r="D148" s="101">
        <v>48966750</v>
      </c>
      <c r="E148" s="101"/>
      <c r="F148" s="101"/>
      <c r="H148" s="336">
        <f>'1.2.sz.mell. '!C148+'1.3.sz.mell.'!C148+'1.4.sz.mell. '!C149+'1.5.sz.mell.'!C149</f>
        <v>48966750</v>
      </c>
      <c r="I148" s="338">
        <f t="shared" si="6"/>
        <v>0</v>
      </c>
    </row>
    <row r="149" spans="1:9" ht="12" customHeight="1" thickBot="1" x14ac:dyDescent="0.3">
      <c r="A149" s="12" t="s">
        <v>220</v>
      </c>
      <c r="B149" s="6" t="s">
        <v>428</v>
      </c>
      <c r="C149" s="374">
        <f t="shared" si="5"/>
        <v>0</v>
      </c>
      <c r="D149" s="101"/>
      <c r="E149" s="101"/>
      <c r="F149" s="101"/>
      <c r="H149" s="336">
        <f>'1.2.sz.mell. '!C149+'1.3.sz.mell.'!C149+'1.4.sz.mell. '!C150+'1.5.sz.mell.'!C150</f>
        <v>0</v>
      </c>
      <c r="I149" s="338">
        <f t="shared" si="6"/>
        <v>0</v>
      </c>
    </row>
    <row r="150" spans="1:9" ht="12" customHeight="1" thickBot="1" x14ac:dyDescent="0.3">
      <c r="A150" s="10" t="s">
        <v>221</v>
      </c>
      <c r="B150" s="4" t="s">
        <v>325</v>
      </c>
      <c r="C150" s="377">
        <f t="shared" si="5"/>
        <v>0</v>
      </c>
      <c r="D150" s="101"/>
      <c r="E150" s="101"/>
      <c r="F150" s="101"/>
      <c r="H150" s="336">
        <f>'1.2.sz.mell. '!C150+'1.3.sz.mell.'!C150+'1.4.sz.mell. '!C151+'1.5.sz.mell.'!C151</f>
        <v>0</v>
      </c>
      <c r="I150" s="339">
        <f t="shared" si="6"/>
        <v>0</v>
      </c>
    </row>
    <row r="151" spans="1:9" ht="12" customHeight="1" thickBot="1" x14ac:dyDescent="0.3">
      <c r="A151" s="17" t="s">
        <v>22</v>
      </c>
      <c r="B151" s="376" t="s">
        <v>429</v>
      </c>
      <c r="C151" s="378">
        <f t="shared" si="5"/>
        <v>0</v>
      </c>
      <c r="D151" s="277">
        <f>+D152+D153+D154+D155+D156</f>
        <v>0</v>
      </c>
      <c r="E151" s="120">
        <f>+E152+E153+E154+E155+E156</f>
        <v>0</v>
      </c>
      <c r="F151" s="1133">
        <f>SUM(F152:F156)</f>
        <v>0</v>
      </c>
      <c r="H151" s="336">
        <f>'1.2.sz.mell. '!C151+'1.3.sz.mell.'!C151+'1.4.sz.mell. '!C152+'1.5.sz.mell.'!C152</f>
        <v>0</v>
      </c>
      <c r="I151" s="336">
        <f t="shared" si="6"/>
        <v>0</v>
      </c>
    </row>
    <row r="152" spans="1:9" ht="12" customHeight="1" thickBot="1" x14ac:dyDescent="0.3">
      <c r="A152" s="12" t="s">
        <v>84</v>
      </c>
      <c r="B152" s="6" t="s">
        <v>430</v>
      </c>
      <c r="C152" s="374">
        <f t="shared" si="5"/>
        <v>0</v>
      </c>
      <c r="D152" s="101"/>
      <c r="E152" s="101"/>
      <c r="F152" s="101"/>
      <c r="H152" s="336">
        <f>'1.2.sz.mell. '!C152+'1.3.sz.mell.'!C152+'1.4.sz.mell. '!C153+'1.5.sz.mell.'!C153</f>
        <v>0</v>
      </c>
      <c r="I152" s="337">
        <f t="shared" si="6"/>
        <v>0</v>
      </c>
    </row>
    <row r="153" spans="1:9" ht="12" customHeight="1" thickBot="1" x14ac:dyDescent="0.3">
      <c r="A153" s="12" t="s">
        <v>85</v>
      </c>
      <c r="B153" s="6" t="s">
        <v>431</v>
      </c>
      <c r="C153" s="374">
        <f t="shared" si="5"/>
        <v>0</v>
      </c>
      <c r="D153" s="101"/>
      <c r="E153" s="101"/>
      <c r="F153" s="101"/>
      <c r="H153" s="336">
        <f>'1.2.sz.mell. '!C153+'1.3.sz.mell.'!C153+'1.4.sz.mell. '!C154+'1.5.sz.mell.'!C154</f>
        <v>0</v>
      </c>
      <c r="I153" s="338">
        <f t="shared" si="6"/>
        <v>0</v>
      </c>
    </row>
    <row r="154" spans="1:9" ht="12" customHeight="1" thickBot="1" x14ac:dyDescent="0.3">
      <c r="A154" s="12" t="s">
        <v>232</v>
      </c>
      <c r="B154" s="6" t="s">
        <v>432</v>
      </c>
      <c r="C154" s="374">
        <f t="shared" si="5"/>
        <v>0</v>
      </c>
      <c r="D154" s="101"/>
      <c r="E154" s="101"/>
      <c r="F154" s="101"/>
      <c r="H154" s="336">
        <f>'1.2.sz.mell. '!C154+'1.3.sz.mell.'!C154+'1.4.sz.mell. '!C155+'1.5.sz.mell.'!C155</f>
        <v>0</v>
      </c>
      <c r="I154" s="338">
        <f t="shared" si="6"/>
        <v>0</v>
      </c>
    </row>
    <row r="155" spans="1:9" ht="12" customHeight="1" thickBot="1" x14ac:dyDescent="0.3">
      <c r="A155" s="12" t="s">
        <v>233</v>
      </c>
      <c r="B155" s="6" t="s">
        <v>433</v>
      </c>
      <c r="C155" s="374">
        <f t="shared" si="5"/>
        <v>0</v>
      </c>
      <c r="D155" s="101"/>
      <c r="E155" s="101"/>
      <c r="F155" s="101"/>
      <c r="H155" s="336">
        <f>'1.2.sz.mell. '!C155+'1.3.sz.mell.'!C155+'1.4.sz.mell. '!C156+'1.5.sz.mell.'!C156</f>
        <v>0</v>
      </c>
      <c r="I155" s="338">
        <f t="shared" si="6"/>
        <v>0</v>
      </c>
    </row>
    <row r="156" spans="1:9" ht="12" customHeight="1" thickBot="1" x14ac:dyDescent="0.3">
      <c r="A156" s="12" t="s">
        <v>434</v>
      </c>
      <c r="B156" s="6" t="s">
        <v>435</v>
      </c>
      <c r="C156" s="377">
        <f t="shared" si="5"/>
        <v>0</v>
      </c>
      <c r="D156" s="102"/>
      <c r="E156" s="102"/>
      <c r="F156" s="101"/>
      <c r="H156" s="336">
        <f>'1.2.sz.mell. '!C156+'1.3.sz.mell.'!C156+'1.4.sz.mell. '!C157+'1.5.sz.mell.'!C157</f>
        <v>0</v>
      </c>
      <c r="I156" s="339">
        <f t="shared" si="6"/>
        <v>0</v>
      </c>
    </row>
    <row r="157" spans="1:9" ht="12" customHeight="1" thickBot="1" x14ac:dyDescent="0.3">
      <c r="A157" s="17" t="s">
        <v>23</v>
      </c>
      <c r="B157" s="376" t="s">
        <v>436</v>
      </c>
      <c r="C157" s="378">
        <f t="shared" si="5"/>
        <v>0</v>
      </c>
      <c r="D157" s="277"/>
      <c r="E157" s="120"/>
      <c r="F157" s="1134"/>
      <c r="H157" s="336">
        <f>'1.2.sz.mell. '!C157+'1.3.sz.mell.'!C157+'1.4.sz.mell. '!C158+'1.5.sz.mell.'!C158</f>
        <v>0</v>
      </c>
      <c r="I157" s="336">
        <f t="shared" si="6"/>
        <v>0</v>
      </c>
    </row>
    <row r="158" spans="1:9" ht="12" customHeight="1" thickBot="1" x14ac:dyDescent="0.3">
      <c r="A158" s="17" t="s">
        <v>24</v>
      </c>
      <c r="B158" s="376" t="s">
        <v>437</v>
      </c>
      <c r="C158" s="378">
        <f t="shared" si="5"/>
        <v>0</v>
      </c>
      <c r="D158" s="277"/>
      <c r="E158" s="120"/>
      <c r="F158" s="1134"/>
      <c r="H158" s="336">
        <f>'1.2.sz.mell. '!C158+'1.3.sz.mell.'!C158+'1.4.sz.mell. '!C159+'1.5.sz.mell.'!C159</f>
        <v>0</v>
      </c>
      <c r="I158" s="336">
        <f t="shared" si="6"/>
        <v>0</v>
      </c>
    </row>
    <row r="159" spans="1:9" ht="15" customHeight="1" thickBot="1" x14ac:dyDescent="0.3">
      <c r="A159" s="17" t="s">
        <v>25</v>
      </c>
      <c r="B159" s="376" t="s">
        <v>438</v>
      </c>
      <c r="C159" s="378">
        <f t="shared" si="5"/>
        <v>923960497</v>
      </c>
      <c r="D159" s="278">
        <f>+D135+D139+D146+D151+D157+D158</f>
        <v>923960497</v>
      </c>
      <c r="E159" s="194">
        <f>+E135+E139+E146+E151+E157+E158</f>
        <v>0</v>
      </c>
      <c r="F159" s="1135">
        <f>+F135+F139+F146+F151+F157+F158</f>
        <v>0</v>
      </c>
      <c r="G159" s="195"/>
      <c r="H159" s="336">
        <f>'1.2.sz.mell. '!C159+'1.3.sz.mell.'!C159+'1.4.sz.mell. '!C160+'1.5.sz.mell.'!C160</f>
        <v>923960497</v>
      </c>
      <c r="I159" s="336">
        <f t="shared" si="6"/>
        <v>0</v>
      </c>
    </row>
    <row r="160" spans="1:9" s="183" customFormat="1" ht="12.95" customHeight="1" thickBot="1" x14ac:dyDescent="0.25">
      <c r="A160" s="110" t="s">
        <v>26</v>
      </c>
      <c r="B160" s="379" t="s">
        <v>439</v>
      </c>
      <c r="C160" s="378">
        <f t="shared" si="5"/>
        <v>6872782319</v>
      </c>
      <c r="D160" s="278">
        <f>+D134+D159</f>
        <v>4799678401</v>
      </c>
      <c r="E160" s="194">
        <f>+E134+E159</f>
        <v>239198789</v>
      </c>
      <c r="F160" s="1135">
        <f>+F134+F159</f>
        <v>1833905129</v>
      </c>
      <c r="H160" s="336">
        <f>'1.2.sz.mell. '!C160+'1.3.sz.mell.'!C160+'1.4.sz.mell. '!C161+'1.5.sz.mell.'!C161</f>
        <v>6872782319</v>
      </c>
      <c r="I160" s="336">
        <f t="shared" si="6"/>
        <v>0</v>
      </c>
    </row>
    <row r="161" spans="1:6" x14ac:dyDescent="0.25">
      <c r="A161" s="1431" t="s">
        <v>308</v>
      </c>
      <c r="B161" s="1431"/>
      <c r="C161" s="1431"/>
    </row>
    <row r="162" spans="1:6" ht="15" customHeight="1" thickBot="1" x14ac:dyDescent="0.3">
      <c r="A162" s="1434" t="s">
        <v>117</v>
      </c>
      <c r="B162" s="1434"/>
      <c r="C162" s="1026" t="s">
        <v>494</v>
      </c>
    </row>
    <row r="163" spans="1:6" ht="13.5" customHeight="1" thickBot="1" x14ac:dyDescent="0.3">
      <c r="A163" s="17">
        <v>1</v>
      </c>
      <c r="B163" s="22" t="s">
        <v>440</v>
      </c>
      <c r="C163" s="117">
        <f>+C69-C134</f>
        <v>-1017051421</v>
      </c>
      <c r="D163" s="568"/>
    </row>
    <row r="164" spans="1:6" ht="15" customHeight="1" thickBot="1" x14ac:dyDescent="0.3">
      <c r="A164" s="17" t="s">
        <v>17</v>
      </c>
      <c r="B164" s="22" t="s">
        <v>762</v>
      </c>
      <c r="C164" s="117">
        <f>+C93-C159</f>
        <v>1017051421</v>
      </c>
      <c r="F164" s="934"/>
    </row>
  </sheetData>
  <mergeCells count="12">
    <mergeCell ref="A1:C1"/>
    <mergeCell ref="A162:B162"/>
    <mergeCell ref="A7:C7"/>
    <mergeCell ref="A95:C95"/>
    <mergeCell ref="A96:B96"/>
    <mergeCell ref="A161:C161"/>
    <mergeCell ref="D4:F4"/>
    <mergeCell ref="D5:F5"/>
    <mergeCell ref="D3:F3"/>
    <mergeCell ref="A3:C3"/>
    <mergeCell ref="A4:C4"/>
    <mergeCell ref="A5:C5"/>
  </mergeCells>
  <printOptions horizontalCentered="1"/>
  <pageMargins left="0.6692913385826772" right="0.6692913385826772" top="0.86614173228346458" bottom="0.86614173228346458" header="0" footer="0"/>
  <pageSetup paperSize="9" scale="76" fitToHeight="0" orientation="portrait" r:id="rId1"/>
  <headerFooter alignWithMargins="0"/>
  <rowBreaks count="2" manualBreakCount="2">
    <brk id="73" max="2" man="1"/>
    <brk id="94" max="2" man="1"/>
  </rowBreak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0">
    <pageSetUpPr fitToPage="1"/>
  </sheetPr>
  <dimension ref="A1:F48"/>
  <sheetViews>
    <sheetView zoomScaleSheetLayoutView="85" workbookViewId="0">
      <selection activeCell="I9" sqref="I9"/>
    </sheetView>
  </sheetViews>
  <sheetFormatPr defaultColWidth="9.33203125" defaultRowHeight="12.75" x14ac:dyDescent="0.2"/>
  <cols>
    <col min="1" max="1" width="38.6640625" style="826" customWidth="1"/>
    <col min="2" max="5" width="13.83203125" style="826" customWidth="1"/>
    <col min="6" max="16384" width="9.33203125" style="826"/>
  </cols>
  <sheetData>
    <row r="1" spans="1:6" x14ac:dyDescent="0.2">
      <c r="A1" s="1471" t="str">
        <f>CONCATENATE("13. melléklet ",ALAPADATOK!A7," ",ALAPADATOK!B7," ",ALAPADATOK!C7," ",ALAPADATOK!D7," ",ALAPADATOK!E7," ",ALAPADATOK!F7," ",ALAPADATOK!G7," ",ALAPADATOK!H7)</f>
        <v>13. melléklet a 19 / 2021. ( XI.29. ) önkormányzati rendelethez</v>
      </c>
      <c r="B1" s="1471"/>
      <c r="C1" s="1471"/>
      <c r="D1" s="1471"/>
      <c r="E1" s="1471"/>
    </row>
    <row r="2" spans="1:6" x14ac:dyDescent="0.2">
      <c r="A2" s="825"/>
      <c r="B2" s="825"/>
      <c r="C2" s="825"/>
      <c r="D2" s="825"/>
      <c r="E2" s="825"/>
    </row>
    <row r="3" spans="1:6" ht="68.25" customHeight="1" x14ac:dyDescent="0.25">
      <c r="A3" s="1468" t="s">
        <v>1076</v>
      </c>
      <c r="B3" s="1468"/>
      <c r="C3" s="1468"/>
      <c r="D3" s="1468"/>
      <c r="E3" s="1468"/>
    </row>
    <row r="4" spans="1:6" x14ac:dyDescent="0.2">
      <c r="A4" s="825"/>
      <c r="B4" s="825"/>
      <c r="C4" s="825"/>
      <c r="D4" s="825"/>
      <c r="E4" s="825"/>
    </row>
    <row r="5" spans="1:6" ht="74.25" customHeight="1" x14ac:dyDescent="0.25">
      <c r="A5" s="1468" t="s">
        <v>790</v>
      </c>
      <c r="B5" s="1468"/>
      <c r="C5" s="1468"/>
      <c r="D5" s="1468"/>
      <c r="E5" s="1468"/>
      <c r="F5" s="827"/>
    </row>
    <row r="6" spans="1:6" ht="14.25" thickBot="1" x14ac:dyDescent="0.3">
      <c r="A6" s="737"/>
      <c r="B6" s="737"/>
      <c r="C6" s="737"/>
      <c r="D6" s="1469" t="s">
        <v>502</v>
      </c>
      <c r="E6" s="1469"/>
      <c r="F6" s="827"/>
    </row>
    <row r="7" spans="1:6" ht="15" customHeight="1" thickBot="1" x14ac:dyDescent="0.25">
      <c r="A7" s="782" t="s">
        <v>532</v>
      </c>
      <c r="B7" s="783" t="s">
        <v>805</v>
      </c>
      <c r="C7" s="783" t="s">
        <v>797</v>
      </c>
      <c r="D7" s="783" t="s">
        <v>806</v>
      </c>
      <c r="E7" s="784" t="s">
        <v>48</v>
      </c>
      <c r="F7" s="827"/>
    </row>
    <row r="8" spans="1:6" x14ac:dyDescent="0.2">
      <c r="A8" s="738" t="s">
        <v>533</v>
      </c>
      <c r="B8" s="753"/>
      <c r="C8" s="1181">
        <v>5000</v>
      </c>
      <c r="D8" s="753"/>
      <c r="E8" s="740">
        <f>SUM(B8:D8)</f>
        <v>5000</v>
      </c>
      <c r="F8" s="827"/>
    </row>
    <row r="9" spans="1:6" x14ac:dyDescent="0.2">
      <c r="A9" s="741" t="s">
        <v>534</v>
      </c>
      <c r="B9" s="756"/>
      <c r="C9" s="756"/>
      <c r="D9" s="756"/>
      <c r="E9" s="743">
        <f t="shared" ref="E9:E14" si="0">SUM(B9:D9)</f>
        <v>0</v>
      </c>
      <c r="F9" s="827"/>
    </row>
    <row r="10" spans="1:6" x14ac:dyDescent="0.2">
      <c r="A10" s="744" t="s">
        <v>535</v>
      </c>
      <c r="B10" s="759">
        <f>2763895+202109846</f>
        <v>204873741</v>
      </c>
      <c r="C10" s="759"/>
      <c r="D10" s="759"/>
      <c r="E10" s="795">
        <f t="shared" si="0"/>
        <v>204873741</v>
      </c>
      <c r="F10" s="827"/>
    </row>
    <row r="11" spans="1:6" x14ac:dyDescent="0.2">
      <c r="A11" s="744" t="s">
        <v>536</v>
      </c>
      <c r="B11" s="759">
        <f>341605+24979870</f>
        <v>25321475</v>
      </c>
      <c r="C11" s="759"/>
      <c r="D11" s="759"/>
      <c r="E11" s="795">
        <f t="shared" si="0"/>
        <v>25321475</v>
      </c>
      <c r="F11" s="827"/>
    </row>
    <row r="12" spans="1:6" x14ac:dyDescent="0.2">
      <c r="A12" s="744" t="s">
        <v>110</v>
      </c>
      <c r="B12" s="759"/>
      <c r="C12" s="759"/>
      <c r="D12" s="759"/>
      <c r="E12" s="795">
        <f t="shared" si="0"/>
        <v>0</v>
      </c>
      <c r="F12" s="827"/>
    </row>
    <row r="13" spans="1:6" x14ac:dyDescent="0.2">
      <c r="A13" s="744" t="s">
        <v>537</v>
      </c>
      <c r="B13" s="759"/>
      <c r="C13" s="759"/>
      <c r="D13" s="759"/>
      <c r="E13" s="795">
        <f t="shared" si="0"/>
        <v>0</v>
      </c>
      <c r="F13" s="827"/>
    </row>
    <row r="14" spans="1:6" ht="13.5" thickBot="1" x14ac:dyDescent="0.25">
      <c r="A14" s="745"/>
      <c r="B14" s="762"/>
      <c r="C14" s="762"/>
      <c r="D14" s="762"/>
      <c r="E14" s="795">
        <f t="shared" si="0"/>
        <v>0</v>
      </c>
      <c r="F14" s="827"/>
    </row>
    <row r="15" spans="1:6" ht="13.5" thickBot="1" x14ac:dyDescent="0.25">
      <c r="A15" s="785" t="s">
        <v>538</v>
      </c>
      <c r="B15" s="786">
        <f>SUM(B8:B14)</f>
        <v>230195216</v>
      </c>
      <c r="C15" s="786">
        <f>SUM(C8:C14)</f>
        <v>5000</v>
      </c>
      <c r="D15" s="786">
        <f>SUM(D8:D14)</f>
        <v>0</v>
      </c>
      <c r="E15" s="787">
        <f>SUM(E8:E14)</f>
        <v>230200216</v>
      </c>
      <c r="F15" s="827"/>
    </row>
    <row r="16" spans="1:6" ht="13.5" thickBot="1" x14ac:dyDescent="0.25">
      <c r="A16" s="746"/>
      <c r="B16" s="746"/>
      <c r="C16" s="746"/>
      <c r="D16" s="746"/>
      <c r="E16" s="746"/>
      <c r="F16" s="827"/>
    </row>
    <row r="17" spans="1:6" ht="15" customHeight="1" thickBot="1" x14ac:dyDescent="0.25">
      <c r="A17" s="782" t="s">
        <v>539</v>
      </c>
      <c r="B17" s="783" t="str">
        <f>B7</f>
        <v>2021. előtt</v>
      </c>
      <c r="C17" s="783" t="str">
        <f t="shared" ref="C17:E17" si="1">C7</f>
        <v>2021.</v>
      </c>
      <c r="D17" s="783" t="str">
        <f t="shared" si="1"/>
        <v>2021. után</v>
      </c>
      <c r="E17" s="783" t="str">
        <f t="shared" si="1"/>
        <v>Összesen</v>
      </c>
      <c r="F17" s="827"/>
    </row>
    <row r="18" spans="1:6" x14ac:dyDescent="0.2">
      <c r="A18" s="738" t="s">
        <v>540</v>
      </c>
      <c r="B18" s="753"/>
      <c r="C18" s="753"/>
      <c r="D18" s="753"/>
      <c r="E18" s="740">
        <f>SUM(B18:D18)</f>
        <v>0</v>
      </c>
      <c r="F18" s="827"/>
    </row>
    <row r="19" spans="1:6" x14ac:dyDescent="0.2">
      <c r="A19" s="747" t="s">
        <v>541</v>
      </c>
      <c r="B19" s="759">
        <f>444500+6286500</f>
        <v>6731000</v>
      </c>
      <c r="C19" s="449">
        <f>7990000+2157300+166004320+44650796+5000</f>
        <v>220807416</v>
      </c>
      <c r="D19" s="759"/>
      <c r="E19" s="795">
        <f t="shared" ref="E19:E24" si="2">SUM(B19:D19)</f>
        <v>227538416</v>
      </c>
      <c r="F19" s="827"/>
    </row>
    <row r="20" spans="1:6" x14ac:dyDescent="0.2">
      <c r="A20" s="744" t="s">
        <v>542</v>
      </c>
      <c r="B20" s="759"/>
      <c r="C20" s="759">
        <f>2286000+375000+800</f>
        <v>2661800</v>
      </c>
      <c r="D20" s="759"/>
      <c r="E20" s="795">
        <f t="shared" si="2"/>
        <v>2661800</v>
      </c>
      <c r="F20" s="827"/>
    </row>
    <row r="21" spans="1:6" x14ac:dyDescent="0.2">
      <c r="A21" s="744" t="s">
        <v>543</v>
      </c>
      <c r="B21" s="759"/>
      <c r="C21" s="759"/>
      <c r="D21" s="759"/>
      <c r="E21" s="795">
        <f t="shared" si="2"/>
        <v>0</v>
      </c>
      <c r="F21" s="827"/>
    </row>
    <row r="22" spans="1:6" x14ac:dyDescent="0.2">
      <c r="A22" s="748" t="s">
        <v>544</v>
      </c>
      <c r="B22" s="759"/>
      <c r="C22" s="759"/>
      <c r="D22" s="759"/>
      <c r="E22" s="795">
        <f t="shared" si="2"/>
        <v>0</v>
      </c>
      <c r="F22" s="827"/>
    </row>
    <row r="23" spans="1:6" x14ac:dyDescent="0.2">
      <c r="A23" s="748" t="s">
        <v>545</v>
      </c>
      <c r="B23" s="759"/>
      <c r="C23" s="759"/>
      <c r="D23" s="759"/>
      <c r="E23" s="795">
        <f t="shared" si="2"/>
        <v>0</v>
      </c>
      <c r="F23" s="827"/>
    </row>
    <row r="24" spans="1:6" ht="13.5" thickBot="1" x14ac:dyDescent="0.25">
      <c r="A24" s="745"/>
      <c r="B24" s="762"/>
      <c r="C24" s="762"/>
      <c r="D24" s="762"/>
      <c r="E24" s="795">
        <f t="shared" si="2"/>
        <v>0</v>
      </c>
      <c r="F24" s="827"/>
    </row>
    <row r="25" spans="1:6" ht="13.5" thickBot="1" x14ac:dyDescent="0.25">
      <c r="A25" s="785" t="s">
        <v>49</v>
      </c>
      <c r="B25" s="786">
        <f>SUM(B18:B24)</f>
        <v>6731000</v>
      </c>
      <c r="C25" s="786">
        <f>SUM(C18:C24)</f>
        <v>223469216</v>
      </c>
      <c r="D25" s="786">
        <f>SUM(D18:D24)</f>
        <v>0</v>
      </c>
      <c r="E25" s="787">
        <f>SUM(E18:E24)</f>
        <v>230200216</v>
      </c>
      <c r="F25" s="827"/>
    </row>
    <row r="26" spans="1:6" x14ac:dyDescent="0.2">
      <c r="A26" s="825"/>
      <c r="B26" s="825"/>
      <c r="C26" s="825"/>
      <c r="D26" s="825"/>
      <c r="E26" s="825"/>
    </row>
    <row r="27" spans="1:6" ht="48.75" customHeight="1" x14ac:dyDescent="0.25">
      <c r="A27" s="1474" t="s">
        <v>950</v>
      </c>
      <c r="B27" s="1474"/>
      <c r="C27" s="1474"/>
      <c r="D27" s="1474"/>
      <c r="E27" s="1474"/>
    </row>
    <row r="28" spans="1:6" ht="14.25" thickBot="1" x14ac:dyDescent="0.3">
      <c r="A28" s="737"/>
      <c r="B28" s="737"/>
      <c r="C28" s="737"/>
      <c r="D28" s="1475" t="s">
        <v>502</v>
      </c>
      <c r="E28" s="1475"/>
    </row>
    <row r="29" spans="1:6" ht="13.5" thickBot="1" x14ac:dyDescent="0.25">
      <c r="A29" s="782" t="s">
        <v>532</v>
      </c>
      <c r="B29" s="783" t="s">
        <v>805</v>
      </c>
      <c r="C29" s="783" t="s">
        <v>797</v>
      </c>
      <c r="D29" s="783" t="s">
        <v>806</v>
      </c>
      <c r="E29" s="784" t="s">
        <v>48</v>
      </c>
    </row>
    <row r="30" spans="1:6" x14ac:dyDescent="0.2">
      <c r="A30" s="738" t="s">
        <v>533</v>
      </c>
      <c r="B30" s="831"/>
      <c r="C30" s="842">
        <v>388900</v>
      </c>
      <c r="D30" s="831"/>
      <c r="E30" s="740">
        <f>SUM(B30:D30)</f>
        <v>388900</v>
      </c>
    </row>
    <row r="31" spans="1:6" x14ac:dyDescent="0.2">
      <c r="A31" s="741" t="s">
        <v>534</v>
      </c>
      <c r="B31" s="833"/>
      <c r="C31" s="833"/>
      <c r="D31" s="833"/>
      <c r="E31" s="795">
        <f t="shared" ref="E31:E36" si="3">SUM(B31:D31)</f>
        <v>0</v>
      </c>
    </row>
    <row r="32" spans="1:6" x14ac:dyDescent="0.2">
      <c r="A32" s="744" t="s">
        <v>535</v>
      </c>
      <c r="B32" s="835"/>
      <c r="C32" s="836">
        <v>3500100</v>
      </c>
      <c r="D32" s="835"/>
      <c r="E32" s="795">
        <f t="shared" si="3"/>
        <v>3500100</v>
      </c>
    </row>
    <row r="33" spans="1:5" x14ac:dyDescent="0.2">
      <c r="A33" s="744" t="s">
        <v>536</v>
      </c>
      <c r="B33" s="835"/>
      <c r="C33" s="835"/>
      <c r="D33" s="835"/>
      <c r="E33" s="795">
        <f t="shared" si="3"/>
        <v>0</v>
      </c>
    </row>
    <row r="34" spans="1:5" x14ac:dyDescent="0.2">
      <c r="A34" s="744" t="s">
        <v>110</v>
      </c>
      <c r="B34" s="835"/>
      <c r="C34" s="835"/>
      <c r="D34" s="835"/>
      <c r="E34" s="795">
        <f t="shared" si="3"/>
        <v>0</v>
      </c>
    </row>
    <row r="35" spans="1:5" x14ac:dyDescent="0.2">
      <c r="A35" s="744" t="s">
        <v>537</v>
      </c>
      <c r="B35" s="835"/>
      <c r="C35" s="835"/>
      <c r="D35" s="835"/>
      <c r="E35" s="795">
        <f t="shared" si="3"/>
        <v>0</v>
      </c>
    </row>
    <row r="36" spans="1:5" ht="13.5" thickBot="1" x14ac:dyDescent="0.25">
      <c r="A36" s="745"/>
      <c r="B36" s="839"/>
      <c r="C36" s="839"/>
      <c r="D36" s="839"/>
      <c r="E36" s="1161">
        <f t="shared" si="3"/>
        <v>0</v>
      </c>
    </row>
    <row r="37" spans="1:5" ht="13.5" thickBot="1" x14ac:dyDescent="0.25">
      <c r="A37" s="785" t="s">
        <v>538</v>
      </c>
      <c r="B37" s="786">
        <f>SUM(B30:B36)</f>
        <v>0</v>
      </c>
      <c r="C37" s="786">
        <f>SUM(C30:C36)</f>
        <v>3889000</v>
      </c>
      <c r="D37" s="786">
        <f>SUM(D30:D36)</f>
        <v>0</v>
      </c>
      <c r="E37" s="787">
        <f>SUM(E30:E36)</f>
        <v>3889000</v>
      </c>
    </row>
    <row r="38" spans="1:5" ht="13.5" thickBot="1" x14ac:dyDescent="0.25">
      <c r="A38" s="746"/>
      <c r="B38" s="746"/>
      <c r="C38" s="746"/>
      <c r="D38" s="746"/>
      <c r="E38" s="746"/>
    </row>
    <row r="39" spans="1:5" ht="13.5" thickBot="1" x14ac:dyDescent="0.25">
      <c r="A39" s="782" t="s">
        <v>539</v>
      </c>
      <c r="B39" s="783" t="s">
        <v>805</v>
      </c>
      <c r="C39" s="783" t="s">
        <v>797</v>
      </c>
      <c r="D39" s="783" t="s">
        <v>806</v>
      </c>
      <c r="E39" s="784" t="s">
        <v>48</v>
      </c>
    </row>
    <row r="40" spans="1:5" x14ac:dyDescent="0.2">
      <c r="A40" s="738" t="s">
        <v>540</v>
      </c>
      <c r="B40" s="831"/>
      <c r="C40" s="842">
        <v>196850</v>
      </c>
      <c r="D40" s="831"/>
      <c r="E40" s="740">
        <f>SUM(B40:D40)</f>
        <v>196850</v>
      </c>
    </row>
    <row r="41" spans="1:5" x14ac:dyDescent="0.2">
      <c r="A41" s="747" t="s">
        <v>541</v>
      </c>
      <c r="B41" s="835"/>
      <c r="C41" s="836">
        <v>1631608</v>
      </c>
      <c r="D41" s="835"/>
      <c r="E41" s="795">
        <f>SUM(B41:D41)</f>
        <v>1631608</v>
      </c>
    </row>
    <row r="42" spans="1:5" x14ac:dyDescent="0.2">
      <c r="A42" s="744" t="s">
        <v>542</v>
      </c>
      <c r="B42" s="835"/>
      <c r="C42" s="836">
        <v>2060542</v>
      </c>
      <c r="D42" s="835"/>
      <c r="E42" s="795">
        <f>SUM(B42:D42)</f>
        <v>2060542</v>
      </c>
    </row>
    <row r="43" spans="1:5" x14ac:dyDescent="0.2">
      <c r="A43" s="744" t="s">
        <v>543</v>
      </c>
      <c r="B43" s="835"/>
      <c r="C43" s="835"/>
      <c r="D43" s="835"/>
      <c r="E43" s="795">
        <f>SUM(B43:D43)</f>
        <v>0</v>
      </c>
    </row>
    <row r="44" spans="1:5" x14ac:dyDescent="0.2">
      <c r="A44" s="748" t="s">
        <v>544</v>
      </c>
      <c r="B44" s="835"/>
      <c r="C44" s="835"/>
      <c r="D44" s="835"/>
      <c r="E44" s="1161">
        <f>SUM(B44:D44)</f>
        <v>0</v>
      </c>
    </row>
    <row r="45" spans="1:5" x14ac:dyDescent="0.2">
      <c r="A45" s="748" t="s">
        <v>545</v>
      </c>
      <c r="B45" s="835"/>
      <c r="C45" s="835"/>
      <c r="D45" s="835"/>
      <c r="E45" s="837">
        <v>0</v>
      </c>
    </row>
    <row r="46" spans="1:5" ht="13.5" thickBot="1" x14ac:dyDescent="0.25">
      <c r="A46" s="745"/>
      <c r="B46" s="839"/>
      <c r="C46" s="839"/>
      <c r="D46" s="839"/>
      <c r="E46" s="837">
        <v>0</v>
      </c>
    </row>
    <row r="47" spans="1:5" ht="13.5" thickBot="1" x14ac:dyDescent="0.25">
      <c r="A47" s="785" t="s">
        <v>49</v>
      </c>
      <c r="B47" s="786">
        <f>SUM(B40:B46)</f>
        <v>0</v>
      </c>
      <c r="C47" s="786">
        <f>SUM(C40:C46)</f>
        <v>3889000</v>
      </c>
      <c r="D47" s="786">
        <f>SUM(D40:D46)</f>
        <v>0</v>
      </c>
      <c r="E47" s="787">
        <f>SUM(E40:E46)</f>
        <v>3889000</v>
      </c>
    </row>
    <row r="48" spans="1:5" x14ac:dyDescent="0.2">
      <c r="A48" s="825"/>
      <c r="B48" s="825"/>
      <c r="C48" s="825"/>
      <c r="D48" s="825"/>
      <c r="E48" s="825"/>
    </row>
  </sheetData>
  <mergeCells count="6">
    <mergeCell ref="A1:E1"/>
    <mergeCell ref="A5:E5"/>
    <mergeCell ref="D6:E6"/>
    <mergeCell ref="A27:E27"/>
    <mergeCell ref="D28:E28"/>
    <mergeCell ref="A3:E3"/>
  </mergeCells>
  <conditionalFormatting sqref="E8:E15 B25:E25 E18:E24 B15:D15">
    <cfRule type="cellIs" dxfId="27" priority="10" stopIfTrue="1" operator="equal">
      <formula>0</formula>
    </cfRule>
  </conditionalFormatting>
  <conditionalFormatting sqref="E30:E36">
    <cfRule type="cellIs" dxfId="26" priority="9" stopIfTrue="1" operator="equal">
      <formula>0</formula>
    </cfRule>
  </conditionalFormatting>
  <conditionalFormatting sqref="B37:E37">
    <cfRule type="cellIs" dxfId="25" priority="8" stopIfTrue="1" operator="equal">
      <formula>0</formula>
    </cfRule>
  </conditionalFormatting>
  <conditionalFormatting sqref="E45:E46">
    <cfRule type="cellIs" dxfId="24" priority="7" stopIfTrue="1" operator="equal">
      <formula>0</formula>
    </cfRule>
  </conditionalFormatting>
  <conditionalFormatting sqref="B47:E47">
    <cfRule type="cellIs" dxfId="23" priority="6" stopIfTrue="1" operator="equal">
      <formula>0</formula>
    </cfRule>
  </conditionalFormatting>
  <conditionalFormatting sqref="E40">
    <cfRule type="cellIs" dxfId="22" priority="5" stopIfTrue="1" operator="equal">
      <formula>0</formula>
    </cfRule>
  </conditionalFormatting>
  <conditionalFormatting sqref="E41">
    <cfRule type="cellIs" dxfId="21" priority="4" stopIfTrue="1" operator="equal">
      <formula>0</formula>
    </cfRule>
  </conditionalFormatting>
  <conditionalFormatting sqref="E42">
    <cfRule type="cellIs" dxfId="20" priority="3" stopIfTrue="1" operator="equal">
      <formula>0</formula>
    </cfRule>
  </conditionalFormatting>
  <conditionalFormatting sqref="E43">
    <cfRule type="cellIs" dxfId="19" priority="2" stopIfTrue="1" operator="equal">
      <formula>0</formula>
    </cfRule>
  </conditionalFormatting>
  <conditionalFormatting sqref="E44">
    <cfRule type="cellIs" dxfId="18" priority="1" stopIfTrue="1" operator="equal">
      <formula>0</formula>
    </cfRule>
  </conditionalFormatting>
  <printOptions horizontalCentered="1"/>
  <pageMargins left="0.7" right="0.7" top="0.75" bottom="0.75" header="0.3" footer="0.3"/>
  <pageSetup paperSize="9" scale="95" orientation="portrait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55">
    <pageSetUpPr fitToPage="1"/>
  </sheetPr>
  <dimension ref="A1:F46"/>
  <sheetViews>
    <sheetView zoomScaleSheetLayoutView="85" workbookViewId="0">
      <selection activeCell="G25" sqref="G25"/>
    </sheetView>
  </sheetViews>
  <sheetFormatPr defaultColWidth="9.33203125" defaultRowHeight="12.75" x14ac:dyDescent="0.2"/>
  <cols>
    <col min="1" max="1" width="38.6640625" style="826" customWidth="1"/>
    <col min="2" max="5" width="13.83203125" style="826" customWidth="1"/>
    <col min="6" max="16384" width="9.33203125" style="826"/>
  </cols>
  <sheetData>
    <row r="1" spans="1:6" x14ac:dyDescent="0.2">
      <c r="A1" s="1471" t="str">
        <f>CONCATENATE("8.6. melléklet ",ALAPADATOK!A7," ",ALAPADATOK!B7," ",ALAPADATOK!C7," ",ALAPADATOK!D7," ",ALAPADATOK!E7," ",ALAPADATOK!F7," ",ALAPADATOK!G7," ",ALAPADATOK!H7)</f>
        <v>8.6. melléklet a 19 / 2021. ( XI.29. ) önkormányzati rendelethez</v>
      </c>
      <c r="B1" s="1471"/>
      <c r="C1" s="1471"/>
      <c r="D1" s="1471"/>
      <c r="E1" s="1471"/>
    </row>
    <row r="2" spans="1:6" x14ac:dyDescent="0.2">
      <c r="A2" s="825"/>
      <c r="B2" s="825"/>
      <c r="C2" s="825"/>
      <c r="D2" s="825"/>
      <c r="E2" s="825"/>
    </row>
    <row r="3" spans="1:6" ht="54.75" customHeight="1" x14ac:dyDescent="0.25">
      <c r="A3" s="1474" t="s">
        <v>951</v>
      </c>
      <c r="B3" s="1474"/>
      <c r="C3" s="1474"/>
      <c r="D3" s="1474"/>
      <c r="E3" s="1474"/>
      <c r="F3" s="827"/>
    </row>
    <row r="4" spans="1:6" ht="14.25" thickBot="1" x14ac:dyDescent="0.3">
      <c r="A4" s="737"/>
      <c r="B4" s="737"/>
      <c r="C4" s="737"/>
      <c r="D4" s="1475" t="s">
        <v>502</v>
      </c>
      <c r="E4" s="1475"/>
      <c r="F4" s="827"/>
    </row>
    <row r="5" spans="1:6" ht="15" customHeight="1" thickBot="1" x14ac:dyDescent="0.25">
      <c r="A5" s="782" t="s">
        <v>532</v>
      </c>
      <c r="B5" s="783" t="s">
        <v>805</v>
      </c>
      <c r="C5" s="783" t="s">
        <v>797</v>
      </c>
      <c r="D5" s="783" t="s">
        <v>806</v>
      </c>
      <c r="E5" s="784" t="s">
        <v>48</v>
      </c>
      <c r="F5" s="827"/>
    </row>
    <row r="6" spans="1:6" x14ac:dyDescent="0.2">
      <c r="A6" s="738" t="s">
        <v>533</v>
      </c>
      <c r="B6" s="831"/>
      <c r="C6" s="842">
        <v>1080000</v>
      </c>
      <c r="D6" s="831"/>
      <c r="E6" s="740">
        <f>SUM(B6:D6)</f>
        <v>1080000</v>
      </c>
      <c r="F6" s="827"/>
    </row>
    <row r="7" spans="1:6" x14ac:dyDescent="0.2">
      <c r="A7" s="741" t="s">
        <v>534</v>
      </c>
      <c r="B7" s="833"/>
      <c r="C7" s="833"/>
      <c r="D7" s="833"/>
      <c r="E7" s="795">
        <f t="shared" ref="E7:E12" si="0">SUM(B7:D7)</f>
        <v>0</v>
      </c>
      <c r="F7" s="827"/>
    </row>
    <row r="8" spans="1:6" x14ac:dyDescent="0.2">
      <c r="A8" s="744" t="s">
        <v>535</v>
      </c>
      <c r="B8" s="835"/>
      <c r="C8" s="836">
        <v>9720000</v>
      </c>
      <c r="D8" s="835"/>
      <c r="E8" s="795">
        <f t="shared" si="0"/>
        <v>9720000</v>
      </c>
      <c r="F8" s="827"/>
    </row>
    <row r="9" spans="1:6" x14ac:dyDescent="0.2">
      <c r="A9" s="744" t="s">
        <v>536</v>
      </c>
      <c r="B9" s="835"/>
      <c r="C9" s="835"/>
      <c r="D9" s="835"/>
      <c r="E9" s="795">
        <f t="shared" si="0"/>
        <v>0</v>
      </c>
      <c r="F9" s="827"/>
    </row>
    <row r="10" spans="1:6" x14ac:dyDescent="0.2">
      <c r="A10" s="744" t="s">
        <v>110</v>
      </c>
      <c r="B10" s="835"/>
      <c r="C10" s="835"/>
      <c r="D10" s="835"/>
      <c r="E10" s="795">
        <f t="shared" si="0"/>
        <v>0</v>
      </c>
      <c r="F10" s="827"/>
    </row>
    <row r="11" spans="1:6" x14ac:dyDescent="0.2">
      <c r="A11" s="744" t="s">
        <v>537</v>
      </c>
      <c r="B11" s="835"/>
      <c r="C11" s="835"/>
      <c r="D11" s="835"/>
      <c r="E11" s="795">
        <f t="shared" si="0"/>
        <v>0</v>
      </c>
      <c r="F11" s="827"/>
    </row>
    <row r="12" spans="1:6" ht="13.5" thickBot="1" x14ac:dyDescent="0.25">
      <c r="A12" s="745"/>
      <c r="B12" s="839"/>
      <c r="C12" s="839"/>
      <c r="D12" s="839"/>
      <c r="E12" s="1161">
        <f t="shared" si="0"/>
        <v>0</v>
      </c>
      <c r="F12" s="827"/>
    </row>
    <row r="13" spans="1:6" ht="13.5" thickBot="1" x14ac:dyDescent="0.25">
      <c r="A13" s="785" t="s">
        <v>538</v>
      </c>
      <c r="B13" s="786">
        <f>SUM(B6:B12)</f>
        <v>0</v>
      </c>
      <c r="C13" s="786">
        <f>SUM(C6:C12)</f>
        <v>10800000</v>
      </c>
      <c r="D13" s="786">
        <f>SUM(D6:D12)</f>
        <v>0</v>
      </c>
      <c r="E13" s="787">
        <f>SUM(E6:E12)</f>
        <v>10800000</v>
      </c>
      <c r="F13" s="827"/>
    </row>
    <row r="14" spans="1:6" ht="13.5" thickBot="1" x14ac:dyDescent="0.25">
      <c r="A14" s="746"/>
      <c r="B14" s="746"/>
      <c r="C14" s="746"/>
      <c r="D14" s="746"/>
      <c r="E14" s="746"/>
      <c r="F14" s="827"/>
    </row>
    <row r="15" spans="1:6" ht="15" customHeight="1" thickBot="1" x14ac:dyDescent="0.25">
      <c r="A15" s="782" t="s">
        <v>539</v>
      </c>
      <c r="B15" s="783" t="s">
        <v>805</v>
      </c>
      <c r="C15" s="783" t="s">
        <v>797</v>
      </c>
      <c r="D15" s="783" t="s">
        <v>806</v>
      </c>
      <c r="E15" s="784" t="s">
        <v>48</v>
      </c>
      <c r="F15" s="827"/>
    </row>
    <row r="16" spans="1:6" x14ac:dyDescent="0.2">
      <c r="A16" s="738" t="s">
        <v>540</v>
      </c>
      <c r="B16" s="831"/>
      <c r="C16" s="842">
        <v>196850</v>
      </c>
      <c r="D16" s="831"/>
      <c r="E16" s="740">
        <f>SUM(B16:D16)</f>
        <v>196850</v>
      </c>
      <c r="F16" s="827"/>
    </row>
    <row r="17" spans="1:6" x14ac:dyDescent="0.2">
      <c r="A17" s="747" t="s">
        <v>541</v>
      </c>
      <c r="B17" s="835"/>
      <c r="C17" s="836">
        <v>4019215</v>
      </c>
      <c r="D17" s="835"/>
      <c r="E17" s="795">
        <f>SUM(B17:D17)</f>
        <v>4019215</v>
      </c>
      <c r="F17" s="827"/>
    </row>
    <row r="18" spans="1:6" x14ac:dyDescent="0.2">
      <c r="A18" s="744" t="s">
        <v>542</v>
      </c>
      <c r="B18" s="835"/>
      <c r="C18" s="836">
        <v>6583935</v>
      </c>
      <c r="D18" s="835"/>
      <c r="E18" s="795">
        <f>SUM(B18:D18)</f>
        <v>6583935</v>
      </c>
      <c r="F18" s="827"/>
    </row>
    <row r="19" spans="1:6" x14ac:dyDescent="0.2">
      <c r="A19" s="744" t="s">
        <v>543</v>
      </c>
      <c r="B19" s="835"/>
      <c r="C19" s="835"/>
      <c r="D19" s="835"/>
      <c r="E19" s="795">
        <f>SUM(B19:D19)</f>
        <v>0</v>
      </c>
      <c r="F19" s="827"/>
    </row>
    <row r="20" spans="1:6" x14ac:dyDescent="0.2">
      <c r="A20" s="748" t="s">
        <v>544</v>
      </c>
      <c r="B20" s="835"/>
      <c r="C20" s="835"/>
      <c r="D20" s="835"/>
      <c r="E20" s="1161">
        <f>SUM(B20:D20)</f>
        <v>0</v>
      </c>
      <c r="F20" s="827"/>
    </row>
    <row r="21" spans="1:6" x14ac:dyDescent="0.2">
      <c r="A21" s="748" t="s">
        <v>545</v>
      </c>
      <c r="B21" s="835"/>
      <c r="C21" s="835"/>
      <c r="D21" s="835"/>
      <c r="E21" s="837">
        <v>0</v>
      </c>
      <c r="F21" s="827"/>
    </row>
    <row r="22" spans="1:6" ht="13.5" thickBot="1" x14ac:dyDescent="0.25">
      <c r="A22" s="745"/>
      <c r="B22" s="839"/>
      <c r="C22" s="839"/>
      <c r="D22" s="839"/>
      <c r="E22" s="837">
        <v>0</v>
      </c>
      <c r="F22" s="827"/>
    </row>
    <row r="23" spans="1:6" ht="13.5" thickBot="1" x14ac:dyDescent="0.25">
      <c r="A23" s="785" t="s">
        <v>49</v>
      </c>
      <c r="B23" s="786">
        <f>SUM(B16:B22)</f>
        <v>0</v>
      </c>
      <c r="C23" s="786">
        <f>SUM(C16:C22)</f>
        <v>10800000</v>
      </c>
      <c r="D23" s="786">
        <f>SUM(D16:D22)</f>
        <v>0</v>
      </c>
      <c r="E23" s="787">
        <f>SUM(E16:E22)</f>
        <v>10800000</v>
      </c>
      <c r="F23" s="827"/>
    </row>
    <row r="24" spans="1:6" x14ac:dyDescent="0.2">
      <c r="A24" s="825"/>
      <c r="B24" s="825"/>
      <c r="C24" s="825"/>
      <c r="D24" s="825"/>
      <c r="E24" s="825"/>
    </row>
    <row r="25" spans="1:6" ht="48.75" customHeight="1" x14ac:dyDescent="0.25">
      <c r="A25" s="1474" t="s">
        <v>789</v>
      </c>
      <c r="B25" s="1474"/>
      <c r="C25" s="1474"/>
      <c r="D25" s="1474"/>
      <c r="E25" s="1474"/>
    </row>
    <row r="26" spans="1:6" ht="14.25" thickBot="1" x14ac:dyDescent="0.3">
      <c r="A26" s="737"/>
      <c r="B26" s="737"/>
      <c r="C26" s="737"/>
      <c r="D26" s="1475" t="s">
        <v>502</v>
      </c>
      <c r="E26" s="1475"/>
    </row>
    <row r="27" spans="1:6" ht="13.5" thickBot="1" x14ac:dyDescent="0.25">
      <c r="A27" s="782" t="s">
        <v>532</v>
      </c>
      <c r="B27" s="783" t="s">
        <v>805</v>
      </c>
      <c r="C27" s="783" t="s">
        <v>797</v>
      </c>
      <c r="D27" s="783" t="s">
        <v>806</v>
      </c>
      <c r="E27" s="784" t="s">
        <v>48</v>
      </c>
    </row>
    <row r="28" spans="1:6" x14ac:dyDescent="0.2">
      <c r="A28" s="738" t="s">
        <v>533</v>
      </c>
      <c r="B28" s="831"/>
      <c r="C28" s="842"/>
      <c r="D28" s="831"/>
      <c r="E28" s="740">
        <f>SUM(B28:D28)</f>
        <v>0</v>
      </c>
    </row>
    <row r="29" spans="1:6" x14ac:dyDescent="0.2">
      <c r="A29" s="741" t="s">
        <v>534</v>
      </c>
      <c r="B29" s="833"/>
      <c r="C29" s="833"/>
      <c r="D29" s="833"/>
      <c r="E29" s="795">
        <f t="shared" ref="E29:E34" si="1">SUM(B29:D29)</f>
        <v>0</v>
      </c>
    </row>
    <row r="30" spans="1:6" x14ac:dyDescent="0.2">
      <c r="A30" s="744" t="s">
        <v>535</v>
      </c>
      <c r="B30" s="835"/>
      <c r="C30" s="836"/>
      <c r="D30" s="835"/>
      <c r="E30" s="795">
        <f t="shared" si="1"/>
        <v>0</v>
      </c>
    </row>
    <row r="31" spans="1:6" x14ac:dyDescent="0.2">
      <c r="A31" s="744" t="s">
        <v>536</v>
      </c>
      <c r="B31" s="835"/>
      <c r="C31" s="835"/>
      <c r="D31" s="835"/>
      <c r="E31" s="795">
        <f t="shared" si="1"/>
        <v>0</v>
      </c>
    </row>
    <row r="32" spans="1:6" x14ac:dyDescent="0.2">
      <c r="A32" s="744" t="s">
        <v>110</v>
      </c>
      <c r="B32" s="835"/>
      <c r="C32" s="835"/>
      <c r="D32" s="835"/>
      <c r="E32" s="795">
        <f t="shared" si="1"/>
        <v>0</v>
      </c>
    </row>
    <row r="33" spans="1:5" x14ac:dyDescent="0.2">
      <c r="A33" s="744" t="s">
        <v>537</v>
      </c>
      <c r="B33" s="835"/>
      <c r="C33" s="835"/>
      <c r="D33" s="835"/>
      <c r="E33" s="795">
        <f t="shared" si="1"/>
        <v>0</v>
      </c>
    </row>
    <row r="34" spans="1:5" ht="13.5" thickBot="1" x14ac:dyDescent="0.25">
      <c r="A34" s="745"/>
      <c r="B34" s="839"/>
      <c r="C34" s="839"/>
      <c r="D34" s="839"/>
      <c r="E34" s="1161">
        <f t="shared" si="1"/>
        <v>0</v>
      </c>
    </row>
    <row r="35" spans="1:5" ht="13.5" thickBot="1" x14ac:dyDescent="0.25">
      <c r="A35" s="785" t="s">
        <v>538</v>
      </c>
      <c r="B35" s="786">
        <f>SUM(B28:B34)</f>
        <v>0</v>
      </c>
      <c r="C35" s="786">
        <f>SUM(C28:C34)</f>
        <v>0</v>
      </c>
      <c r="D35" s="786">
        <f>SUM(D28:D34)</f>
        <v>0</v>
      </c>
      <c r="E35" s="787">
        <f>SUM(E28:E34)</f>
        <v>0</v>
      </c>
    </row>
    <row r="36" spans="1:5" ht="13.5" thickBot="1" x14ac:dyDescent="0.25">
      <c r="A36" s="746"/>
      <c r="B36" s="746"/>
      <c r="C36" s="746"/>
      <c r="D36" s="746"/>
      <c r="E36" s="746"/>
    </row>
    <row r="37" spans="1:5" ht="13.5" thickBot="1" x14ac:dyDescent="0.25">
      <c r="A37" s="782" t="s">
        <v>539</v>
      </c>
      <c r="B37" s="783" t="s">
        <v>805</v>
      </c>
      <c r="C37" s="783" t="s">
        <v>797</v>
      </c>
      <c r="D37" s="783" t="s">
        <v>806</v>
      </c>
      <c r="E37" s="784" t="s">
        <v>48</v>
      </c>
    </row>
    <row r="38" spans="1:5" x14ac:dyDescent="0.2">
      <c r="A38" s="738" t="s">
        <v>540</v>
      </c>
      <c r="B38" s="831"/>
      <c r="C38" s="842"/>
      <c r="D38" s="831"/>
      <c r="E38" s="740">
        <f>SUM(B38:D38)</f>
        <v>0</v>
      </c>
    </row>
    <row r="39" spans="1:5" x14ac:dyDescent="0.2">
      <c r="A39" s="747" t="s">
        <v>541</v>
      </c>
      <c r="B39" s="835"/>
      <c r="C39" s="836"/>
      <c r="D39" s="835"/>
      <c r="E39" s="795">
        <f>SUM(B39:D39)</f>
        <v>0</v>
      </c>
    </row>
    <row r="40" spans="1:5" x14ac:dyDescent="0.2">
      <c r="A40" s="744" t="s">
        <v>542</v>
      </c>
      <c r="B40" s="835"/>
      <c r="C40" s="836"/>
      <c r="D40" s="835"/>
      <c r="E40" s="795">
        <f>SUM(B40:D40)</f>
        <v>0</v>
      </c>
    </row>
    <row r="41" spans="1:5" x14ac:dyDescent="0.2">
      <c r="A41" s="744" t="s">
        <v>543</v>
      </c>
      <c r="B41" s="835"/>
      <c r="C41" s="835"/>
      <c r="D41" s="835"/>
      <c r="E41" s="795">
        <f>SUM(B41:D41)</f>
        <v>0</v>
      </c>
    </row>
    <row r="42" spans="1:5" x14ac:dyDescent="0.2">
      <c r="A42" s="748" t="s">
        <v>544</v>
      </c>
      <c r="B42" s="835"/>
      <c r="C42" s="835"/>
      <c r="D42" s="835"/>
      <c r="E42" s="1161">
        <f>SUM(B42:D42)</f>
        <v>0</v>
      </c>
    </row>
    <row r="43" spans="1:5" x14ac:dyDescent="0.2">
      <c r="A43" s="748" t="s">
        <v>545</v>
      </c>
      <c r="B43" s="835"/>
      <c r="C43" s="835"/>
      <c r="D43" s="835"/>
      <c r="E43" s="837">
        <v>0</v>
      </c>
    </row>
    <row r="44" spans="1:5" ht="13.5" thickBot="1" x14ac:dyDescent="0.25">
      <c r="A44" s="745"/>
      <c r="B44" s="839"/>
      <c r="C44" s="839"/>
      <c r="D44" s="839"/>
      <c r="E44" s="837">
        <v>0</v>
      </c>
    </row>
    <row r="45" spans="1:5" ht="13.5" thickBot="1" x14ac:dyDescent="0.25">
      <c r="A45" s="785" t="s">
        <v>49</v>
      </c>
      <c r="B45" s="786">
        <f>SUM(B38:B44)</f>
        <v>0</v>
      </c>
      <c r="C45" s="786">
        <f>SUM(C38:C44)</f>
        <v>0</v>
      </c>
      <c r="D45" s="786">
        <f>SUM(D38:D44)</f>
        <v>0</v>
      </c>
      <c r="E45" s="787">
        <f>SUM(E38:E44)</f>
        <v>0</v>
      </c>
    </row>
    <row r="46" spans="1:5" x14ac:dyDescent="0.2">
      <c r="A46" s="825"/>
      <c r="B46" s="825"/>
      <c r="C46" s="825"/>
      <c r="D46" s="825"/>
      <c r="E46" s="825"/>
    </row>
  </sheetData>
  <mergeCells count="5">
    <mergeCell ref="A1:E1"/>
    <mergeCell ref="A3:E3"/>
    <mergeCell ref="D4:E4"/>
    <mergeCell ref="A25:E25"/>
    <mergeCell ref="D26:E26"/>
  </mergeCells>
  <conditionalFormatting sqref="E41">
    <cfRule type="cellIs" dxfId="17" priority="11" stopIfTrue="1" operator="equal">
      <formula>0</formula>
    </cfRule>
  </conditionalFormatting>
  <conditionalFormatting sqref="E42">
    <cfRule type="cellIs" dxfId="16" priority="10" stopIfTrue="1" operator="equal">
      <formula>0</formula>
    </cfRule>
  </conditionalFormatting>
  <conditionalFormatting sqref="E28:E34">
    <cfRule type="cellIs" dxfId="15" priority="25" stopIfTrue="1" operator="equal">
      <formula>0</formula>
    </cfRule>
  </conditionalFormatting>
  <conditionalFormatting sqref="B35:E35">
    <cfRule type="cellIs" dxfId="14" priority="24" stopIfTrue="1" operator="equal">
      <formula>0</formula>
    </cfRule>
  </conditionalFormatting>
  <conditionalFormatting sqref="E43:E44">
    <cfRule type="cellIs" dxfId="13" priority="16" stopIfTrue="1" operator="equal">
      <formula>0</formula>
    </cfRule>
  </conditionalFormatting>
  <conditionalFormatting sqref="B45:E45">
    <cfRule type="cellIs" dxfId="12" priority="15" stopIfTrue="1" operator="equal">
      <formula>0</formula>
    </cfRule>
  </conditionalFormatting>
  <conditionalFormatting sqref="E38">
    <cfRule type="cellIs" dxfId="11" priority="14" stopIfTrue="1" operator="equal">
      <formula>0</formula>
    </cfRule>
  </conditionalFormatting>
  <conditionalFormatting sqref="E39">
    <cfRule type="cellIs" dxfId="10" priority="13" stopIfTrue="1" operator="equal">
      <formula>0</formula>
    </cfRule>
  </conditionalFormatting>
  <conditionalFormatting sqref="E40">
    <cfRule type="cellIs" dxfId="9" priority="12" stopIfTrue="1" operator="equal">
      <formula>0</formula>
    </cfRule>
  </conditionalFormatting>
  <conditionalFormatting sqref="E19">
    <cfRule type="cellIs" dxfId="8" priority="2" stopIfTrue="1" operator="equal">
      <formula>0</formula>
    </cfRule>
  </conditionalFormatting>
  <conditionalFormatting sqref="E20">
    <cfRule type="cellIs" dxfId="7" priority="1" stopIfTrue="1" operator="equal">
      <formula>0</formula>
    </cfRule>
  </conditionalFormatting>
  <conditionalFormatting sqref="E6:E12">
    <cfRule type="cellIs" dxfId="6" priority="9" stopIfTrue="1" operator="equal">
      <formula>0</formula>
    </cfRule>
  </conditionalFormatting>
  <conditionalFormatting sqref="B13:E13">
    <cfRule type="cellIs" dxfId="5" priority="8" stopIfTrue="1" operator="equal">
      <formula>0</formula>
    </cfRule>
  </conditionalFormatting>
  <conditionalFormatting sqref="E21:E22">
    <cfRule type="cellIs" dxfId="4" priority="7" stopIfTrue="1" operator="equal">
      <formula>0</formula>
    </cfRule>
  </conditionalFormatting>
  <conditionalFormatting sqref="B23:E23">
    <cfRule type="cellIs" dxfId="3" priority="6" stopIfTrue="1" operator="equal">
      <formula>0</formula>
    </cfRule>
  </conditionalFormatting>
  <conditionalFormatting sqref="E16">
    <cfRule type="cellIs" dxfId="2" priority="5" stopIfTrue="1" operator="equal">
      <formula>0</formula>
    </cfRule>
  </conditionalFormatting>
  <conditionalFormatting sqref="E17">
    <cfRule type="cellIs" dxfId="1" priority="4" stopIfTrue="1" operator="equal">
      <formula>0</formula>
    </cfRule>
  </conditionalFormatting>
  <conditionalFormatting sqref="E18">
    <cfRule type="cellIs" dxfId="0" priority="3" stopIfTrue="1" operator="equal">
      <formula>0</formula>
    </cfRule>
  </conditionalFormatting>
  <printOptions horizontalCentered="1"/>
  <pageMargins left="0.7" right="0.7" top="0.75" bottom="0.75" header="0.3" footer="0.3"/>
  <pageSetup paperSize="9" orientation="portrait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1"/>
  <dimension ref="A1:G157"/>
  <sheetViews>
    <sheetView zoomScale="115" zoomScaleNormal="115" zoomScaleSheetLayoutView="85" workbookViewId="0">
      <selection activeCell="C11" sqref="C11"/>
    </sheetView>
  </sheetViews>
  <sheetFormatPr defaultRowHeight="12.75" x14ac:dyDescent="0.2"/>
  <cols>
    <col min="1" max="1" width="19.5" style="848" customWidth="1"/>
    <col min="2" max="2" width="72" style="348" customWidth="1"/>
    <col min="3" max="3" width="25" style="319" customWidth="1"/>
    <col min="4" max="4" width="16.6640625" style="778" hidden="1" customWidth="1"/>
    <col min="5" max="5" width="11.83203125" style="778" hidden="1" customWidth="1"/>
    <col min="6" max="6" width="12" style="777" hidden="1" customWidth="1"/>
    <col min="7" max="16384" width="9.33203125" style="768"/>
  </cols>
  <sheetData>
    <row r="1" spans="1:6" x14ac:dyDescent="0.2">
      <c r="A1" s="1476" t="str">
        <f>CONCATENATE("10. melléklet"," ",ALAPADATOK!A7," ",ALAPADATOK!B7," ",ALAPADATOK!C7," ",ALAPADATOK!D7," ",ALAPADATOK!E7," ",ALAPADATOK!F7," ",ALAPADATOK!G7," ",ALAPADATOK!H7)</f>
        <v>10. melléklet a 19 / 2021. ( XI.29. ) önkormányzati rendelethez</v>
      </c>
      <c r="B1" s="1476"/>
      <c r="C1" s="1476"/>
    </row>
    <row r="2" spans="1:6" x14ac:dyDescent="0.2">
      <c r="A2" s="1309"/>
      <c r="B2" s="1309"/>
      <c r="C2" s="1309"/>
    </row>
    <row r="3" spans="1:6" s="1" customFormat="1" ht="16.5" customHeight="1" thickBot="1" x14ac:dyDescent="0.25">
      <c r="A3" s="1442" t="s">
        <v>1032</v>
      </c>
      <c r="B3" s="1442"/>
      <c r="C3" s="1442"/>
      <c r="D3" s="778"/>
      <c r="E3" s="778"/>
      <c r="F3" s="777"/>
    </row>
    <row r="4" spans="1:6" ht="13.5" thickBot="1" x14ac:dyDescent="0.25">
      <c r="A4" s="175" t="s">
        <v>154</v>
      </c>
      <c r="B4" s="81" t="s">
        <v>50</v>
      </c>
      <c r="C4" s="156" t="s">
        <v>1033</v>
      </c>
    </row>
    <row r="5" spans="1:6" s="32" customFormat="1" ht="12.95" customHeight="1" thickBot="1" x14ac:dyDescent="0.25">
      <c r="A5" s="71" t="s">
        <v>391</v>
      </c>
      <c r="B5" s="72" t="s">
        <v>392</v>
      </c>
      <c r="C5" s="73" t="s">
        <v>393</v>
      </c>
      <c r="D5" s="778"/>
      <c r="E5" s="778"/>
      <c r="F5" s="341"/>
    </row>
    <row r="6" spans="1:6" s="32" customFormat="1" ht="15.95" customHeight="1" thickBot="1" x14ac:dyDescent="0.25">
      <c r="A6" s="83"/>
      <c r="B6" s="84" t="s">
        <v>52</v>
      </c>
      <c r="C6" s="157"/>
      <c r="D6" s="778"/>
      <c r="E6" s="778"/>
      <c r="F6" s="341"/>
    </row>
    <row r="7" spans="1:6" s="32" customFormat="1" ht="12" customHeight="1" thickBot="1" x14ac:dyDescent="0.25">
      <c r="A7" s="25" t="s">
        <v>16</v>
      </c>
      <c r="B7" s="18" t="s">
        <v>181</v>
      </c>
      <c r="C7" s="267">
        <f>+C8+C9+C10+C13+C14+C15</f>
        <v>1652495968</v>
      </c>
      <c r="D7" s="342">
        <f>'9.1.1. sz. mell. '!C7+'9.1.2. sz. mell.'!C7</f>
        <v>1652495968</v>
      </c>
      <c r="E7" s="342">
        <f t="shared" ref="E7:E71" si="0">C7-D7</f>
        <v>0</v>
      </c>
      <c r="F7" s="341">
        <f>C7-D7</f>
        <v>0</v>
      </c>
    </row>
    <row r="8" spans="1:6" s="38" customFormat="1" ht="12" customHeight="1" thickBot="1" x14ac:dyDescent="0.25">
      <c r="A8" s="198" t="s">
        <v>86</v>
      </c>
      <c r="B8" s="184" t="s">
        <v>182</v>
      </c>
      <c r="C8" s="222">
        <f>295696597+1181580</f>
        <v>296878177</v>
      </c>
      <c r="D8" s="342">
        <f>'9.1.1. sz. mell. '!C8+'9.1.2. sz. mell.'!C8</f>
        <v>296878177</v>
      </c>
      <c r="E8" s="343">
        <f t="shared" si="0"/>
        <v>0</v>
      </c>
      <c r="F8" s="341">
        <f t="shared" ref="F8:F72" si="1">C8-D8</f>
        <v>0</v>
      </c>
    </row>
    <row r="9" spans="1:6" s="39" customFormat="1" ht="12" customHeight="1" thickBot="1" x14ac:dyDescent="0.25">
      <c r="A9" s="199" t="s">
        <v>87</v>
      </c>
      <c r="B9" s="185" t="s">
        <v>183</v>
      </c>
      <c r="C9" s="863">
        <f>254023920+8379000+651710</f>
        <v>263054630</v>
      </c>
      <c r="D9" s="342">
        <f>'9.1.1. sz. mell. '!C9+'9.1.2. sz. mell.'!C9</f>
        <v>263054630</v>
      </c>
      <c r="E9" s="344">
        <f t="shared" si="0"/>
        <v>0</v>
      </c>
      <c r="F9" s="341">
        <f t="shared" si="1"/>
        <v>0</v>
      </c>
    </row>
    <row r="10" spans="1:6" s="39" customFormat="1" ht="12" customHeight="1" thickBot="1" x14ac:dyDescent="0.25">
      <c r="A10" s="199" t="s">
        <v>88</v>
      </c>
      <c r="B10" s="185" t="s">
        <v>766</v>
      </c>
      <c r="C10" s="863">
        <f>SUM(C11:C12)</f>
        <v>846202661</v>
      </c>
      <c r="D10" s="342">
        <f>'9.1.1. sz. mell. '!C10+'9.1.2. sz. mell.'!C10</f>
        <v>846202661</v>
      </c>
      <c r="E10" s="344">
        <f t="shared" si="0"/>
        <v>0</v>
      </c>
      <c r="F10" s="341">
        <f t="shared" si="1"/>
        <v>0</v>
      </c>
    </row>
    <row r="11" spans="1:6" s="39" customFormat="1" ht="12" customHeight="1" thickBot="1" x14ac:dyDescent="0.25">
      <c r="A11" s="199" t="s">
        <v>764</v>
      </c>
      <c r="B11" s="185" t="s">
        <v>767</v>
      </c>
      <c r="C11" s="863">
        <f>635476079-1227663+10429183+1536897-3409510</f>
        <v>642804986</v>
      </c>
      <c r="D11" s="342">
        <f>'9.1.1. sz. mell. '!C11+'9.1.2. sz. mell.'!C11</f>
        <v>642804986</v>
      </c>
      <c r="E11" s="344">
        <f t="shared" si="0"/>
        <v>0</v>
      </c>
      <c r="F11" s="341">
        <f t="shared" si="1"/>
        <v>0</v>
      </c>
    </row>
    <row r="12" spans="1:6" s="39" customFormat="1" ht="12" customHeight="1" thickBot="1" x14ac:dyDescent="0.25">
      <c r="A12" s="199" t="s">
        <v>765</v>
      </c>
      <c r="B12" s="185" t="s">
        <v>768</v>
      </c>
      <c r="C12" s="863">
        <f>126258794+1334340+75804541</f>
        <v>203397675</v>
      </c>
      <c r="D12" s="342">
        <f>'9.1.1. sz. mell. '!C12+'9.1.2. sz. mell.'!C12</f>
        <v>203397675</v>
      </c>
      <c r="E12" s="344">
        <f t="shared" si="0"/>
        <v>0</v>
      </c>
      <c r="F12" s="341">
        <f t="shared" si="1"/>
        <v>0</v>
      </c>
    </row>
    <row r="13" spans="1:6" s="39" customFormat="1" ht="12" customHeight="1" thickBot="1" x14ac:dyDescent="0.25">
      <c r="A13" s="199" t="s">
        <v>89</v>
      </c>
      <c r="B13" s="185" t="s">
        <v>185</v>
      </c>
      <c r="C13" s="863">
        <f>40888120+1420296</f>
        <v>42308416</v>
      </c>
      <c r="D13" s="342">
        <f>'9.1.1. sz. mell. '!C13+'9.1.2. sz. mell.'!C13</f>
        <v>42308416</v>
      </c>
      <c r="E13" s="344">
        <f t="shared" si="0"/>
        <v>0</v>
      </c>
      <c r="F13" s="341">
        <f t="shared" si="1"/>
        <v>0</v>
      </c>
    </row>
    <row r="14" spans="1:6" s="39" customFormat="1" ht="12" customHeight="1" thickBot="1" x14ac:dyDescent="0.25">
      <c r="A14" s="199" t="s">
        <v>112</v>
      </c>
      <c r="B14" s="185" t="s">
        <v>452</v>
      </c>
      <c r="C14" s="863">
        <f>234271694+107725-21793399-60000000+50000000</f>
        <v>202586020</v>
      </c>
      <c r="D14" s="342">
        <f>'9.1.1. sz. mell. '!C14+'9.1.2. sz. mell.'!C14</f>
        <v>202586020</v>
      </c>
      <c r="E14" s="344">
        <f t="shared" si="0"/>
        <v>0</v>
      </c>
      <c r="F14" s="341">
        <f t="shared" si="1"/>
        <v>0</v>
      </c>
    </row>
    <row r="15" spans="1:6" s="38" customFormat="1" ht="12" customHeight="1" thickBot="1" x14ac:dyDescent="0.25">
      <c r="A15" s="200" t="s">
        <v>90</v>
      </c>
      <c r="B15" s="186" t="s">
        <v>395</v>
      </c>
      <c r="C15" s="864">
        <v>1466064</v>
      </c>
      <c r="D15" s="342">
        <f>'9.1.1. sz. mell. '!C15+'9.1.2. sz. mell.'!C15</f>
        <v>1466064</v>
      </c>
      <c r="E15" s="345">
        <f t="shared" si="0"/>
        <v>0</v>
      </c>
      <c r="F15" s="341">
        <f t="shared" si="1"/>
        <v>0</v>
      </c>
    </row>
    <row r="16" spans="1:6" s="38" customFormat="1" ht="12" customHeight="1" thickBot="1" x14ac:dyDescent="0.25">
      <c r="A16" s="25" t="s">
        <v>17</v>
      </c>
      <c r="B16" s="107" t="s">
        <v>186</v>
      </c>
      <c r="C16" s="267">
        <f>+C17+C18+C19+C20+C21</f>
        <v>233451309</v>
      </c>
      <c r="D16" s="342">
        <f>'9.1.1. sz. mell. '!C16+'9.1.2. sz. mell.'!C16</f>
        <v>233451309</v>
      </c>
      <c r="E16" s="342">
        <f t="shared" si="0"/>
        <v>0</v>
      </c>
      <c r="F16" s="341">
        <f t="shared" si="1"/>
        <v>0</v>
      </c>
    </row>
    <row r="17" spans="1:6" s="38" customFormat="1" ht="12" customHeight="1" thickBot="1" x14ac:dyDescent="0.25">
      <c r="A17" s="198" t="s">
        <v>92</v>
      </c>
      <c r="B17" s="184" t="s">
        <v>187</v>
      </c>
      <c r="C17" s="269"/>
      <c r="D17" s="342">
        <f>'9.1.1. sz. mell. '!C17+'9.1.2. sz. mell.'!C17</f>
        <v>0</v>
      </c>
      <c r="E17" s="343">
        <f t="shared" si="0"/>
        <v>0</v>
      </c>
      <c r="F17" s="341">
        <f t="shared" si="1"/>
        <v>0</v>
      </c>
    </row>
    <row r="18" spans="1:6" s="38" customFormat="1" ht="12" customHeight="1" thickBot="1" x14ac:dyDescent="0.25">
      <c r="A18" s="199" t="s">
        <v>93</v>
      </c>
      <c r="B18" s="185" t="s">
        <v>188</v>
      </c>
      <c r="C18" s="101"/>
      <c r="D18" s="342">
        <f>'9.1.1. sz. mell. '!C18+'9.1.2. sz. mell.'!C18</f>
        <v>0</v>
      </c>
      <c r="E18" s="344">
        <f t="shared" si="0"/>
        <v>0</v>
      </c>
      <c r="F18" s="341">
        <f t="shared" si="1"/>
        <v>0</v>
      </c>
    </row>
    <row r="19" spans="1:6" s="38" customFormat="1" ht="12" customHeight="1" thickBot="1" x14ac:dyDescent="0.25">
      <c r="A19" s="199" t="s">
        <v>94</v>
      </c>
      <c r="B19" s="185" t="s">
        <v>354</v>
      </c>
      <c r="C19" s="101"/>
      <c r="D19" s="342">
        <f>'9.1.1. sz. mell. '!C19+'9.1.2. sz. mell.'!C19</f>
        <v>0</v>
      </c>
      <c r="E19" s="344">
        <f t="shared" si="0"/>
        <v>0</v>
      </c>
      <c r="F19" s="341">
        <f t="shared" si="1"/>
        <v>0</v>
      </c>
    </row>
    <row r="20" spans="1:6" s="38" customFormat="1" ht="12" customHeight="1" thickBot="1" x14ac:dyDescent="0.25">
      <c r="A20" s="199" t="s">
        <v>95</v>
      </c>
      <c r="B20" s="185" t="s">
        <v>355</v>
      </c>
      <c r="C20" s="101"/>
      <c r="D20" s="342">
        <f>'9.1.1. sz. mell. '!C20+'9.1.2. sz. mell.'!C20</f>
        <v>0</v>
      </c>
      <c r="E20" s="344">
        <f t="shared" si="0"/>
        <v>0</v>
      </c>
      <c r="F20" s="341">
        <f t="shared" si="1"/>
        <v>0</v>
      </c>
    </row>
    <row r="21" spans="1:6" s="38" customFormat="1" ht="12" customHeight="1" thickBot="1" x14ac:dyDescent="0.25">
      <c r="A21" s="199" t="s">
        <v>96</v>
      </c>
      <c r="B21" s="185" t="s">
        <v>189</v>
      </c>
      <c r="C21" s="864">
        <f>255808159+4143150+23500000-50000000</f>
        <v>233451309</v>
      </c>
      <c r="D21" s="342">
        <f>'9.1.1. sz. mell. '!C21+'9.1.2. sz. mell.'!C21</f>
        <v>233451309</v>
      </c>
      <c r="E21" s="344">
        <f t="shared" si="0"/>
        <v>0</v>
      </c>
      <c r="F21" s="341">
        <f t="shared" si="1"/>
        <v>0</v>
      </c>
    </row>
    <row r="22" spans="1:6" s="39" customFormat="1" ht="12" customHeight="1" thickBot="1" x14ac:dyDescent="0.25">
      <c r="A22" s="200" t="s">
        <v>105</v>
      </c>
      <c r="B22" s="186" t="s">
        <v>190</v>
      </c>
      <c r="C22" s="865">
        <f>17520150+30768216</f>
        <v>48288366</v>
      </c>
      <c r="D22" s="342">
        <f>'9.1.1. sz. mell. '!C22+'9.1.2. sz. mell.'!C22</f>
        <v>48288366</v>
      </c>
      <c r="E22" s="345">
        <f t="shared" si="0"/>
        <v>0</v>
      </c>
      <c r="F22" s="341">
        <f t="shared" si="1"/>
        <v>0</v>
      </c>
    </row>
    <row r="23" spans="1:6" s="39" customFormat="1" ht="12" customHeight="1" thickBot="1" x14ac:dyDescent="0.25">
      <c r="A23" s="25" t="s">
        <v>18</v>
      </c>
      <c r="B23" s="18" t="s">
        <v>191</v>
      </c>
      <c r="C23" s="270">
        <f>+C24+C25+C26+C27+C28</f>
        <v>2008979173</v>
      </c>
      <c r="D23" s="342">
        <f>'9.1.1. sz. mell. '!C23+'9.1.2. sz. mell.'!C23</f>
        <v>2008979173</v>
      </c>
      <c r="E23" s="342">
        <f t="shared" si="0"/>
        <v>0</v>
      </c>
      <c r="F23" s="341">
        <f t="shared" si="1"/>
        <v>0</v>
      </c>
    </row>
    <row r="24" spans="1:6" s="39" customFormat="1" ht="12" customHeight="1" thickBot="1" x14ac:dyDescent="0.25">
      <c r="A24" s="198" t="s">
        <v>75</v>
      </c>
      <c r="B24" s="184" t="s">
        <v>192</v>
      </c>
      <c r="C24" s="1182">
        <f>1305000000+13500100+554000000</f>
        <v>1872500100</v>
      </c>
      <c r="D24" s="342">
        <f>'9.1.1. sz. mell. '!C24+'9.1.2. sz. mell.'!C24</f>
        <v>1872500100</v>
      </c>
      <c r="E24" s="343">
        <f t="shared" si="0"/>
        <v>0</v>
      </c>
      <c r="F24" s="341">
        <f t="shared" si="1"/>
        <v>0</v>
      </c>
    </row>
    <row r="25" spans="1:6" s="38" customFormat="1" ht="12" customHeight="1" thickBot="1" x14ac:dyDescent="0.25">
      <c r="A25" s="199" t="s">
        <v>76</v>
      </c>
      <c r="B25" s="185" t="s">
        <v>193</v>
      </c>
      <c r="C25" s="864"/>
      <c r="D25" s="342">
        <f>'9.1.1. sz. mell. '!C25+'9.1.2. sz. mell.'!C25</f>
        <v>0</v>
      </c>
      <c r="E25" s="344">
        <f t="shared" si="0"/>
        <v>0</v>
      </c>
      <c r="F25" s="341">
        <f t="shared" si="1"/>
        <v>0</v>
      </c>
    </row>
    <row r="26" spans="1:6" s="39" customFormat="1" ht="12" customHeight="1" thickBot="1" x14ac:dyDescent="0.25">
      <c r="A26" s="199" t="s">
        <v>77</v>
      </c>
      <c r="B26" s="185" t="s">
        <v>356</v>
      </c>
      <c r="C26" s="864"/>
      <c r="D26" s="342">
        <f>'9.1.1. sz. mell. '!C26+'9.1.2. sz. mell.'!C26</f>
        <v>0</v>
      </c>
      <c r="E26" s="344">
        <f t="shared" si="0"/>
        <v>0</v>
      </c>
      <c r="F26" s="341">
        <f t="shared" si="1"/>
        <v>0</v>
      </c>
    </row>
    <row r="27" spans="1:6" s="39" customFormat="1" ht="12" customHeight="1" thickBot="1" x14ac:dyDescent="0.25">
      <c r="A27" s="199" t="s">
        <v>78</v>
      </c>
      <c r="B27" s="185" t="s">
        <v>357</v>
      </c>
      <c r="C27" s="864"/>
      <c r="D27" s="342">
        <f>'9.1.1. sz. mell. '!C27+'9.1.2. sz. mell.'!C27</f>
        <v>0</v>
      </c>
      <c r="E27" s="344">
        <f t="shared" si="0"/>
        <v>0</v>
      </c>
      <c r="F27" s="341">
        <f t="shared" si="1"/>
        <v>0</v>
      </c>
    </row>
    <row r="28" spans="1:6" s="39" customFormat="1" ht="12" customHeight="1" thickBot="1" x14ac:dyDescent="0.25">
      <c r="A28" s="199" t="s">
        <v>123</v>
      </c>
      <c r="B28" s="185" t="s">
        <v>194</v>
      </c>
      <c r="C28" s="864">
        <f>127479073+9000000</f>
        <v>136479073</v>
      </c>
      <c r="D28" s="342">
        <f>'9.1.1. sz. mell. '!C28+'9.1.2. sz. mell.'!C28</f>
        <v>136479073</v>
      </c>
      <c r="E28" s="344">
        <f t="shared" si="0"/>
        <v>0</v>
      </c>
      <c r="F28" s="341">
        <f t="shared" si="1"/>
        <v>0</v>
      </c>
    </row>
    <row r="29" spans="1:6" s="39" customFormat="1" ht="12" customHeight="1" thickBot="1" x14ac:dyDescent="0.25">
      <c r="A29" s="200" t="s">
        <v>124</v>
      </c>
      <c r="B29" s="186" t="s">
        <v>195</v>
      </c>
      <c r="C29" s="865">
        <f>21590900+1499571+3482179+806423</f>
        <v>27379073</v>
      </c>
      <c r="D29" s="342">
        <f>'9.1.1. sz. mell. '!C29+'9.1.2. sz. mell.'!C29</f>
        <v>27379073</v>
      </c>
      <c r="E29" s="345">
        <f t="shared" si="0"/>
        <v>0</v>
      </c>
      <c r="F29" s="341">
        <f t="shared" si="1"/>
        <v>0</v>
      </c>
    </row>
    <row r="30" spans="1:6" s="39" customFormat="1" ht="12" customHeight="1" thickBot="1" x14ac:dyDescent="0.25">
      <c r="A30" s="25" t="s">
        <v>125</v>
      </c>
      <c r="B30" s="18" t="s">
        <v>196</v>
      </c>
      <c r="C30" s="270">
        <f>+C31++C35+C36</f>
        <v>398600000</v>
      </c>
      <c r="D30" s="342">
        <f>'9.1.1. sz. mell. '!C30+'9.1.2. sz. mell.'!C30</f>
        <v>398600000</v>
      </c>
      <c r="E30" s="342">
        <f t="shared" si="0"/>
        <v>0</v>
      </c>
      <c r="F30" s="341">
        <f t="shared" si="1"/>
        <v>0</v>
      </c>
    </row>
    <row r="31" spans="1:6" s="39" customFormat="1" ht="12" customHeight="1" thickBot="1" x14ac:dyDescent="0.25">
      <c r="A31" s="198" t="s">
        <v>197</v>
      </c>
      <c r="B31" s="184" t="s">
        <v>579</v>
      </c>
      <c r="C31" s="284">
        <f>SUM(C32:C33)</f>
        <v>385080000</v>
      </c>
      <c r="D31" s="342">
        <f>'9.1.1. sz. mell. '!C31+'9.1.2. sz. mell.'!C31</f>
        <v>385080000</v>
      </c>
      <c r="E31" s="343">
        <f t="shared" si="0"/>
        <v>0</v>
      </c>
      <c r="F31" s="341">
        <f t="shared" si="1"/>
        <v>0</v>
      </c>
    </row>
    <row r="32" spans="1:6" s="39" customFormat="1" ht="12" customHeight="1" thickBot="1" x14ac:dyDescent="0.25">
      <c r="A32" s="199" t="s">
        <v>198</v>
      </c>
      <c r="B32" s="185" t="s">
        <v>203</v>
      </c>
      <c r="C32" s="101">
        <v>88280000</v>
      </c>
      <c r="D32" s="342">
        <f>'9.1.1. sz. mell. '!C32+'9.1.2. sz. mell.'!C32</f>
        <v>88280000</v>
      </c>
      <c r="E32" s="344">
        <f t="shared" si="0"/>
        <v>0</v>
      </c>
      <c r="F32" s="341">
        <f t="shared" si="1"/>
        <v>0</v>
      </c>
    </row>
    <row r="33" spans="1:6" s="39" customFormat="1" ht="12" customHeight="1" thickBot="1" x14ac:dyDescent="0.25">
      <c r="A33" s="199" t="s">
        <v>199</v>
      </c>
      <c r="B33" s="242" t="s">
        <v>578</v>
      </c>
      <c r="C33" s="101">
        <v>296800000</v>
      </c>
      <c r="D33" s="342">
        <f>'9.1.1. sz. mell. '!C33+'9.1.2. sz. mell.'!C33</f>
        <v>296800000</v>
      </c>
      <c r="E33" s="344">
        <f t="shared" si="0"/>
        <v>0</v>
      </c>
      <c r="F33" s="341">
        <f t="shared" si="1"/>
        <v>0</v>
      </c>
    </row>
    <row r="34" spans="1:6" s="39" customFormat="1" ht="12" customHeight="1" thickBot="1" x14ac:dyDescent="0.25">
      <c r="A34" s="199" t="s">
        <v>200</v>
      </c>
      <c r="B34" s="185" t="s">
        <v>479</v>
      </c>
      <c r="C34" s="864"/>
      <c r="D34" s="342">
        <f>'9.1.1. sz. mell. '!C34+'9.1.2. sz. mell.'!C34</f>
        <v>0</v>
      </c>
      <c r="E34" s="344">
        <f t="shared" si="0"/>
        <v>0</v>
      </c>
      <c r="F34" s="341">
        <f t="shared" si="1"/>
        <v>0</v>
      </c>
    </row>
    <row r="35" spans="1:6" s="39" customFormat="1" ht="12" customHeight="1" thickBot="1" x14ac:dyDescent="0.25">
      <c r="A35" s="199" t="s">
        <v>201</v>
      </c>
      <c r="B35" s="185" t="s">
        <v>205</v>
      </c>
      <c r="C35" s="101"/>
      <c r="D35" s="342">
        <f>'9.1.1. sz. mell. '!C35+'9.1.2. sz. mell.'!C35</f>
        <v>0</v>
      </c>
      <c r="E35" s="344">
        <f t="shared" si="0"/>
        <v>0</v>
      </c>
      <c r="F35" s="341">
        <f t="shared" si="1"/>
        <v>0</v>
      </c>
    </row>
    <row r="36" spans="1:6" s="39" customFormat="1" ht="12" customHeight="1" thickBot="1" x14ac:dyDescent="0.25">
      <c r="A36" s="200" t="s">
        <v>202</v>
      </c>
      <c r="B36" s="186" t="s">
        <v>206</v>
      </c>
      <c r="C36" s="865">
        <v>13520000</v>
      </c>
      <c r="D36" s="342">
        <f>'9.1.1. sz. mell. '!C36+'9.1.2. sz. mell.'!C36</f>
        <v>13520000</v>
      </c>
      <c r="E36" s="345">
        <f t="shared" si="0"/>
        <v>0</v>
      </c>
      <c r="F36" s="341">
        <f t="shared" si="1"/>
        <v>0</v>
      </c>
    </row>
    <row r="37" spans="1:6" s="39" customFormat="1" ht="12" customHeight="1" thickBot="1" x14ac:dyDescent="0.25">
      <c r="A37" s="25" t="s">
        <v>20</v>
      </c>
      <c r="B37" s="18" t="s">
        <v>396</v>
      </c>
      <c r="C37" s="267">
        <f>SUM(C38:C48)</f>
        <v>71231666</v>
      </c>
      <c r="D37" s="342">
        <f>'9.1.1. sz. mell. '!C37+'9.1.2. sz. mell.'!C37</f>
        <v>71231666</v>
      </c>
      <c r="E37" s="342">
        <f t="shared" si="0"/>
        <v>0</v>
      </c>
      <c r="F37" s="341">
        <f t="shared" si="1"/>
        <v>0</v>
      </c>
    </row>
    <row r="38" spans="1:6" s="39" customFormat="1" ht="12" customHeight="1" thickBot="1" x14ac:dyDescent="0.25">
      <c r="A38" s="198" t="s">
        <v>79</v>
      </c>
      <c r="B38" s="184" t="s">
        <v>209</v>
      </c>
      <c r="C38" s="866"/>
      <c r="D38" s="342">
        <f>'9.1.1. sz. mell. '!C38+'9.1.2. sz. mell.'!C38</f>
        <v>0</v>
      </c>
      <c r="E38" s="343">
        <f t="shared" si="0"/>
        <v>0</v>
      </c>
      <c r="F38" s="341">
        <f t="shared" si="1"/>
        <v>0</v>
      </c>
    </row>
    <row r="39" spans="1:6" s="39" customFormat="1" ht="12" customHeight="1" thickBot="1" x14ac:dyDescent="0.25">
      <c r="A39" s="199" t="s">
        <v>80</v>
      </c>
      <c r="B39" s="185" t="s">
        <v>210</v>
      </c>
      <c r="C39" s="864">
        <v>16336984</v>
      </c>
      <c r="D39" s="342">
        <f>'9.1.1. sz. mell. '!C39+'9.1.2. sz. mell.'!C39</f>
        <v>16336984</v>
      </c>
      <c r="E39" s="344">
        <f t="shared" si="0"/>
        <v>0</v>
      </c>
      <c r="F39" s="341">
        <f t="shared" si="1"/>
        <v>0</v>
      </c>
    </row>
    <row r="40" spans="1:6" s="39" customFormat="1" ht="12" customHeight="1" thickBot="1" x14ac:dyDescent="0.25">
      <c r="A40" s="199" t="s">
        <v>81</v>
      </c>
      <c r="B40" s="185" t="s">
        <v>211</v>
      </c>
      <c r="C40" s="864">
        <f>9686744+176300</f>
        <v>9863044</v>
      </c>
      <c r="D40" s="342">
        <f>'9.1.1. sz. mell. '!C40+'9.1.2. sz. mell.'!C40</f>
        <v>9863044</v>
      </c>
      <c r="E40" s="344">
        <f t="shared" si="0"/>
        <v>0</v>
      </c>
      <c r="F40" s="341">
        <f t="shared" si="1"/>
        <v>0</v>
      </c>
    </row>
    <row r="41" spans="1:6" s="39" customFormat="1" ht="12" customHeight="1" thickBot="1" x14ac:dyDescent="0.25">
      <c r="A41" s="199" t="s">
        <v>127</v>
      </c>
      <c r="B41" s="185" t="s">
        <v>212</v>
      </c>
      <c r="C41" s="864">
        <f>3743473+3078700</f>
        <v>6822173</v>
      </c>
      <c r="D41" s="342">
        <f>'9.1.1. sz. mell. '!C41+'9.1.2. sz. mell.'!C41</f>
        <v>6822173</v>
      </c>
      <c r="E41" s="344">
        <f t="shared" si="0"/>
        <v>0</v>
      </c>
      <c r="F41" s="341">
        <f t="shared" si="1"/>
        <v>0</v>
      </c>
    </row>
    <row r="42" spans="1:6" s="39" customFormat="1" ht="12" customHeight="1" thickBot="1" x14ac:dyDescent="0.25">
      <c r="A42" s="199" t="s">
        <v>128</v>
      </c>
      <c r="B42" s="185" t="s">
        <v>213</v>
      </c>
      <c r="C42" s="864"/>
      <c r="D42" s="342">
        <f>'9.1.1. sz. mell. '!C42+'9.1.2. sz. mell.'!C42</f>
        <v>0</v>
      </c>
      <c r="E42" s="344">
        <f t="shared" si="0"/>
        <v>0</v>
      </c>
      <c r="F42" s="341">
        <f t="shared" si="1"/>
        <v>0</v>
      </c>
    </row>
    <row r="43" spans="1:6" s="39" customFormat="1" ht="12" customHeight="1" thickBot="1" x14ac:dyDescent="0.25">
      <c r="A43" s="199" t="s">
        <v>129</v>
      </c>
      <c r="B43" s="185" t="s">
        <v>214</v>
      </c>
      <c r="C43" s="864">
        <f>8308287+47601</f>
        <v>8355888</v>
      </c>
      <c r="D43" s="342">
        <f>'9.1.1. sz. mell. '!C43+'9.1.2. sz. mell.'!C43</f>
        <v>8355888</v>
      </c>
      <c r="E43" s="344">
        <f t="shared" si="0"/>
        <v>0</v>
      </c>
      <c r="F43" s="341">
        <f t="shared" si="1"/>
        <v>0</v>
      </c>
    </row>
    <row r="44" spans="1:6" s="39" customFormat="1" ht="12" customHeight="1" thickBot="1" x14ac:dyDescent="0.25">
      <c r="A44" s="199" t="s">
        <v>130</v>
      </c>
      <c r="B44" s="185" t="s">
        <v>215</v>
      </c>
      <c r="C44" s="864">
        <f>25525800+1809000</f>
        <v>27334800</v>
      </c>
      <c r="D44" s="342">
        <f>'9.1.1. sz. mell. '!C44+'9.1.2. sz. mell.'!C44</f>
        <v>27334800</v>
      </c>
      <c r="E44" s="344">
        <f t="shared" si="0"/>
        <v>0</v>
      </c>
      <c r="F44" s="341">
        <f t="shared" si="1"/>
        <v>0</v>
      </c>
    </row>
    <row r="45" spans="1:6" s="39" customFormat="1" ht="12" customHeight="1" thickBot="1" x14ac:dyDescent="0.25">
      <c r="A45" s="199" t="s">
        <v>131</v>
      </c>
      <c r="B45" s="185" t="s">
        <v>216</v>
      </c>
      <c r="C45" s="864"/>
      <c r="D45" s="342">
        <f>'9.1.1. sz. mell. '!C45+'9.1.2. sz. mell.'!C45</f>
        <v>0</v>
      </c>
      <c r="E45" s="344">
        <f t="shared" si="0"/>
        <v>0</v>
      </c>
      <c r="F45" s="341">
        <f t="shared" si="1"/>
        <v>0</v>
      </c>
    </row>
    <row r="46" spans="1:6" s="39" customFormat="1" ht="12" customHeight="1" thickBot="1" x14ac:dyDescent="0.25">
      <c r="A46" s="199" t="s">
        <v>207</v>
      </c>
      <c r="B46" s="185" t="s">
        <v>217</v>
      </c>
      <c r="C46" s="864"/>
      <c r="D46" s="342">
        <f>'9.1.1. sz. mell. '!C46+'9.1.2. sz. mell.'!C46</f>
        <v>0</v>
      </c>
      <c r="E46" s="344">
        <f t="shared" si="0"/>
        <v>0</v>
      </c>
      <c r="F46" s="341">
        <f t="shared" si="1"/>
        <v>0</v>
      </c>
    </row>
    <row r="47" spans="1:6" s="39" customFormat="1" ht="12" customHeight="1" thickBot="1" x14ac:dyDescent="0.25">
      <c r="A47" s="200" t="s">
        <v>208</v>
      </c>
      <c r="B47" s="186" t="s">
        <v>397</v>
      </c>
      <c r="C47" s="865">
        <v>1000000</v>
      </c>
      <c r="D47" s="342">
        <f>'9.1.1. sz. mell. '!C47+'9.1.2. sz. mell.'!C47</f>
        <v>1000000</v>
      </c>
      <c r="E47" s="344">
        <f t="shared" si="0"/>
        <v>0</v>
      </c>
      <c r="F47" s="341">
        <f t="shared" si="1"/>
        <v>0</v>
      </c>
    </row>
    <row r="48" spans="1:6" s="39" customFormat="1" ht="12" customHeight="1" thickBot="1" x14ac:dyDescent="0.25">
      <c r="A48" s="200" t="s">
        <v>398</v>
      </c>
      <c r="B48" s="186" t="s">
        <v>218</v>
      </c>
      <c r="C48" s="865">
        <f>1514062+4715</f>
        <v>1518777</v>
      </c>
      <c r="D48" s="342">
        <f>'9.1.1. sz. mell. '!C48+'9.1.2. sz. mell.'!C48</f>
        <v>1518777</v>
      </c>
      <c r="E48" s="345">
        <f t="shared" si="0"/>
        <v>0</v>
      </c>
      <c r="F48" s="341">
        <f t="shared" si="1"/>
        <v>0</v>
      </c>
    </row>
    <row r="49" spans="1:6" s="39" customFormat="1" ht="12" customHeight="1" thickBot="1" x14ac:dyDescent="0.25">
      <c r="A49" s="25" t="s">
        <v>21</v>
      </c>
      <c r="B49" s="18" t="s">
        <v>219</v>
      </c>
      <c r="C49" s="267">
        <f>SUM(C50:C54)</f>
        <v>63000000</v>
      </c>
      <c r="D49" s="342">
        <f>'9.1.1. sz. mell. '!C49+'9.1.2. sz. mell.'!C49</f>
        <v>63000000</v>
      </c>
      <c r="E49" s="342">
        <f t="shared" si="0"/>
        <v>0</v>
      </c>
      <c r="F49" s="341">
        <f t="shared" si="1"/>
        <v>0</v>
      </c>
    </row>
    <row r="50" spans="1:6" s="39" customFormat="1" ht="12" customHeight="1" thickBot="1" x14ac:dyDescent="0.25">
      <c r="A50" s="198" t="s">
        <v>82</v>
      </c>
      <c r="B50" s="184" t="s">
        <v>223</v>
      </c>
      <c r="C50" s="866"/>
      <c r="D50" s="342">
        <f>'9.1.1. sz. mell. '!C50+'9.1.2. sz. mell.'!C50</f>
        <v>0</v>
      </c>
      <c r="E50" s="343">
        <f t="shared" si="0"/>
        <v>0</v>
      </c>
      <c r="F50" s="341">
        <f t="shared" si="1"/>
        <v>0</v>
      </c>
    </row>
    <row r="51" spans="1:6" s="39" customFormat="1" ht="12" customHeight="1" thickBot="1" x14ac:dyDescent="0.25">
      <c r="A51" s="199" t="s">
        <v>83</v>
      </c>
      <c r="B51" s="185" t="s">
        <v>224</v>
      </c>
      <c r="C51" s="864">
        <v>63000000</v>
      </c>
      <c r="D51" s="342">
        <f>'9.1.1. sz. mell. '!C51+'9.1.2. sz. mell.'!C51</f>
        <v>63000000</v>
      </c>
      <c r="E51" s="344">
        <f t="shared" si="0"/>
        <v>0</v>
      </c>
      <c r="F51" s="341">
        <f t="shared" si="1"/>
        <v>0</v>
      </c>
    </row>
    <row r="52" spans="1:6" s="39" customFormat="1" ht="12" customHeight="1" thickBot="1" x14ac:dyDescent="0.25">
      <c r="A52" s="199" t="s">
        <v>220</v>
      </c>
      <c r="B52" s="185" t="s">
        <v>225</v>
      </c>
      <c r="C52" s="864"/>
      <c r="D52" s="342">
        <f>'9.1.1. sz. mell. '!C52+'9.1.2. sz. mell.'!C52</f>
        <v>0</v>
      </c>
      <c r="E52" s="344">
        <f t="shared" si="0"/>
        <v>0</v>
      </c>
      <c r="F52" s="341">
        <f t="shared" si="1"/>
        <v>0</v>
      </c>
    </row>
    <row r="53" spans="1:6" s="39" customFormat="1" ht="12" customHeight="1" thickBot="1" x14ac:dyDescent="0.25">
      <c r="A53" s="199" t="s">
        <v>221</v>
      </c>
      <c r="B53" s="185" t="s">
        <v>226</v>
      </c>
      <c r="C53" s="864"/>
      <c r="D53" s="342">
        <f>'9.1.1. sz. mell. '!C53+'9.1.2. sz. mell.'!C53</f>
        <v>0</v>
      </c>
      <c r="E53" s="344">
        <f t="shared" si="0"/>
        <v>0</v>
      </c>
      <c r="F53" s="341">
        <f t="shared" si="1"/>
        <v>0</v>
      </c>
    </row>
    <row r="54" spans="1:6" s="39" customFormat="1" ht="12" customHeight="1" thickBot="1" x14ac:dyDescent="0.25">
      <c r="A54" s="200" t="s">
        <v>222</v>
      </c>
      <c r="B54" s="186" t="s">
        <v>227</v>
      </c>
      <c r="C54" s="865"/>
      <c r="D54" s="342">
        <f>'9.1.1. sz. mell. '!C54+'9.1.2. sz. mell.'!C54</f>
        <v>0</v>
      </c>
      <c r="E54" s="345">
        <f t="shared" si="0"/>
        <v>0</v>
      </c>
      <c r="F54" s="341">
        <f t="shared" si="1"/>
        <v>0</v>
      </c>
    </row>
    <row r="55" spans="1:6" s="39" customFormat="1" ht="12" customHeight="1" thickBot="1" x14ac:dyDescent="0.25">
      <c r="A55" s="25" t="s">
        <v>132</v>
      </c>
      <c r="B55" s="18" t="s">
        <v>228</v>
      </c>
      <c r="C55" s="267">
        <f>SUM(C56:C58)</f>
        <v>11200000</v>
      </c>
      <c r="D55" s="342">
        <f>'9.1.1. sz. mell. '!C55+'9.1.2. sz. mell.'!C55</f>
        <v>11200000</v>
      </c>
      <c r="E55" s="342">
        <f t="shared" si="0"/>
        <v>0</v>
      </c>
      <c r="F55" s="341">
        <f t="shared" si="1"/>
        <v>0</v>
      </c>
    </row>
    <row r="56" spans="1:6" s="39" customFormat="1" ht="12" customHeight="1" thickBot="1" x14ac:dyDescent="0.25">
      <c r="A56" s="198" t="s">
        <v>84</v>
      </c>
      <c r="B56" s="184" t="s">
        <v>229</v>
      </c>
      <c r="C56" s="866">
        <v>1000000</v>
      </c>
      <c r="D56" s="342">
        <f>'9.1.1. sz. mell. '!C56+'9.1.2. sz. mell.'!C56</f>
        <v>1000000</v>
      </c>
      <c r="E56" s="343">
        <f t="shared" si="0"/>
        <v>0</v>
      </c>
      <c r="F56" s="341">
        <f t="shared" si="1"/>
        <v>0</v>
      </c>
    </row>
    <row r="57" spans="1:6" s="39" customFormat="1" ht="12" customHeight="1" thickBot="1" x14ac:dyDescent="0.25">
      <c r="A57" s="199" t="s">
        <v>85</v>
      </c>
      <c r="B57" s="185" t="s">
        <v>358</v>
      </c>
      <c r="C57" s="864">
        <v>200000</v>
      </c>
      <c r="D57" s="342">
        <f>'9.1.1. sz. mell. '!C57+'9.1.2. sz. mell.'!C57</f>
        <v>200000</v>
      </c>
      <c r="E57" s="344">
        <f t="shared" si="0"/>
        <v>0</v>
      </c>
      <c r="F57" s="341">
        <f t="shared" si="1"/>
        <v>0</v>
      </c>
    </row>
    <row r="58" spans="1:6" s="39" customFormat="1" ht="12" customHeight="1" thickBot="1" x14ac:dyDescent="0.25">
      <c r="A58" s="199" t="s">
        <v>232</v>
      </c>
      <c r="B58" s="185" t="s">
        <v>230</v>
      </c>
      <c r="C58" s="864">
        <f>1000000-1000000+10000000</f>
        <v>10000000</v>
      </c>
      <c r="D58" s="342">
        <f>'9.1.1. sz. mell. '!C58+'9.1.2. sz. mell.'!C58</f>
        <v>10000000</v>
      </c>
      <c r="E58" s="344">
        <f t="shared" si="0"/>
        <v>0</v>
      </c>
      <c r="F58" s="341">
        <f t="shared" si="1"/>
        <v>0</v>
      </c>
    </row>
    <row r="59" spans="1:6" s="39" customFormat="1" ht="12" customHeight="1" thickBot="1" x14ac:dyDescent="0.25">
      <c r="A59" s="200" t="s">
        <v>233</v>
      </c>
      <c r="B59" s="186" t="s">
        <v>231</v>
      </c>
      <c r="C59" s="102"/>
      <c r="D59" s="342">
        <f>'9.1.1. sz. mell. '!C59+'9.1.2. sz. mell.'!C59</f>
        <v>0</v>
      </c>
      <c r="E59" s="345">
        <f t="shared" si="0"/>
        <v>0</v>
      </c>
      <c r="F59" s="341">
        <f t="shared" si="1"/>
        <v>0</v>
      </c>
    </row>
    <row r="60" spans="1:6" s="39" customFormat="1" ht="12" customHeight="1" thickBot="1" x14ac:dyDescent="0.25">
      <c r="A60" s="25" t="s">
        <v>23</v>
      </c>
      <c r="B60" s="107" t="s">
        <v>234</v>
      </c>
      <c r="C60" s="267">
        <f>SUM(C61:C63)</f>
        <v>0</v>
      </c>
      <c r="D60" s="342">
        <f>'9.1.1. sz. mell. '!C60+'9.1.2. sz. mell.'!C60</f>
        <v>0</v>
      </c>
      <c r="E60" s="342">
        <f t="shared" si="0"/>
        <v>0</v>
      </c>
      <c r="F60" s="341">
        <f t="shared" si="1"/>
        <v>0</v>
      </c>
    </row>
    <row r="61" spans="1:6" s="39" customFormat="1" ht="12" customHeight="1" thickBot="1" x14ac:dyDescent="0.25">
      <c r="A61" s="198" t="s">
        <v>133</v>
      </c>
      <c r="B61" s="184" t="s">
        <v>236</v>
      </c>
      <c r="C61" s="864"/>
      <c r="D61" s="342">
        <f>'9.1.1. sz. mell. '!C61+'9.1.2. sz. mell.'!C61</f>
        <v>0</v>
      </c>
      <c r="E61" s="343">
        <f t="shared" si="0"/>
        <v>0</v>
      </c>
      <c r="F61" s="341">
        <f t="shared" si="1"/>
        <v>0</v>
      </c>
    </row>
    <row r="62" spans="1:6" s="39" customFormat="1" ht="12" customHeight="1" thickBot="1" x14ac:dyDescent="0.25">
      <c r="A62" s="199" t="s">
        <v>134</v>
      </c>
      <c r="B62" s="185" t="s">
        <v>359</v>
      </c>
      <c r="C62" s="864"/>
      <c r="D62" s="342">
        <f>'9.1.1. sz. mell. '!C62+'9.1.2. sz. mell.'!C62</f>
        <v>0</v>
      </c>
      <c r="E62" s="344">
        <f t="shared" si="0"/>
        <v>0</v>
      </c>
      <c r="F62" s="341">
        <f t="shared" si="1"/>
        <v>0</v>
      </c>
    </row>
    <row r="63" spans="1:6" s="39" customFormat="1" ht="12" customHeight="1" thickBot="1" x14ac:dyDescent="0.25">
      <c r="A63" s="199" t="s">
        <v>160</v>
      </c>
      <c r="B63" s="185" t="s">
        <v>237</v>
      </c>
      <c r="C63" s="864"/>
      <c r="D63" s="342">
        <f>'9.1.1. sz. mell. '!C63+'9.1.2. sz. mell.'!C63</f>
        <v>0</v>
      </c>
      <c r="E63" s="344">
        <f t="shared" si="0"/>
        <v>0</v>
      </c>
      <c r="F63" s="341">
        <f t="shared" si="1"/>
        <v>0</v>
      </c>
    </row>
    <row r="64" spans="1:6" s="39" customFormat="1" ht="12" customHeight="1" thickBot="1" x14ac:dyDescent="0.25">
      <c r="A64" s="200" t="s">
        <v>235</v>
      </c>
      <c r="B64" s="186" t="s">
        <v>238</v>
      </c>
      <c r="C64" s="864"/>
      <c r="D64" s="342">
        <f>'9.1.1. sz. mell. '!C64+'9.1.2. sz. mell.'!C64</f>
        <v>0</v>
      </c>
      <c r="E64" s="345">
        <f t="shared" si="0"/>
        <v>0</v>
      </c>
      <c r="F64" s="341">
        <f t="shared" si="1"/>
        <v>0</v>
      </c>
    </row>
    <row r="65" spans="1:6" s="39" customFormat="1" ht="12" customHeight="1" thickBot="1" x14ac:dyDescent="0.25">
      <c r="A65" s="25" t="s">
        <v>24</v>
      </c>
      <c r="B65" s="18" t="s">
        <v>239</v>
      </c>
      <c r="C65" s="270">
        <f>+C7+C16+C23+C30+C37+C49+C55+C60</f>
        <v>4438958116</v>
      </c>
      <c r="D65" s="342">
        <f>'9.1.1. sz. mell. '!C65+'9.1.2. sz. mell.'!C65</f>
        <v>4438958116</v>
      </c>
      <c r="E65" s="342">
        <f t="shared" si="0"/>
        <v>0</v>
      </c>
      <c r="F65" s="341">
        <f t="shared" si="1"/>
        <v>0</v>
      </c>
    </row>
    <row r="66" spans="1:6" s="39" customFormat="1" ht="12" customHeight="1" thickBot="1" x14ac:dyDescent="0.2">
      <c r="A66" s="201" t="s">
        <v>329</v>
      </c>
      <c r="B66" s="107" t="s">
        <v>241</v>
      </c>
      <c r="C66" s="267">
        <f>SUM(C67:C69)</f>
        <v>1035562529</v>
      </c>
      <c r="D66" s="342">
        <f>'9.1.1. sz. mell. '!C66+'9.1.2. sz. mell.'!C66</f>
        <v>1035562529</v>
      </c>
      <c r="E66" s="342">
        <f t="shared" si="0"/>
        <v>0</v>
      </c>
      <c r="F66" s="341">
        <f t="shared" si="1"/>
        <v>0</v>
      </c>
    </row>
    <row r="67" spans="1:6" s="39" customFormat="1" ht="12" customHeight="1" thickBot="1" x14ac:dyDescent="0.25">
      <c r="A67" s="198" t="s">
        <v>272</v>
      </c>
      <c r="B67" s="184" t="s">
        <v>242</v>
      </c>
      <c r="C67" s="864">
        <f>11503705+7058824+167000000</f>
        <v>185562529</v>
      </c>
      <c r="D67" s="342">
        <f>'9.1.1. sz. mell. '!C67+'9.1.2. sz. mell.'!C67</f>
        <v>185562529</v>
      </c>
      <c r="E67" s="343">
        <f t="shared" si="0"/>
        <v>0</v>
      </c>
      <c r="F67" s="341">
        <f t="shared" si="1"/>
        <v>0</v>
      </c>
    </row>
    <row r="68" spans="1:6" s="39" customFormat="1" ht="12" customHeight="1" thickBot="1" x14ac:dyDescent="0.25">
      <c r="A68" s="199" t="s">
        <v>281</v>
      </c>
      <c r="B68" s="185" t="s">
        <v>243</v>
      </c>
      <c r="C68" s="864">
        <v>850000000</v>
      </c>
      <c r="D68" s="342">
        <f>'9.1.1. sz. mell. '!C68+'9.1.2. sz. mell.'!C68</f>
        <v>850000000</v>
      </c>
      <c r="E68" s="344">
        <f t="shared" si="0"/>
        <v>0</v>
      </c>
      <c r="F68" s="341">
        <f t="shared" si="1"/>
        <v>0</v>
      </c>
    </row>
    <row r="69" spans="1:6" s="39" customFormat="1" ht="12" customHeight="1" thickBot="1" x14ac:dyDescent="0.25">
      <c r="A69" s="200" t="s">
        <v>282</v>
      </c>
      <c r="B69" s="187" t="s">
        <v>244</v>
      </c>
      <c r="C69" s="864"/>
      <c r="D69" s="342">
        <f>'9.1.1. sz. mell. '!C69+'9.1.2. sz. mell.'!C69</f>
        <v>0</v>
      </c>
      <c r="E69" s="345">
        <f t="shared" si="0"/>
        <v>0</v>
      </c>
      <c r="F69" s="341">
        <f t="shared" si="1"/>
        <v>0</v>
      </c>
    </row>
    <row r="70" spans="1:6" s="39" customFormat="1" ht="12" customHeight="1" thickBot="1" x14ac:dyDescent="0.2">
      <c r="A70" s="201" t="s">
        <v>245</v>
      </c>
      <c r="B70" s="107" t="s">
        <v>246</v>
      </c>
      <c r="C70" s="267">
        <f>SUM(C71:C74)</f>
        <v>0</v>
      </c>
      <c r="D70" s="342">
        <f>'9.1.1. sz. mell. '!C70+'9.1.2. sz. mell.'!C70</f>
        <v>0</v>
      </c>
      <c r="E70" s="342">
        <f t="shared" si="0"/>
        <v>0</v>
      </c>
      <c r="F70" s="341">
        <f t="shared" si="1"/>
        <v>0</v>
      </c>
    </row>
    <row r="71" spans="1:6" s="39" customFormat="1" ht="12" customHeight="1" thickBot="1" x14ac:dyDescent="0.25">
      <c r="A71" s="198" t="s">
        <v>113</v>
      </c>
      <c r="B71" s="184" t="s">
        <v>247</v>
      </c>
      <c r="C71" s="864"/>
      <c r="D71" s="342">
        <f>'9.1.1. sz. mell. '!C71+'9.1.2. sz. mell.'!C71</f>
        <v>0</v>
      </c>
      <c r="E71" s="343">
        <f t="shared" si="0"/>
        <v>0</v>
      </c>
      <c r="F71" s="341">
        <f t="shared" si="1"/>
        <v>0</v>
      </c>
    </row>
    <row r="72" spans="1:6" s="39" customFormat="1" ht="12" customHeight="1" thickBot="1" x14ac:dyDescent="0.25">
      <c r="A72" s="199" t="s">
        <v>114</v>
      </c>
      <c r="B72" s="185" t="s">
        <v>248</v>
      </c>
      <c r="C72" s="864"/>
      <c r="D72" s="342">
        <f>'9.1.1. sz. mell. '!C72+'9.1.2. sz. mell.'!C72</f>
        <v>0</v>
      </c>
      <c r="E72" s="344">
        <f t="shared" ref="E72:E90" si="2">C72-D72</f>
        <v>0</v>
      </c>
      <c r="F72" s="341">
        <f t="shared" si="1"/>
        <v>0</v>
      </c>
    </row>
    <row r="73" spans="1:6" s="39" customFormat="1" ht="12" customHeight="1" thickBot="1" x14ac:dyDescent="0.25">
      <c r="A73" s="199" t="s">
        <v>273</v>
      </c>
      <c r="B73" s="185" t="s">
        <v>249</v>
      </c>
      <c r="C73" s="864"/>
      <c r="D73" s="342">
        <f>'9.1.1. sz. mell. '!C73+'9.1.2. sz. mell.'!C73</f>
        <v>0</v>
      </c>
      <c r="E73" s="344">
        <f t="shared" si="2"/>
        <v>0</v>
      </c>
      <c r="F73" s="341">
        <f t="shared" ref="F73:F136" si="3">C73-D73</f>
        <v>0</v>
      </c>
    </row>
    <row r="74" spans="1:6" s="39" customFormat="1" ht="12" customHeight="1" thickBot="1" x14ac:dyDescent="0.25">
      <c r="A74" s="200" t="s">
        <v>274</v>
      </c>
      <c r="B74" s="186" t="s">
        <v>250</v>
      </c>
      <c r="C74" s="864"/>
      <c r="D74" s="342">
        <f>'9.1.1. sz. mell. '!C74+'9.1.2. sz. mell.'!C74</f>
        <v>0</v>
      </c>
      <c r="E74" s="345">
        <f t="shared" si="2"/>
        <v>0</v>
      </c>
      <c r="F74" s="341">
        <f t="shared" si="3"/>
        <v>0</v>
      </c>
    </row>
    <row r="75" spans="1:6" s="39" customFormat="1" ht="12" customHeight="1" thickBot="1" x14ac:dyDescent="0.2">
      <c r="A75" s="201" t="s">
        <v>251</v>
      </c>
      <c r="B75" s="107" t="s">
        <v>252</v>
      </c>
      <c r="C75" s="267">
        <f>SUM(C76:C77)</f>
        <v>847491815</v>
      </c>
      <c r="D75" s="342">
        <f>'9.1.1. sz. mell. '!C75+'9.1.2. sz. mell.'!C75</f>
        <v>847491815</v>
      </c>
      <c r="E75" s="342">
        <f t="shared" si="2"/>
        <v>0</v>
      </c>
      <c r="F75" s="341">
        <f t="shared" si="3"/>
        <v>0</v>
      </c>
    </row>
    <row r="76" spans="1:6" s="39" customFormat="1" ht="12" customHeight="1" thickBot="1" x14ac:dyDescent="0.25">
      <c r="A76" s="198" t="s">
        <v>275</v>
      </c>
      <c r="B76" s="184" t="s">
        <v>253</v>
      </c>
      <c r="C76" s="864">
        <v>847491815</v>
      </c>
      <c r="D76" s="342">
        <f>'9.1.1. sz. mell. '!C76+'9.1.2. sz. mell.'!C76</f>
        <v>847491815</v>
      </c>
      <c r="E76" s="343">
        <f t="shared" si="2"/>
        <v>0</v>
      </c>
      <c r="F76" s="341">
        <f t="shared" si="3"/>
        <v>0</v>
      </c>
    </row>
    <row r="77" spans="1:6" s="39" customFormat="1" ht="12" customHeight="1" thickBot="1" x14ac:dyDescent="0.25">
      <c r="A77" s="200" t="s">
        <v>276</v>
      </c>
      <c r="B77" s="186" t="s">
        <v>254</v>
      </c>
      <c r="C77" s="864"/>
      <c r="D77" s="342">
        <f>'9.1.1. sz. mell. '!C77+'9.1.2. sz. mell.'!C77</f>
        <v>0</v>
      </c>
      <c r="E77" s="345">
        <f t="shared" si="2"/>
        <v>0</v>
      </c>
      <c r="F77" s="341">
        <f t="shared" si="3"/>
        <v>0</v>
      </c>
    </row>
    <row r="78" spans="1:6" s="38" customFormat="1" ht="12" customHeight="1" thickBot="1" x14ac:dyDescent="0.2">
      <c r="A78" s="201" t="s">
        <v>255</v>
      </c>
      <c r="B78" s="107" t="s">
        <v>256</v>
      </c>
      <c r="C78" s="267">
        <f>SUM(C79:C81)</f>
        <v>48966750</v>
      </c>
      <c r="D78" s="342">
        <f>'9.1.1. sz. mell. '!C78+'9.1.2. sz. mell.'!C78</f>
        <v>48966750</v>
      </c>
      <c r="E78" s="342">
        <f t="shared" si="2"/>
        <v>0</v>
      </c>
      <c r="F78" s="341">
        <f t="shared" si="3"/>
        <v>0</v>
      </c>
    </row>
    <row r="79" spans="1:6" s="39" customFormat="1" ht="12" customHeight="1" thickBot="1" x14ac:dyDescent="0.25">
      <c r="A79" s="198" t="s">
        <v>277</v>
      </c>
      <c r="B79" s="184" t="s">
        <v>257</v>
      </c>
      <c r="C79" s="864">
        <v>48966750</v>
      </c>
      <c r="D79" s="342">
        <f>'9.1.1. sz. mell. '!C79+'9.1.2. sz. mell.'!C79</f>
        <v>48966750</v>
      </c>
      <c r="E79" s="343">
        <f t="shared" si="2"/>
        <v>0</v>
      </c>
      <c r="F79" s="341">
        <f t="shared" si="3"/>
        <v>0</v>
      </c>
    </row>
    <row r="80" spans="1:6" s="39" customFormat="1" ht="12" customHeight="1" thickBot="1" x14ac:dyDescent="0.25">
      <c r="A80" s="199" t="s">
        <v>278</v>
      </c>
      <c r="B80" s="185" t="s">
        <v>258</v>
      </c>
      <c r="C80" s="864"/>
      <c r="D80" s="342">
        <f>'9.1.1. sz. mell. '!C80+'9.1.2. sz. mell.'!C80</f>
        <v>0</v>
      </c>
      <c r="E80" s="344">
        <f t="shared" si="2"/>
        <v>0</v>
      </c>
      <c r="F80" s="341">
        <f t="shared" si="3"/>
        <v>0</v>
      </c>
    </row>
    <row r="81" spans="1:6" s="39" customFormat="1" ht="12" customHeight="1" thickBot="1" x14ac:dyDescent="0.25">
      <c r="A81" s="200" t="s">
        <v>279</v>
      </c>
      <c r="B81" s="186" t="s">
        <v>259</v>
      </c>
      <c r="C81" s="864"/>
      <c r="D81" s="342">
        <f>'9.1.1. sz. mell. '!C81+'9.1.2. sz. mell.'!C81</f>
        <v>0</v>
      </c>
      <c r="E81" s="345">
        <f t="shared" si="2"/>
        <v>0</v>
      </c>
      <c r="F81" s="341">
        <f t="shared" si="3"/>
        <v>0</v>
      </c>
    </row>
    <row r="82" spans="1:6" s="39" customFormat="1" ht="12" customHeight="1" thickBot="1" x14ac:dyDescent="0.2">
      <c r="A82" s="201" t="s">
        <v>260</v>
      </c>
      <c r="B82" s="107" t="s">
        <v>280</v>
      </c>
      <c r="C82" s="267">
        <f>SUM(C83:C86)</f>
        <v>0</v>
      </c>
      <c r="D82" s="342">
        <f>'9.1.1. sz. mell. '!C82+'9.1.2. sz. mell.'!C82</f>
        <v>0</v>
      </c>
      <c r="E82" s="342">
        <f t="shared" si="2"/>
        <v>0</v>
      </c>
      <c r="F82" s="341">
        <f t="shared" si="3"/>
        <v>0</v>
      </c>
    </row>
    <row r="83" spans="1:6" s="39" customFormat="1" ht="12" customHeight="1" thickBot="1" x14ac:dyDescent="0.25">
      <c r="A83" s="202" t="s">
        <v>261</v>
      </c>
      <c r="B83" s="184" t="s">
        <v>262</v>
      </c>
      <c r="C83" s="864"/>
      <c r="D83" s="342">
        <f>'9.1.1. sz. mell. '!C83+'9.1.2. sz. mell.'!C83</f>
        <v>0</v>
      </c>
      <c r="E83" s="343">
        <f t="shared" si="2"/>
        <v>0</v>
      </c>
      <c r="F83" s="341">
        <f t="shared" si="3"/>
        <v>0</v>
      </c>
    </row>
    <row r="84" spans="1:6" s="39" customFormat="1" ht="12" customHeight="1" thickBot="1" x14ac:dyDescent="0.25">
      <c r="A84" s="203" t="s">
        <v>263</v>
      </c>
      <c r="B84" s="185" t="s">
        <v>264</v>
      </c>
      <c r="C84" s="864"/>
      <c r="D84" s="342">
        <f>'9.1.1. sz. mell. '!C84+'9.1.2. sz. mell.'!C84</f>
        <v>0</v>
      </c>
      <c r="E84" s="344">
        <f t="shared" si="2"/>
        <v>0</v>
      </c>
      <c r="F84" s="341">
        <f t="shared" si="3"/>
        <v>0</v>
      </c>
    </row>
    <row r="85" spans="1:6" s="39" customFormat="1" ht="12" customHeight="1" thickBot="1" x14ac:dyDescent="0.25">
      <c r="A85" s="203" t="s">
        <v>265</v>
      </c>
      <c r="B85" s="185" t="s">
        <v>266</v>
      </c>
      <c r="C85" s="864"/>
      <c r="D85" s="342">
        <f>'9.1.1. sz. mell. '!C85+'9.1.2. sz. mell.'!C85</f>
        <v>0</v>
      </c>
      <c r="E85" s="344">
        <f t="shared" si="2"/>
        <v>0</v>
      </c>
      <c r="F85" s="341">
        <f t="shared" si="3"/>
        <v>0</v>
      </c>
    </row>
    <row r="86" spans="1:6" s="38" customFormat="1" ht="12" customHeight="1" thickBot="1" x14ac:dyDescent="0.25">
      <c r="A86" s="204" t="s">
        <v>267</v>
      </c>
      <c r="B86" s="186" t="s">
        <v>268</v>
      </c>
      <c r="C86" s="864"/>
      <c r="D86" s="342">
        <f>'9.1.1. sz. mell. '!C86+'9.1.2. sz. mell.'!C86</f>
        <v>0</v>
      </c>
      <c r="E86" s="345">
        <f t="shared" si="2"/>
        <v>0</v>
      </c>
      <c r="F86" s="341">
        <f t="shared" si="3"/>
        <v>0</v>
      </c>
    </row>
    <row r="87" spans="1:6" s="38" customFormat="1" ht="12" customHeight="1" thickBot="1" x14ac:dyDescent="0.2">
      <c r="A87" s="201" t="s">
        <v>269</v>
      </c>
      <c r="B87" s="107" t="s">
        <v>401</v>
      </c>
      <c r="C87" s="272"/>
      <c r="D87" s="342">
        <f>'9.1.1. sz. mell. '!C87+'9.1.2. sz. mell.'!C87</f>
        <v>0</v>
      </c>
      <c r="E87" s="342">
        <f t="shared" si="2"/>
        <v>0</v>
      </c>
      <c r="F87" s="341">
        <f t="shared" si="3"/>
        <v>0</v>
      </c>
    </row>
    <row r="88" spans="1:6" s="38" customFormat="1" ht="12" customHeight="1" thickBot="1" x14ac:dyDescent="0.2">
      <c r="A88" s="201" t="s">
        <v>453</v>
      </c>
      <c r="B88" s="107" t="s">
        <v>270</v>
      </c>
      <c r="C88" s="272"/>
      <c r="D88" s="342">
        <f>'9.1.1. sz. mell. '!C88+'9.1.2. sz. mell.'!C88</f>
        <v>0</v>
      </c>
      <c r="E88" s="342">
        <f t="shared" si="2"/>
        <v>0</v>
      </c>
      <c r="F88" s="341">
        <f t="shared" si="3"/>
        <v>0</v>
      </c>
    </row>
    <row r="89" spans="1:6" s="38" customFormat="1" ht="12" customHeight="1" thickBot="1" x14ac:dyDescent="0.2">
      <c r="A89" s="201" t="s">
        <v>454</v>
      </c>
      <c r="B89" s="191" t="s">
        <v>402</v>
      </c>
      <c r="C89" s="270">
        <f>+C66+C70+C75+C78+C82+C88+C87</f>
        <v>1932021094</v>
      </c>
      <c r="D89" s="342">
        <f>'9.1.1. sz. mell. '!C89+'9.1.2. sz. mell.'!C89</f>
        <v>1932021094</v>
      </c>
      <c r="E89" s="342">
        <f t="shared" si="2"/>
        <v>0</v>
      </c>
      <c r="F89" s="341">
        <f t="shared" si="3"/>
        <v>0</v>
      </c>
    </row>
    <row r="90" spans="1:6" s="38" customFormat="1" ht="12" customHeight="1" thickBot="1" x14ac:dyDescent="0.2">
      <c r="A90" s="205" t="s">
        <v>455</v>
      </c>
      <c r="B90" s="192" t="s">
        <v>456</v>
      </c>
      <c r="C90" s="270">
        <f>+C65+C89</f>
        <v>6370979210</v>
      </c>
      <c r="D90" s="342">
        <f>'9.1.1. sz. mell. '!C90+'9.1.2. sz. mell.'!C90</f>
        <v>6370979210</v>
      </c>
      <c r="E90" s="342">
        <f t="shared" si="2"/>
        <v>0</v>
      </c>
      <c r="F90" s="341">
        <f t="shared" si="3"/>
        <v>0</v>
      </c>
    </row>
    <row r="91" spans="1:6" s="39" customFormat="1" ht="15" customHeight="1" thickBot="1" x14ac:dyDescent="0.25">
      <c r="A91" s="89"/>
      <c r="B91" s="90"/>
      <c r="C91" s="161"/>
      <c r="D91" s="342" t="e">
        <f>'9.1.1. sz. mell. '!#REF!+'9.1.2. sz. mell.'!C91</f>
        <v>#REF!</v>
      </c>
      <c r="E91" s="778"/>
      <c r="F91" s="341" t="e">
        <f t="shared" si="3"/>
        <v>#REF!</v>
      </c>
    </row>
    <row r="92" spans="1:6" s="32" customFormat="1" ht="16.5" customHeight="1" thickBot="1" x14ac:dyDescent="0.25">
      <c r="A92" s="1479" t="s">
        <v>53</v>
      </c>
      <c r="B92" s="1480"/>
      <c r="C92" s="1481"/>
      <c r="D92" s="342">
        <f>'9.1.1. sz. mell. '!C91+'9.1.2. sz. mell.'!C92</f>
        <v>0</v>
      </c>
      <c r="E92" s="778"/>
      <c r="F92" s="341">
        <f t="shared" si="3"/>
        <v>0</v>
      </c>
    </row>
    <row r="93" spans="1:6" s="772" customFormat="1" ht="12" customHeight="1" thickBot="1" x14ac:dyDescent="0.25">
      <c r="A93" s="176" t="s">
        <v>16</v>
      </c>
      <c r="B93" s="23" t="s">
        <v>466</v>
      </c>
      <c r="C93" s="275">
        <f>+C94+C95+C96+C97+C98+C111</f>
        <v>1058425066</v>
      </c>
      <c r="D93" s="342">
        <f>'9.1.1. sz. mell. '!C92+'9.1.2. sz. mell.'!C93</f>
        <v>1058425066</v>
      </c>
      <c r="E93" s="342">
        <f t="shared" ref="E93:E156" si="4">C93-D93</f>
        <v>0</v>
      </c>
      <c r="F93" s="341">
        <f t="shared" si="3"/>
        <v>0</v>
      </c>
    </row>
    <row r="94" spans="1:6" ht="12" customHeight="1" thickBot="1" x14ac:dyDescent="0.25">
      <c r="A94" s="206" t="s">
        <v>86</v>
      </c>
      <c r="B94" s="7" t="s">
        <v>46</v>
      </c>
      <c r="C94" s="1424">
        <f>47896992+4143150+1130220+576417+2264502</f>
        <v>56011281</v>
      </c>
      <c r="D94" s="342">
        <f>'9.1.1. sz. mell. '!C93+'9.1.2. sz. mell.'!C94</f>
        <v>56011281</v>
      </c>
      <c r="E94" s="343">
        <f t="shared" si="4"/>
        <v>0</v>
      </c>
      <c r="F94" s="341">
        <f t="shared" si="3"/>
        <v>0</v>
      </c>
    </row>
    <row r="95" spans="1:6" ht="12" customHeight="1" thickBot="1" x14ac:dyDescent="0.25">
      <c r="A95" s="199" t="s">
        <v>87</v>
      </c>
      <c r="B95" s="5" t="s">
        <v>135</v>
      </c>
      <c r="C95" s="1177">
        <f>8163648+642188+255933+65298+350998</f>
        <v>9478065</v>
      </c>
      <c r="D95" s="342">
        <f>'9.1.1. sz. mell. '!C94+'9.1.2. sz. mell.'!C95</f>
        <v>9478065</v>
      </c>
      <c r="E95" s="344">
        <f t="shared" si="4"/>
        <v>0</v>
      </c>
      <c r="F95" s="341">
        <f t="shared" si="3"/>
        <v>0</v>
      </c>
    </row>
    <row r="96" spans="1:6" ht="12" customHeight="1" thickBot="1" x14ac:dyDescent="0.25">
      <c r="A96" s="199" t="s">
        <v>88</v>
      </c>
      <c r="B96" s="5" t="s">
        <v>111</v>
      </c>
      <c r="C96" s="1178">
        <f>408709299+107725+1951101+96499+300000+152229913+670207+19544478+17936098</f>
        <v>601545320</v>
      </c>
      <c r="D96" s="342">
        <f>'9.1.1. sz. mell. '!C95+'9.1.2. sz. mell.'!C96</f>
        <v>601545320</v>
      </c>
      <c r="E96" s="344">
        <f t="shared" si="4"/>
        <v>0</v>
      </c>
      <c r="F96" s="341">
        <f t="shared" si="3"/>
        <v>0</v>
      </c>
    </row>
    <row r="97" spans="1:6" ht="12" customHeight="1" thickBot="1" x14ac:dyDescent="0.25">
      <c r="A97" s="199" t="s">
        <v>89</v>
      </c>
      <c r="B97" s="8" t="s">
        <v>136</v>
      </c>
      <c r="C97" s="1178">
        <f>56500000-3000000</f>
        <v>53500000</v>
      </c>
      <c r="D97" s="342">
        <f>'9.1.1. sz. mell. '!C96+'9.1.2. sz. mell.'!C97</f>
        <v>53500000</v>
      </c>
      <c r="E97" s="344">
        <f t="shared" si="4"/>
        <v>0</v>
      </c>
      <c r="F97" s="341">
        <f t="shared" si="3"/>
        <v>0</v>
      </c>
    </row>
    <row r="98" spans="1:6" ht="12" customHeight="1" thickBot="1" x14ac:dyDescent="0.25">
      <c r="A98" s="199" t="s">
        <v>100</v>
      </c>
      <c r="B98" s="16" t="s">
        <v>137</v>
      </c>
      <c r="C98" s="865">
        <f>SUM(C99:C110)</f>
        <v>252801807</v>
      </c>
      <c r="D98" s="342">
        <f>'9.1.1. sz. mell. '!C97+'9.1.2. sz. mell.'!C98</f>
        <v>252801807</v>
      </c>
      <c r="E98" s="344">
        <f t="shared" si="4"/>
        <v>0</v>
      </c>
      <c r="F98" s="341">
        <f>C98-D98</f>
        <v>0</v>
      </c>
    </row>
    <row r="99" spans="1:6" ht="12" customHeight="1" thickBot="1" x14ac:dyDescent="0.25">
      <c r="A99" s="199" t="s">
        <v>90</v>
      </c>
      <c r="B99" s="5" t="s">
        <v>457</v>
      </c>
      <c r="C99" s="865">
        <f>140000+15636933+1466064</f>
        <v>17242997</v>
      </c>
      <c r="D99" s="342">
        <f>'9.1.1. sz. mell. '!C98+'9.1.2. sz. mell.'!C99</f>
        <v>17242997</v>
      </c>
      <c r="E99" s="344">
        <f t="shared" si="4"/>
        <v>0</v>
      </c>
      <c r="F99" s="341">
        <f t="shared" si="3"/>
        <v>0</v>
      </c>
    </row>
    <row r="100" spans="1:6" ht="12" customHeight="1" thickBot="1" x14ac:dyDescent="0.25">
      <c r="A100" s="199" t="s">
        <v>91</v>
      </c>
      <c r="B100" s="58" t="s">
        <v>406</v>
      </c>
      <c r="C100" s="865"/>
      <c r="D100" s="342">
        <f>'9.1.1. sz. mell. '!C99+'9.1.2. sz. mell.'!C100</f>
        <v>0</v>
      </c>
      <c r="E100" s="344">
        <f t="shared" si="4"/>
        <v>0</v>
      </c>
      <c r="F100" s="341">
        <f t="shared" si="3"/>
        <v>0</v>
      </c>
    </row>
    <row r="101" spans="1:6" ht="12" customHeight="1" thickBot="1" x14ac:dyDescent="0.25">
      <c r="A101" s="199" t="s">
        <v>101</v>
      </c>
      <c r="B101" s="58" t="s">
        <v>407</v>
      </c>
      <c r="C101" s="865">
        <f>24566831</f>
        <v>24566831</v>
      </c>
      <c r="D101" s="342">
        <f>'9.1.1. sz. mell. '!C100+'9.1.2. sz. mell.'!C101</f>
        <v>24566831</v>
      </c>
      <c r="E101" s="344">
        <f t="shared" si="4"/>
        <v>0</v>
      </c>
      <c r="F101" s="341">
        <f t="shared" si="3"/>
        <v>0</v>
      </c>
    </row>
    <row r="102" spans="1:6" ht="12" customHeight="1" thickBot="1" x14ac:dyDescent="0.25">
      <c r="A102" s="199" t="s">
        <v>102</v>
      </c>
      <c r="B102" s="58" t="s">
        <v>286</v>
      </c>
      <c r="C102" s="865"/>
      <c r="D102" s="342">
        <f>'9.1.1. sz. mell. '!C101+'9.1.2. sz. mell.'!C102</f>
        <v>0</v>
      </c>
      <c r="E102" s="344">
        <f t="shared" si="4"/>
        <v>0</v>
      </c>
      <c r="F102" s="341">
        <f t="shared" si="3"/>
        <v>0</v>
      </c>
    </row>
    <row r="103" spans="1:6" ht="12" customHeight="1" thickBot="1" x14ac:dyDescent="0.25">
      <c r="A103" s="199" t="s">
        <v>103</v>
      </c>
      <c r="B103" s="59" t="s">
        <v>287</v>
      </c>
      <c r="C103" s="865"/>
      <c r="D103" s="342">
        <f>'9.1.1. sz. mell. '!C102+'9.1.2. sz. mell.'!C103</f>
        <v>0</v>
      </c>
      <c r="E103" s="344">
        <f t="shared" si="4"/>
        <v>0</v>
      </c>
      <c r="F103" s="341">
        <f t="shared" si="3"/>
        <v>0</v>
      </c>
    </row>
    <row r="104" spans="1:6" ht="12" customHeight="1" thickBot="1" x14ac:dyDescent="0.25">
      <c r="A104" s="199" t="s">
        <v>104</v>
      </c>
      <c r="B104" s="59" t="s">
        <v>288</v>
      </c>
      <c r="C104" s="865"/>
      <c r="D104" s="342">
        <f>'9.1.1. sz. mell. '!C103+'9.1.2. sz. mell.'!C104</f>
        <v>0</v>
      </c>
      <c r="E104" s="344">
        <f t="shared" si="4"/>
        <v>0</v>
      </c>
      <c r="F104" s="341">
        <f t="shared" si="3"/>
        <v>0</v>
      </c>
    </row>
    <row r="105" spans="1:6" ht="12" customHeight="1" thickBot="1" x14ac:dyDescent="0.25">
      <c r="A105" s="199" t="s">
        <v>106</v>
      </c>
      <c r="B105" s="58" t="s">
        <v>289</v>
      </c>
      <c r="C105" s="865">
        <v>636000</v>
      </c>
      <c r="D105" s="342">
        <f>'9.1.1. sz. mell. '!C104+'9.1.2. sz. mell.'!C105</f>
        <v>636000</v>
      </c>
      <c r="E105" s="344">
        <f t="shared" si="4"/>
        <v>0</v>
      </c>
      <c r="F105" s="341">
        <f t="shared" si="3"/>
        <v>0</v>
      </c>
    </row>
    <row r="106" spans="1:6" ht="12" customHeight="1" thickBot="1" x14ac:dyDescent="0.25">
      <c r="A106" s="199" t="s">
        <v>138</v>
      </c>
      <c r="B106" s="58" t="s">
        <v>290</v>
      </c>
      <c r="C106" s="865"/>
      <c r="D106" s="342">
        <f>'9.1.1. sz. mell. '!C105+'9.1.2. sz. mell.'!C106</f>
        <v>0</v>
      </c>
      <c r="E106" s="344">
        <f t="shared" si="4"/>
        <v>0</v>
      </c>
      <c r="F106" s="341">
        <f t="shared" si="3"/>
        <v>0</v>
      </c>
    </row>
    <row r="107" spans="1:6" ht="12" customHeight="1" thickBot="1" x14ac:dyDescent="0.25">
      <c r="A107" s="199" t="s">
        <v>284</v>
      </c>
      <c r="B107" s="59" t="s">
        <v>291</v>
      </c>
      <c r="C107" s="865"/>
      <c r="D107" s="342">
        <f>'9.1.1. sz. mell. '!C106+'9.1.2. sz. mell.'!C107</f>
        <v>0</v>
      </c>
      <c r="E107" s="344">
        <f t="shared" si="4"/>
        <v>0</v>
      </c>
      <c r="F107" s="341">
        <f t="shared" si="3"/>
        <v>0</v>
      </c>
    </row>
    <row r="108" spans="1:6" ht="12" customHeight="1" thickBot="1" x14ac:dyDescent="0.25">
      <c r="A108" s="207" t="s">
        <v>285</v>
      </c>
      <c r="B108" s="60" t="s">
        <v>292</v>
      </c>
      <c r="C108" s="865"/>
      <c r="D108" s="342">
        <f>'9.1.1. sz. mell. '!C107+'9.1.2. sz. mell.'!C108</f>
        <v>0</v>
      </c>
      <c r="E108" s="344">
        <f t="shared" si="4"/>
        <v>0</v>
      </c>
      <c r="F108" s="341">
        <f t="shared" si="3"/>
        <v>0</v>
      </c>
    </row>
    <row r="109" spans="1:6" ht="12" customHeight="1" thickBot="1" x14ac:dyDescent="0.25">
      <c r="A109" s="199" t="s">
        <v>408</v>
      </c>
      <c r="B109" s="60" t="s">
        <v>293</v>
      </c>
      <c r="C109" s="865"/>
      <c r="D109" s="342">
        <f>'9.1.1. sz. mell. '!C108+'9.1.2. sz. mell.'!C109</f>
        <v>0</v>
      </c>
      <c r="E109" s="344">
        <f t="shared" si="4"/>
        <v>0</v>
      </c>
      <c r="F109" s="341">
        <f t="shared" si="3"/>
        <v>0</v>
      </c>
    </row>
    <row r="110" spans="1:6" ht="12" customHeight="1" thickBot="1" x14ac:dyDescent="0.25">
      <c r="A110" s="199" t="s">
        <v>409</v>
      </c>
      <c r="B110" s="59" t="s">
        <v>294</v>
      </c>
      <c r="C110" s="864">
        <f>173591867+27025595-4053420+10664415+690537+2436985</f>
        <v>210355979</v>
      </c>
      <c r="D110" s="342">
        <f>'9.1.1. sz. mell. '!C109+'9.1.2. sz. mell.'!C110</f>
        <v>210355979</v>
      </c>
      <c r="E110" s="344">
        <f t="shared" si="4"/>
        <v>0</v>
      </c>
      <c r="F110" s="341">
        <f t="shared" si="3"/>
        <v>0</v>
      </c>
    </row>
    <row r="111" spans="1:6" ht="12" customHeight="1" thickBot="1" x14ac:dyDescent="0.25">
      <c r="A111" s="199" t="s">
        <v>410</v>
      </c>
      <c r="B111" s="8" t="s">
        <v>47</v>
      </c>
      <c r="C111" s="864">
        <f>SUM(C112:C113)</f>
        <v>85088593</v>
      </c>
      <c r="D111" s="342">
        <f>'9.1.1. sz. mell. '!C110+'9.1.2. sz. mell.'!C111</f>
        <v>85088593</v>
      </c>
      <c r="E111" s="344">
        <f t="shared" si="4"/>
        <v>0</v>
      </c>
      <c r="F111" s="341">
        <f t="shared" si="3"/>
        <v>0</v>
      </c>
    </row>
    <row r="112" spans="1:6" ht="12" customHeight="1" thickBot="1" x14ac:dyDescent="0.25">
      <c r="A112" s="200" t="s">
        <v>411</v>
      </c>
      <c r="B112" s="5" t="s">
        <v>458</v>
      </c>
      <c r="C112" s="1178">
        <f>10000000-8622933+2600876-1666257+13433386-939589-2276958-8283760</f>
        <v>4244765</v>
      </c>
      <c r="D112" s="342">
        <f>'9.1.1. sz. mell. '!C111+'9.1.2. sz. mell.'!C112</f>
        <v>4244765</v>
      </c>
      <c r="E112" s="344">
        <f t="shared" si="4"/>
        <v>0</v>
      </c>
      <c r="F112" s="341">
        <f t="shared" si="3"/>
        <v>0</v>
      </c>
    </row>
    <row r="113" spans="1:6" ht="12" customHeight="1" thickBot="1" x14ac:dyDescent="0.25">
      <c r="A113" s="208" t="s">
        <v>413</v>
      </c>
      <c r="B113" s="61" t="s">
        <v>459</v>
      </c>
      <c r="C113" s="286">
        <f>99315612+4715+7058824-10000000-346499-540000-13770424-160000-718400</f>
        <v>80843828</v>
      </c>
      <c r="D113" s="342">
        <f>'9.1.1. sz. mell. '!C112+'9.1.2. sz. mell.'!C113</f>
        <v>80843828</v>
      </c>
      <c r="E113" s="345">
        <f t="shared" si="4"/>
        <v>0</v>
      </c>
      <c r="F113" s="341">
        <f t="shared" si="3"/>
        <v>0</v>
      </c>
    </row>
    <row r="114" spans="1:6" ht="12" customHeight="1" thickBot="1" x14ac:dyDescent="0.25">
      <c r="A114" s="25" t="s">
        <v>17</v>
      </c>
      <c r="B114" s="22" t="s">
        <v>295</v>
      </c>
      <c r="C114" s="267">
        <f>+C115+C117+C119</f>
        <v>2806718332</v>
      </c>
      <c r="D114" s="342">
        <f>'9.1.1. sz. mell. '!C113+'9.1.2. sz. mell.'!C114</f>
        <v>2806718332</v>
      </c>
      <c r="E114" s="342">
        <f t="shared" si="4"/>
        <v>0</v>
      </c>
      <c r="F114" s="341">
        <f t="shared" si="3"/>
        <v>0</v>
      </c>
    </row>
    <row r="115" spans="1:6" ht="12" customHeight="1" thickBot="1" x14ac:dyDescent="0.25">
      <c r="A115" s="198" t="s">
        <v>92</v>
      </c>
      <c r="B115" s="5" t="s">
        <v>159</v>
      </c>
      <c r="C115" s="1182">
        <f>535995745+9195000+1809000+254000+2425-101949539+16867463+163950980+239048622</f>
        <v>865173696</v>
      </c>
      <c r="D115" s="342">
        <f>'9.1.1. sz. mell. '!C114+'9.1.2. sz. mell.'!C115</f>
        <v>865173696</v>
      </c>
      <c r="E115" s="343">
        <f t="shared" si="4"/>
        <v>0</v>
      </c>
      <c r="F115" s="341">
        <f t="shared" si="3"/>
        <v>0</v>
      </c>
    </row>
    <row r="116" spans="1:6" ht="12" customHeight="1" thickBot="1" x14ac:dyDescent="0.25">
      <c r="A116" s="198" t="s">
        <v>93</v>
      </c>
      <c r="B116" s="9" t="s">
        <v>299</v>
      </c>
      <c r="C116" s="866">
        <f>401925076+2425-142138515+401550-1049020</f>
        <v>259141516</v>
      </c>
      <c r="D116" s="342">
        <f>'9.1.1. sz. mell. '!C115+'9.1.2. sz. mell.'!C116</f>
        <v>259141516</v>
      </c>
      <c r="E116" s="344">
        <f t="shared" si="4"/>
        <v>0</v>
      </c>
      <c r="F116" s="341">
        <f t="shared" si="3"/>
        <v>0</v>
      </c>
    </row>
    <row r="117" spans="1:6" ht="12" customHeight="1" thickBot="1" x14ac:dyDescent="0.25">
      <c r="A117" s="198" t="s">
        <v>94</v>
      </c>
      <c r="B117" s="9" t="s">
        <v>139</v>
      </c>
      <c r="C117" s="1177">
        <f>357345208+537576+1293527941-11598175+295820280</f>
        <v>1935632830</v>
      </c>
      <c r="D117" s="342">
        <f>'9.1.1. sz. mell. '!C116+'9.1.2. sz. mell.'!C117</f>
        <v>1935632830</v>
      </c>
      <c r="E117" s="344">
        <f t="shared" si="4"/>
        <v>0</v>
      </c>
      <c r="F117" s="341">
        <f t="shared" si="3"/>
        <v>0</v>
      </c>
    </row>
    <row r="118" spans="1:6" ht="12" customHeight="1" thickBot="1" x14ac:dyDescent="0.25">
      <c r="A118" s="198" t="s">
        <v>95</v>
      </c>
      <c r="B118" s="9" t="s">
        <v>300</v>
      </c>
      <c r="C118" s="864">
        <f>80032238+2424+210655116-2424+101702816-1688230</f>
        <v>390701940</v>
      </c>
      <c r="D118" s="342">
        <f>'9.1.1. sz. mell. '!C117+'9.1.2. sz. mell.'!C118</f>
        <v>390701940</v>
      </c>
      <c r="E118" s="344">
        <f t="shared" si="4"/>
        <v>0</v>
      </c>
      <c r="F118" s="341">
        <f t="shared" si="3"/>
        <v>0</v>
      </c>
    </row>
    <row r="119" spans="1:6" ht="12" customHeight="1" thickBot="1" x14ac:dyDescent="0.25">
      <c r="A119" s="198" t="s">
        <v>96</v>
      </c>
      <c r="B119" s="109" t="s">
        <v>161</v>
      </c>
      <c r="C119" s="864">
        <f>SUM(C120:C127)</f>
        <v>5911806</v>
      </c>
      <c r="D119" s="342">
        <f>'9.1.1. sz. mell. '!C118+'9.1.2. sz. mell.'!C119</f>
        <v>5911806</v>
      </c>
      <c r="E119" s="344">
        <f t="shared" si="4"/>
        <v>0</v>
      </c>
      <c r="F119" s="341">
        <f t="shared" si="3"/>
        <v>0</v>
      </c>
    </row>
    <row r="120" spans="1:6" ht="12" customHeight="1" thickBot="1" x14ac:dyDescent="0.25">
      <c r="A120" s="198" t="s">
        <v>105</v>
      </c>
      <c r="B120" s="108" t="s">
        <v>360</v>
      </c>
      <c r="C120" s="101"/>
      <c r="D120" s="342">
        <f>'9.1.1. sz. mell. '!C119+'9.1.2. sz. mell.'!C120</f>
        <v>0</v>
      </c>
      <c r="E120" s="344">
        <f t="shared" si="4"/>
        <v>0</v>
      </c>
      <c r="F120" s="341">
        <f t="shared" si="3"/>
        <v>0</v>
      </c>
    </row>
    <row r="121" spans="1:6" ht="12" customHeight="1" thickBot="1" x14ac:dyDescent="0.25">
      <c r="A121" s="198" t="s">
        <v>107</v>
      </c>
      <c r="B121" s="180" t="s">
        <v>305</v>
      </c>
      <c r="C121" s="101"/>
      <c r="D121" s="342">
        <f>'9.1.1. sz. mell. '!C120+'9.1.2. sz. mell.'!C121</f>
        <v>0</v>
      </c>
      <c r="E121" s="344">
        <f t="shared" si="4"/>
        <v>0</v>
      </c>
      <c r="F121" s="341">
        <f t="shared" si="3"/>
        <v>0</v>
      </c>
    </row>
    <row r="122" spans="1:6" ht="12" customHeight="1" thickBot="1" x14ac:dyDescent="0.25">
      <c r="A122" s="198" t="s">
        <v>140</v>
      </c>
      <c r="B122" s="59" t="s">
        <v>288</v>
      </c>
      <c r="C122" s="101"/>
      <c r="D122" s="342">
        <f>'9.1.1. sz. mell. '!C121+'9.1.2. sz. mell.'!C122</f>
        <v>0</v>
      </c>
      <c r="E122" s="344">
        <f t="shared" si="4"/>
        <v>0</v>
      </c>
      <c r="F122" s="341">
        <f t="shared" si="3"/>
        <v>0</v>
      </c>
    </row>
    <row r="123" spans="1:6" ht="12" customHeight="1" thickBot="1" x14ac:dyDescent="0.25">
      <c r="A123" s="198" t="s">
        <v>141</v>
      </c>
      <c r="B123" s="59" t="s">
        <v>304</v>
      </c>
      <c r="C123" s="101"/>
      <c r="D123" s="342">
        <f>'9.1.1. sz. mell. '!C122+'9.1.2. sz. mell.'!C123</f>
        <v>0</v>
      </c>
      <c r="E123" s="344">
        <f t="shared" si="4"/>
        <v>0</v>
      </c>
      <c r="F123" s="341">
        <f t="shared" si="3"/>
        <v>0</v>
      </c>
    </row>
    <row r="124" spans="1:6" ht="12" customHeight="1" thickBot="1" x14ac:dyDescent="0.25">
      <c r="A124" s="198" t="s">
        <v>142</v>
      </c>
      <c r="B124" s="59" t="s">
        <v>303</v>
      </c>
      <c r="C124" s="101"/>
      <c r="D124" s="342">
        <f>'9.1.1. sz. mell. '!C123+'9.1.2. sz. mell.'!C124</f>
        <v>0</v>
      </c>
      <c r="E124" s="344">
        <f t="shared" si="4"/>
        <v>0</v>
      </c>
      <c r="F124" s="341">
        <f t="shared" si="3"/>
        <v>0</v>
      </c>
    </row>
    <row r="125" spans="1:6" ht="12" customHeight="1" thickBot="1" x14ac:dyDescent="0.25">
      <c r="A125" s="198" t="s">
        <v>296</v>
      </c>
      <c r="B125" s="59" t="s">
        <v>291</v>
      </c>
      <c r="C125" s="101"/>
      <c r="D125" s="342">
        <f>'9.1.1. sz. mell. '!C124+'9.1.2. sz. mell.'!C125</f>
        <v>0</v>
      </c>
      <c r="E125" s="344">
        <f t="shared" si="4"/>
        <v>0</v>
      </c>
      <c r="F125" s="341">
        <f t="shared" si="3"/>
        <v>0</v>
      </c>
    </row>
    <row r="126" spans="1:6" ht="12" customHeight="1" thickBot="1" x14ac:dyDescent="0.25">
      <c r="A126" s="198" t="s">
        <v>297</v>
      </c>
      <c r="B126" s="59" t="s">
        <v>302</v>
      </c>
      <c r="C126" s="101"/>
      <c r="D126" s="342">
        <f>'9.1.1. sz. mell. '!C125+'9.1.2. sz. mell.'!C126</f>
        <v>0</v>
      </c>
      <c r="E126" s="344">
        <f t="shared" si="4"/>
        <v>0</v>
      </c>
      <c r="F126" s="341">
        <f t="shared" si="3"/>
        <v>0</v>
      </c>
    </row>
    <row r="127" spans="1:6" ht="12" customHeight="1" thickBot="1" x14ac:dyDescent="0.25">
      <c r="A127" s="207" t="s">
        <v>298</v>
      </c>
      <c r="B127" s="59" t="s">
        <v>301</v>
      </c>
      <c r="C127" s="865">
        <v>5911806</v>
      </c>
      <c r="D127" s="342">
        <f>'9.1.1. sz. mell. '!C126+'9.1.2. sz. mell.'!C127</f>
        <v>5911806</v>
      </c>
      <c r="E127" s="345">
        <f t="shared" si="4"/>
        <v>0</v>
      </c>
      <c r="F127" s="341">
        <f t="shared" si="3"/>
        <v>0</v>
      </c>
    </row>
    <row r="128" spans="1:6" ht="12" customHeight="1" thickBot="1" x14ac:dyDescent="0.25">
      <c r="A128" s="25" t="s">
        <v>18</v>
      </c>
      <c r="B128" s="54" t="s">
        <v>415</v>
      </c>
      <c r="C128" s="267">
        <f>+C93+C114</f>
        <v>3865143398</v>
      </c>
      <c r="D128" s="342">
        <f>'9.1.1. sz. mell. '!C127+'9.1.2. sz. mell.'!C128</f>
        <v>3865143398</v>
      </c>
      <c r="E128" s="342">
        <f t="shared" si="4"/>
        <v>0</v>
      </c>
      <c r="F128" s="341">
        <f t="shared" si="3"/>
        <v>0</v>
      </c>
    </row>
    <row r="129" spans="1:7" ht="12" customHeight="1" thickBot="1" x14ac:dyDescent="0.25">
      <c r="A129" s="25" t="s">
        <v>19</v>
      </c>
      <c r="B129" s="54" t="s">
        <v>416</v>
      </c>
      <c r="C129" s="267">
        <f>+C130+C131+C132</f>
        <v>874993747</v>
      </c>
      <c r="D129" s="342">
        <f>'9.1.1. sz. mell. '!C128+'9.1.2. sz. mell.'!C129</f>
        <v>874993747</v>
      </c>
      <c r="E129" s="342">
        <f t="shared" si="4"/>
        <v>0</v>
      </c>
      <c r="F129" s="341">
        <f t="shared" si="3"/>
        <v>0</v>
      </c>
    </row>
    <row r="130" spans="1:7" s="772" customFormat="1" ht="12" customHeight="1" thickBot="1" x14ac:dyDescent="0.25">
      <c r="A130" s="198" t="s">
        <v>197</v>
      </c>
      <c r="B130" s="6" t="s">
        <v>460</v>
      </c>
      <c r="C130" s="864">
        <v>24993747</v>
      </c>
      <c r="D130" s="342">
        <f>'9.1.1. sz. mell. '!C129+'9.1.2. sz. mell.'!C130</f>
        <v>24993747</v>
      </c>
      <c r="E130" s="343">
        <f t="shared" si="4"/>
        <v>0</v>
      </c>
      <c r="F130" s="341">
        <f t="shared" si="3"/>
        <v>0</v>
      </c>
    </row>
    <row r="131" spans="1:7" ht="12" customHeight="1" thickBot="1" x14ac:dyDescent="0.25">
      <c r="A131" s="198" t="s">
        <v>200</v>
      </c>
      <c r="B131" s="6" t="s">
        <v>418</v>
      </c>
      <c r="C131" s="101">
        <v>850000000</v>
      </c>
      <c r="D131" s="342">
        <f>'9.1.1. sz. mell. '!C130+'9.1.2. sz. mell.'!C131</f>
        <v>850000000</v>
      </c>
      <c r="E131" s="344">
        <f t="shared" si="4"/>
        <v>0</v>
      </c>
      <c r="F131" s="341">
        <f t="shared" si="3"/>
        <v>0</v>
      </c>
    </row>
    <row r="132" spans="1:7" ht="12" customHeight="1" thickBot="1" x14ac:dyDescent="0.25">
      <c r="A132" s="207" t="s">
        <v>201</v>
      </c>
      <c r="B132" s="4" t="s">
        <v>461</v>
      </c>
      <c r="C132" s="101"/>
      <c r="D132" s="342">
        <f>'9.1.1. sz. mell. '!C131+'9.1.2. sz. mell.'!C132</f>
        <v>0</v>
      </c>
      <c r="E132" s="345">
        <f t="shared" si="4"/>
        <v>0</v>
      </c>
      <c r="F132" s="341">
        <f t="shared" si="3"/>
        <v>0</v>
      </c>
    </row>
    <row r="133" spans="1:7" ht="12" customHeight="1" thickBot="1" x14ac:dyDescent="0.25">
      <c r="A133" s="25" t="s">
        <v>20</v>
      </c>
      <c r="B133" s="54" t="s">
        <v>420</v>
      </c>
      <c r="C133" s="267">
        <f>+C134+C135+C136+C137+C138+C139</f>
        <v>0</v>
      </c>
      <c r="D133" s="342">
        <f>'9.1.1. sz. mell. '!C132+'9.1.2. sz. mell.'!C133</f>
        <v>0</v>
      </c>
      <c r="E133" s="342">
        <f t="shared" si="4"/>
        <v>0</v>
      </c>
      <c r="F133" s="341">
        <f t="shared" si="3"/>
        <v>0</v>
      </c>
    </row>
    <row r="134" spans="1:7" ht="12" customHeight="1" thickBot="1" x14ac:dyDescent="0.25">
      <c r="A134" s="198" t="s">
        <v>79</v>
      </c>
      <c r="B134" s="6" t="s">
        <v>421</v>
      </c>
      <c r="C134" s="101"/>
      <c r="D134" s="342">
        <f>'9.1.1. sz. mell. '!C133+'9.1.2. sz. mell.'!C134</f>
        <v>0</v>
      </c>
      <c r="E134" s="343">
        <f t="shared" si="4"/>
        <v>0</v>
      </c>
      <c r="F134" s="341">
        <f t="shared" si="3"/>
        <v>0</v>
      </c>
    </row>
    <row r="135" spans="1:7" ht="12" customHeight="1" thickBot="1" x14ac:dyDescent="0.25">
      <c r="A135" s="198" t="s">
        <v>80</v>
      </c>
      <c r="B135" s="6" t="s">
        <v>422</v>
      </c>
      <c r="C135" s="101"/>
      <c r="D135" s="342">
        <f>'9.1.1. sz. mell. '!C134+'9.1.2. sz. mell.'!C135</f>
        <v>0</v>
      </c>
      <c r="E135" s="344">
        <f t="shared" si="4"/>
        <v>0</v>
      </c>
      <c r="F135" s="341">
        <f t="shared" si="3"/>
        <v>0</v>
      </c>
    </row>
    <row r="136" spans="1:7" ht="12" customHeight="1" thickBot="1" x14ac:dyDescent="0.25">
      <c r="A136" s="198" t="s">
        <v>81</v>
      </c>
      <c r="B136" s="6" t="s">
        <v>423</v>
      </c>
      <c r="C136" s="101"/>
      <c r="D136" s="342">
        <f>'9.1.1. sz. mell. '!C135+'9.1.2. sz. mell.'!C136</f>
        <v>0</v>
      </c>
      <c r="E136" s="344">
        <f t="shared" si="4"/>
        <v>0</v>
      </c>
      <c r="F136" s="341">
        <f t="shared" si="3"/>
        <v>0</v>
      </c>
    </row>
    <row r="137" spans="1:7" ht="12" customHeight="1" thickBot="1" x14ac:dyDescent="0.25">
      <c r="A137" s="198" t="s">
        <v>127</v>
      </c>
      <c r="B137" s="6" t="s">
        <v>462</v>
      </c>
      <c r="C137" s="101"/>
      <c r="D137" s="342">
        <f>'9.1.1. sz. mell. '!C136+'9.1.2. sz. mell.'!C137</f>
        <v>0</v>
      </c>
      <c r="E137" s="344">
        <f t="shared" si="4"/>
        <v>0</v>
      </c>
      <c r="F137" s="341">
        <f t="shared" ref="F137:F157" si="5">C137-D137</f>
        <v>0</v>
      </c>
    </row>
    <row r="138" spans="1:7" ht="12" customHeight="1" thickBot="1" x14ac:dyDescent="0.25">
      <c r="A138" s="198" t="s">
        <v>128</v>
      </c>
      <c r="B138" s="6" t="s">
        <v>425</v>
      </c>
      <c r="C138" s="101"/>
      <c r="D138" s="342">
        <f>'9.1.1. sz. mell. '!C137+'9.1.2. sz. mell.'!C138</f>
        <v>0</v>
      </c>
      <c r="E138" s="344">
        <f t="shared" si="4"/>
        <v>0</v>
      </c>
      <c r="F138" s="341">
        <f t="shared" si="5"/>
        <v>0</v>
      </c>
    </row>
    <row r="139" spans="1:7" s="772" customFormat="1" ht="12" customHeight="1" thickBot="1" x14ac:dyDescent="0.25">
      <c r="A139" s="207" t="s">
        <v>129</v>
      </c>
      <c r="B139" s="4" t="s">
        <v>426</v>
      </c>
      <c r="C139" s="101"/>
      <c r="D139" s="342">
        <f>'9.1.1. sz. mell. '!C138+'9.1.2. sz. mell.'!C139</f>
        <v>0</v>
      </c>
      <c r="E139" s="345">
        <f t="shared" si="4"/>
        <v>0</v>
      </c>
      <c r="F139" s="341">
        <f t="shared" si="5"/>
        <v>0</v>
      </c>
    </row>
    <row r="140" spans="1:7" ht="12" customHeight="1" thickBot="1" x14ac:dyDescent="0.25">
      <c r="A140" s="25" t="s">
        <v>21</v>
      </c>
      <c r="B140" s="54" t="s">
        <v>463</v>
      </c>
      <c r="C140" s="270">
        <f>+C141+C142+C143+C144</f>
        <v>48966750</v>
      </c>
      <c r="D140" s="342">
        <f>'9.1.1. sz. mell. '!C139+'9.1.2. sz. mell.'!C140</f>
        <v>48966750</v>
      </c>
      <c r="E140" s="342">
        <f t="shared" si="4"/>
        <v>0</v>
      </c>
      <c r="F140" s="341">
        <f t="shared" si="5"/>
        <v>0</v>
      </c>
      <c r="G140" s="100"/>
    </row>
    <row r="141" spans="1:7" ht="13.5" thickBot="1" x14ac:dyDescent="0.25">
      <c r="A141" s="198" t="s">
        <v>82</v>
      </c>
      <c r="B141" s="6" t="s">
        <v>306</v>
      </c>
      <c r="C141" s="101"/>
      <c r="D141" s="342">
        <f>'9.1.1. sz. mell. '!C140+'9.1.2. sz. mell.'!C141</f>
        <v>0</v>
      </c>
      <c r="E141" s="343">
        <f t="shared" si="4"/>
        <v>0</v>
      </c>
      <c r="F141" s="341">
        <f t="shared" si="5"/>
        <v>0</v>
      </c>
    </row>
    <row r="142" spans="1:7" ht="12" customHeight="1" thickBot="1" x14ac:dyDescent="0.25">
      <c r="A142" s="198" t="s">
        <v>83</v>
      </c>
      <c r="B142" s="6" t="s">
        <v>307</v>
      </c>
      <c r="C142" s="101">
        <v>48966750</v>
      </c>
      <c r="D142" s="342">
        <f>'9.1.1. sz. mell. '!C141+'9.1.2. sz. mell.'!C142</f>
        <v>48966750</v>
      </c>
      <c r="E142" s="344">
        <f t="shared" si="4"/>
        <v>0</v>
      </c>
      <c r="F142" s="341">
        <f t="shared" si="5"/>
        <v>0</v>
      </c>
    </row>
    <row r="143" spans="1:7" s="772" customFormat="1" ht="12" customHeight="1" thickBot="1" x14ac:dyDescent="0.25">
      <c r="A143" s="198" t="s">
        <v>220</v>
      </c>
      <c r="B143" s="6" t="s">
        <v>428</v>
      </c>
      <c r="C143" s="101"/>
      <c r="D143" s="342">
        <f>'9.1.1. sz. mell. '!C142+'9.1.2. sz. mell.'!C143</f>
        <v>0</v>
      </c>
      <c r="E143" s="344">
        <f t="shared" si="4"/>
        <v>0</v>
      </c>
      <c r="F143" s="341">
        <f t="shared" si="5"/>
        <v>0</v>
      </c>
    </row>
    <row r="144" spans="1:7" s="772" customFormat="1" ht="12" customHeight="1" thickBot="1" x14ac:dyDescent="0.25">
      <c r="A144" s="207" t="s">
        <v>221</v>
      </c>
      <c r="B144" s="4" t="s">
        <v>325</v>
      </c>
      <c r="C144" s="101"/>
      <c r="D144" s="342">
        <f>'9.1.1. sz. mell. '!C143+'9.1.2. sz. mell.'!C144</f>
        <v>0</v>
      </c>
      <c r="E144" s="345">
        <f t="shared" si="4"/>
        <v>0</v>
      </c>
      <c r="F144" s="341">
        <f t="shared" si="5"/>
        <v>0</v>
      </c>
    </row>
    <row r="145" spans="1:6" s="772" customFormat="1" ht="12" customHeight="1" thickBot="1" x14ac:dyDescent="0.25">
      <c r="A145" s="25" t="s">
        <v>22</v>
      </c>
      <c r="B145" s="54" t="s">
        <v>429</v>
      </c>
      <c r="C145" s="277">
        <f>+C146+C147+C148+C149+C150</f>
        <v>0</v>
      </c>
      <c r="D145" s="342">
        <f>'9.1.1. sz. mell. '!C144+'9.1.2. sz. mell.'!C145</f>
        <v>0</v>
      </c>
      <c r="E145" s="342">
        <f t="shared" si="4"/>
        <v>0</v>
      </c>
      <c r="F145" s="341">
        <f t="shared" si="5"/>
        <v>0</v>
      </c>
    </row>
    <row r="146" spans="1:6" s="772" customFormat="1" ht="12" customHeight="1" thickBot="1" x14ac:dyDescent="0.25">
      <c r="A146" s="198" t="s">
        <v>84</v>
      </c>
      <c r="B146" s="6" t="s">
        <v>430</v>
      </c>
      <c r="C146" s="101"/>
      <c r="D146" s="342">
        <f>'9.1.1. sz. mell. '!C145+'9.1.2. sz. mell.'!C146</f>
        <v>0</v>
      </c>
      <c r="E146" s="343">
        <f t="shared" si="4"/>
        <v>0</v>
      </c>
      <c r="F146" s="341">
        <f t="shared" si="5"/>
        <v>0</v>
      </c>
    </row>
    <row r="147" spans="1:6" s="772" customFormat="1" ht="12" customHeight="1" thickBot="1" x14ac:dyDescent="0.25">
      <c r="A147" s="198" t="s">
        <v>85</v>
      </c>
      <c r="B147" s="6" t="s">
        <v>431</v>
      </c>
      <c r="C147" s="101"/>
      <c r="D147" s="342">
        <f>'9.1.1. sz. mell. '!C146+'9.1.2. sz. mell.'!C147</f>
        <v>0</v>
      </c>
      <c r="E147" s="344">
        <f t="shared" si="4"/>
        <v>0</v>
      </c>
      <c r="F147" s="341">
        <f t="shared" si="5"/>
        <v>0</v>
      </c>
    </row>
    <row r="148" spans="1:6" s="772" customFormat="1" ht="12" customHeight="1" thickBot="1" x14ac:dyDescent="0.25">
      <c r="A148" s="198" t="s">
        <v>232</v>
      </c>
      <c r="B148" s="6" t="s">
        <v>432</v>
      </c>
      <c r="C148" s="101"/>
      <c r="D148" s="342">
        <f>'9.1.1. sz. mell. '!C147+'9.1.2. sz. mell.'!C148</f>
        <v>0</v>
      </c>
      <c r="E148" s="344">
        <f t="shared" si="4"/>
        <v>0</v>
      </c>
      <c r="F148" s="341">
        <f t="shared" si="5"/>
        <v>0</v>
      </c>
    </row>
    <row r="149" spans="1:6" s="772" customFormat="1" ht="12" customHeight="1" thickBot="1" x14ac:dyDescent="0.25">
      <c r="A149" s="198" t="s">
        <v>233</v>
      </c>
      <c r="B149" s="6" t="s">
        <v>464</v>
      </c>
      <c r="C149" s="101"/>
      <c r="D149" s="342">
        <f>'9.1.1. sz. mell. '!C148+'9.1.2. sz. mell.'!C149</f>
        <v>0</v>
      </c>
      <c r="E149" s="344">
        <f t="shared" si="4"/>
        <v>0</v>
      </c>
      <c r="F149" s="341">
        <f t="shared" si="5"/>
        <v>0</v>
      </c>
    </row>
    <row r="150" spans="1:6" ht="12.75" customHeight="1" thickBot="1" x14ac:dyDescent="0.25">
      <c r="A150" s="207" t="s">
        <v>434</v>
      </c>
      <c r="B150" s="4" t="s">
        <v>435</v>
      </c>
      <c r="C150" s="102"/>
      <c r="D150" s="342">
        <f>'9.1.1. sz. mell. '!C149+'9.1.2. sz. mell.'!C150</f>
        <v>0</v>
      </c>
      <c r="E150" s="345">
        <f t="shared" si="4"/>
        <v>0</v>
      </c>
      <c r="F150" s="341">
        <f t="shared" si="5"/>
        <v>0</v>
      </c>
    </row>
    <row r="151" spans="1:6" ht="12.75" customHeight="1" thickBot="1" x14ac:dyDescent="0.25">
      <c r="A151" s="254" t="s">
        <v>23</v>
      </c>
      <c r="B151" s="54" t="s">
        <v>436</v>
      </c>
      <c r="C151" s="277"/>
      <c r="D151" s="342">
        <f>'9.1.1. sz. mell. '!C150+'9.1.2. sz. mell.'!C151</f>
        <v>0</v>
      </c>
      <c r="E151" s="342">
        <f t="shared" si="4"/>
        <v>0</v>
      </c>
      <c r="F151" s="341">
        <f t="shared" si="5"/>
        <v>0</v>
      </c>
    </row>
    <row r="152" spans="1:6" ht="12.75" customHeight="1" thickBot="1" x14ac:dyDescent="0.25">
      <c r="A152" s="254" t="s">
        <v>24</v>
      </c>
      <c r="B152" s="54" t="s">
        <v>437</v>
      </c>
      <c r="C152" s="277"/>
      <c r="D152" s="342">
        <f>'9.1.1. sz. mell. '!C151+'9.1.2. sz. mell.'!C152</f>
        <v>0</v>
      </c>
      <c r="E152" s="346">
        <f t="shared" si="4"/>
        <v>0</v>
      </c>
      <c r="F152" s="341">
        <f t="shared" si="5"/>
        <v>0</v>
      </c>
    </row>
    <row r="153" spans="1:6" ht="12" customHeight="1" thickBot="1" x14ac:dyDescent="0.25">
      <c r="A153" s="25" t="s">
        <v>25</v>
      </c>
      <c r="B153" s="54" t="s">
        <v>438</v>
      </c>
      <c r="C153" s="278">
        <f>+C129+C133+C140+C145+C151+C152</f>
        <v>923960497</v>
      </c>
      <c r="D153" s="342">
        <f>'9.1.1. sz. mell. '!C152+'9.1.2. sz. mell.'!C153</f>
        <v>923960497</v>
      </c>
      <c r="E153" s="342">
        <f t="shared" si="4"/>
        <v>0</v>
      </c>
      <c r="F153" s="341">
        <f t="shared" si="5"/>
        <v>0</v>
      </c>
    </row>
    <row r="154" spans="1:6" ht="15" customHeight="1" thickBot="1" x14ac:dyDescent="0.25">
      <c r="A154" s="209" t="s">
        <v>26</v>
      </c>
      <c r="B154" s="169" t="s">
        <v>439</v>
      </c>
      <c r="C154" s="278">
        <f>+C128+C153</f>
        <v>4789103895</v>
      </c>
      <c r="D154" s="342">
        <f>'9.1.1. sz. mell. '!C153+'9.1.2. sz. mell.'!C154</f>
        <v>4789103895</v>
      </c>
      <c r="E154" s="342">
        <f t="shared" si="4"/>
        <v>0</v>
      </c>
      <c r="F154" s="341">
        <f t="shared" si="5"/>
        <v>0</v>
      </c>
    </row>
    <row r="155" spans="1:6" ht="13.5" thickBot="1" x14ac:dyDescent="0.25">
      <c r="D155" s="342" t="e">
        <f>'9.1.1. sz. mell. '!#REF!+'9.1.2. sz. mell.'!C155</f>
        <v>#REF!</v>
      </c>
      <c r="E155" s="342" t="e">
        <f t="shared" si="4"/>
        <v>#REF!</v>
      </c>
      <c r="F155" s="341" t="e">
        <f t="shared" si="5"/>
        <v>#REF!</v>
      </c>
    </row>
    <row r="156" spans="1:6" ht="15" customHeight="1" thickBot="1" x14ac:dyDescent="0.25">
      <c r="A156" s="1477" t="s">
        <v>465</v>
      </c>
      <c r="B156" s="1478"/>
      <c r="C156" s="1338">
        <f>5+0.41666666666</f>
        <v>5.4166666666600003</v>
      </c>
      <c r="D156" s="803">
        <f>'9.1.1. sz. mell. '!C154+'9.1.2. sz. mell.'!C156</f>
        <v>5.4166666666666003</v>
      </c>
      <c r="E156" s="342">
        <f t="shared" si="4"/>
        <v>-6.6000538367916306E-12</v>
      </c>
      <c r="F156" s="341">
        <f t="shared" si="5"/>
        <v>-6.6000538367916306E-12</v>
      </c>
    </row>
    <row r="157" spans="1:6" ht="15" customHeight="1" thickBot="1" x14ac:dyDescent="0.25">
      <c r="A157" s="1477" t="s">
        <v>754</v>
      </c>
      <c r="B157" s="1478"/>
      <c r="C157" s="802">
        <v>0</v>
      </c>
      <c r="D157" s="342">
        <f>'9.1.1. sz. mell. '!C155+'9.1.2. sz. mell.'!C157</f>
        <v>0</v>
      </c>
      <c r="E157" s="342">
        <f>C157-D157</f>
        <v>0</v>
      </c>
      <c r="F157" s="341">
        <f t="shared" si="5"/>
        <v>0</v>
      </c>
    </row>
  </sheetData>
  <sheetProtection formatCells="0"/>
  <mergeCells count="5">
    <mergeCell ref="A1:C1"/>
    <mergeCell ref="A156:B156"/>
    <mergeCell ref="A157:B157"/>
    <mergeCell ref="A92:C92"/>
    <mergeCell ref="A3:C3"/>
  </mergeCells>
  <printOptions horizontalCentered="1"/>
  <pageMargins left="0.7" right="0.7" top="0.75" bottom="0.75" header="0.3" footer="0.3"/>
  <pageSetup paperSize="9" scale="79" fitToHeight="0" orientation="portrait" r:id="rId1"/>
  <headerFooter alignWithMargins="0"/>
  <rowBreaks count="1" manualBreakCount="1">
    <brk id="91" max="2" man="1"/>
  </rowBreak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2"/>
  <dimension ref="A1:I154"/>
  <sheetViews>
    <sheetView zoomScale="130" zoomScaleNormal="130" zoomScaleSheetLayoutView="70" workbookViewId="0">
      <selection activeCell="D12" sqref="D12"/>
    </sheetView>
  </sheetViews>
  <sheetFormatPr defaultRowHeight="12.75" x14ac:dyDescent="0.2"/>
  <cols>
    <col min="1" max="1" width="19.5" style="347" customWidth="1"/>
    <col min="2" max="2" width="72" style="348" customWidth="1"/>
    <col min="3" max="3" width="25" style="349" customWidth="1"/>
    <col min="4" max="4" width="17.33203125" style="768" bestFit="1" customWidth="1"/>
    <col min="5" max="16384" width="9.33203125" style="768"/>
  </cols>
  <sheetData>
    <row r="1" spans="1:6" x14ac:dyDescent="0.2">
      <c r="A1" s="1476" t="str">
        <f>CONCATENATE("11. melléklet"," ",ALAPADATOK!A7," ",ALAPADATOK!B7," ",ALAPADATOK!C7," ",ALAPADATOK!D7," ",ALAPADATOK!E7," ",ALAPADATOK!F7," ",ALAPADATOK!G7," ",ALAPADATOK!H7)</f>
        <v>11. melléklet a 19 / 2021. ( XI.29. ) önkormányzati rendelethez</v>
      </c>
      <c r="B1" s="1476"/>
      <c r="C1" s="1476"/>
    </row>
    <row r="2" spans="1:6" s="1" customFormat="1" ht="16.5" customHeight="1" x14ac:dyDescent="0.2">
      <c r="A2" s="76"/>
      <c r="B2" s="78"/>
      <c r="C2" s="99"/>
    </row>
    <row r="3" spans="1:6" s="1" customFormat="1" ht="16.5" customHeight="1" thickBot="1" x14ac:dyDescent="0.25">
      <c r="A3" s="1442" t="s">
        <v>1034</v>
      </c>
      <c r="B3" s="1442"/>
      <c r="C3" s="1442"/>
      <c r="D3" s="778"/>
      <c r="E3" s="778"/>
      <c r="F3" s="777"/>
    </row>
    <row r="4" spans="1:6" ht="13.5" thickBot="1" x14ac:dyDescent="0.25">
      <c r="A4" s="175" t="s">
        <v>154</v>
      </c>
      <c r="B4" s="81" t="s">
        <v>50</v>
      </c>
      <c r="C4" s="156" t="s">
        <v>1033</v>
      </c>
    </row>
    <row r="5" spans="1:6" s="32" customFormat="1" ht="12.95" customHeight="1" thickBot="1" x14ac:dyDescent="0.25">
      <c r="A5" s="71" t="s">
        <v>391</v>
      </c>
      <c r="B5" s="72" t="s">
        <v>392</v>
      </c>
      <c r="C5" s="73" t="s">
        <v>393</v>
      </c>
    </row>
    <row r="6" spans="1:6" s="32" customFormat="1" ht="15.95" customHeight="1" thickBot="1" x14ac:dyDescent="0.25">
      <c r="A6" s="83"/>
      <c r="B6" s="84" t="s">
        <v>52</v>
      </c>
      <c r="C6" s="157"/>
    </row>
    <row r="7" spans="1:6" s="32" customFormat="1" ht="12" customHeight="1" thickBot="1" x14ac:dyDescent="0.25">
      <c r="A7" s="25" t="s">
        <v>16</v>
      </c>
      <c r="B7" s="18" t="s">
        <v>181</v>
      </c>
      <c r="C7" s="267">
        <f>+C8+C9+C10+C13+C14+C15</f>
        <v>1344268417</v>
      </c>
    </row>
    <row r="8" spans="1:6" s="38" customFormat="1" ht="12" customHeight="1" x14ac:dyDescent="0.2">
      <c r="A8" s="198" t="s">
        <v>86</v>
      </c>
      <c r="B8" s="184" t="s">
        <v>182</v>
      </c>
      <c r="C8" s="866">
        <f>295696597+1181580</f>
        <v>296878177</v>
      </c>
    </row>
    <row r="9" spans="1:6" s="39" customFormat="1" ht="12" customHeight="1" x14ac:dyDescent="0.2">
      <c r="A9" s="199" t="s">
        <v>87</v>
      </c>
      <c r="B9" s="185" t="s">
        <v>183</v>
      </c>
      <c r="C9" s="864">
        <f>254023920+8379000+651710</f>
        <v>263054630</v>
      </c>
    </row>
    <row r="10" spans="1:6" s="39" customFormat="1" ht="22.5" x14ac:dyDescent="0.2">
      <c r="A10" s="199" t="s">
        <v>88</v>
      </c>
      <c r="B10" s="185" t="s">
        <v>766</v>
      </c>
      <c r="C10" s="864">
        <f>SUM(C11:C12)</f>
        <v>537975110</v>
      </c>
    </row>
    <row r="11" spans="1:6" s="39" customFormat="1" ht="12" customHeight="1" x14ac:dyDescent="0.2">
      <c r="A11" s="199" t="s">
        <v>764</v>
      </c>
      <c r="B11" s="185" t="s">
        <v>767</v>
      </c>
      <c r="C11" s="864">
        <f>323323762+10429183+824490</f>
        <v>334577435</v>
      </c>
    </row>
    <row r="12" spans="1:6" s="39" customFormat="1" ht="12" customHeight="1" x14ac:dyDescent="0.2">
      <c r="A12" s="199" t="s">
        <v>765</v>
      </c>
      <c r="B12" s="185" t="s">
        <v>768</v>
      </c>
      <c r="C12" s="863">
        <f>126258794+1334340+75804541</f>
        <v>203397675</v>
      </c>
    </row>
    <row r="13" spans="1:6" s="39" customFormat="1" ht="12" customHeight="1" x14ac:dyDescent="0.2">
      <c r="A13" s="199" t="s">
        <v>89</v>
      </c>
      <c r="B13" s="185" t="s">
        <v>185</v>
      </c>
      <c r="C13" s="864">
        <f>40888120+1420296</f>
        <v>42308416</v>
      </c>
    </row>
    <row r="14" spans="1:6" s="39" customFormat="1" ht="12" customHeight="1" x14ac:dyDescent="0.2">
      <c r="A14" s="199" t="s">
        <v>112</v>
      </c>
      <c r="B14" s="185" t="s">
        <v>452</v>
      </c>
      <c r="C14" s="864">
        <f>234271694+107725-21793399-60000000+50000000</f>
        <v>202586020</v>
      </c>
    </row>
    <row r="15" spans="1:6" s="38" customFormat="1" ht="12" customHeight="1" thickBot="1" x14ac:dyDescent="0.25">
      <c r="A15" s="200" t="s">
        <v>90</v>
      </c>
      <c r="B15" s="186" t="s">
        <v>395</v>
      </c>
      <c r="C15" s="864">
        <v>1466064</v>
      </c>
    </row>
    <row r="16" spans="1:6" s="38" customFormat="1" ht="12" customHeight="1" thickBot="1" x14ac:dyDescent="0.25">
      <c r="A16" s="25" t="s">
        <v>17</v>
      </c>
      <c r="B16" s="107" t="s">
        <v>186</v>
      </c>
      <c r="C16" s="267">
        <f>+C17+C18+C19+C20+C21</f>
        <v>90208366</v>
      </c>
    </row>
    <row r="17" spans="1:3" s="38" customFormat="1" ht="12" customHeight="1" x14ac:dyDescent="0.2">
      <c r="A17" s="198" t="s">
        <v>92</v>
      </c>
      <c r="B17" s="184" t="s">
        <v>187</v>
      </c>
      <c r="C17" s="269"/>
    </row>
    <row r="18" spans="1:3" s="38" customFormat="1" ht="12" customHeight="1" x14ac:dyDescent="0.2">
      <c r="A18" s="199" t="s">
        <v>93</v>
      </c>
      <c r="B18" s="185" t="s">
        <v>188</v>
      </c>
      <c r="C18" s="101"/>
    </row>
    <row r="19" spans="1:3" s="38" customFormat="1" ht="12" customHeight="1" x14ac:dyDescent="0.2">
      <c r="A19" s="199" t="s">
        <v>94</v>
      </c>
      <c r="B19" s="185" t="s">
        <v>354</v>
      </c>
      <c r="C19" s="101"/>
    </row>
    <row r="20" spans="1:3" s="38" customFormat="1" ht="12" customHeight="1" x14ac:dyDescent="0.2">
      <c r="A20" s="199" t="s">
        <v>95</v>
      </c>
      <c r="B20" s="185" t="s">
        <v>355</v>
      </c>
      <c r="C20" s="101"/>
    </row>
    <row r="21" spans="1:3" s="38" customFormat="1" ht="12" customHeight="1" x14ac:dyDescent="0.2">
      <c r="A21" s="199" t="s">
        <v>96</v>
      </c>
      <c r="B21" s="185" t="s">
        <v>189</v>
      </c>
      <c r="C21" s="864">
        <f>124208366+16000000-50000000</f>
        <v>90208366</v>
      </c>
    </row>
    <row r="22" spans="1:3" s="39" customFormat="1" ht="12" customHeight="1" thickBot="1" x14ac:dyDescent="0.25">
      <c r="A22" s="200" t="s">
        <v>105</v>
      </c>
      <c r="B22" s="186" t="s">
        <v>190</v>
      </c>
      <c r="C22" s="102">
        <f>17520150+30768216</f>
        <v>48288366</v>
      </c>
    </row>
    <row r="23" spans="1:3" s="39" customFormat="1" ht="12" customHeight="1" thickBot="1" x14ac:dyDescent="0.25">
      <c r="A23" s="25" t="s">
        <v>18</v>
      </c>
      <c r="B23" s="18" t="s">
        <v>191</v>
      </c>
      <c r="C23" s="267">
        <f>+C24+C25+C26+C27+C28</f>
        <v>1799879173</v>
      </c>
    </row>
    <row r="24" spans="1:3" s="39" customFormat="1" ht="12" customHeight="1" x14ac:dyDescent="0.2">
      <c r="A24" s="198" t="s">
        <v>75</v>
      </c>
      <c r="B24" s="184" t="s">
        <v>192</v>
      </c>
      <c r="C24" s="1182">
        <f>1205000000+13500100+554000000</f>
        <v>1772500100</v>
      </c>
    </row>
    <row r="25" spans="1:3" s="38" customFormat="1" ht="12" customHeight="1" x14ac:dyDescent="0.2">
      <c r="A25" s="199" t="s">
        <v>76</v>
      </c>
      <c r="B25" s="185" t="s">
        <v>193</v>
      </c>
      <c r="C25" s="864"/>
    </row>
    <row r="26" spans="1:3" s="39" customFormat="1" ht="12" customHeight="1" x14ac:dyDescent="0.2">
      <c r="A26" s="199" t="s">
        <v>77</v>
      </c>
      <c r="B26" s="185" t="s">
        <v>356</v>
      </c>
      <c r="C26" s="864"/>
    </row>
    <row r="27" spans="1:3" s="39" customFormat="1" ht="12" customHeight="1" x14ac:dyDescent="0.2">
      <c r="A27" s="199" t="s">
        <v>78</v>
      </c>
      <c r="B27" s="185" t="s">
        <v>357</v>
      </c>
      <c r="C27" s="864"/>
    </row>
    <row r="28" spans="1:3" s="39" customFormat="1" ht="12" customHeight="1" x14ac:dyDescent="0.2">
      <c r="A28" s="199" t="s">
        <v>123</v>
      </c>
      <c r="B28" s="185" t="s">
        <v>194</v>
      </c>
      <c r="C28" s="864">
        <v>27379073</v>
      </c>
    </row>
    <row r="29" spans="1:3" s="39" customFormat="1" ht="12" customHeight="1" thickBot="1" x14ac:dyDescent="0.25">
      <c r="A29" s="200" t="s">
        <v>124</v>
      </c>
      <c r="B29" s="186" t="s">
        <v>195</v>
      </c>
      <c r="C29" s="865">
        <f>21590900+1499571+3482179+806423</f>
        <v>27379073</v>
      </c>
    </row>
    <row r="30" spans="1:3" s="39" customFormat="1" ht="12" customHeight="1" thickBot="1" x14ac:dyDescent="0.25">
      <c r="A30" s="25" t="s">
        <v>125</v>
      </c>
      <c r="B30" s="18" t="s">
        <v>196</v>
      </c>
      <c r="C30" s="270">
        <f>+C31+C35+C36</f>
        <v>398600000</v>
      </c>
    </row>
    <row r="31" spans="1:3" s="39" customFormat="1" ht="12" customHeight="1" x14ac:dyDescent="0.2">
      <c r="A31" s="198" t="s">
        <v>197</v>
      </c>
      <c r="B31" s="184" t="s">
        <v>579</v>
      </c>
      <c r="C31" s="284">
        <f>SUM(C32:C33)</f>
        <v>385080000</v>
      </c>
    </row>
    <row r="32" spans="1:3" s="39" customFormat="1" ht="12" customHeight="1" x14ac:dyDescent="0.2">
      <c r="A32" s="199" t="s">
        <v>198</v>
      </c>
      <c r="B32" s="185" t="s">
        <v>203</v>
      </c>
      <c r="C32" s="101">
        <f>82000000+6280000</f>
        <v>88280000</v>
      </c>
    </row>
    <row r="33" spans="1:3" s="39" customFormat="1" ht="12" customHeight="1" x14ac:dyDescent="0.2">
      <c r="A33" s="199" t="s">
        <v>199</v>
      </c>
      <c r="B33" s="242" t="s">
        <v>578</v>
      </c>
      <c r="C33" s="101">
        <f>296800000</f>
        <v>296800000</v>
      </c>
    </row>
    <row r="34" spans="1:3" s="39" customFormat="1" ht="12" customHeight="1" x14ac:dyDescent="0.2">
      <c r="A34" s="199" t="s">
        <v>200</v>
      </c>
      <c r="B34" s="185" t="s">
        <v>479</v>
      </c>
      <c r="C34" s="864"/>
    </row>
    <row r="35" spans="1:3" s="39" customFormat="1" ht="12" customHeight="1" x14ac:dyDescent="0.2">
      <c r="A35" s="199" t="s">
        <v>201</v>
      </c>
      <c r="B35" s="185" t="s">
        <v>205</v>
      </c>
      <c r="C35" s="101"/>
    </row>
    <row r="36" spans="1:3" s="39" customFormat="1" ht="12" customHeight="1" thickBot="1" x14ac:dyDescent="0.25">
      <c r="A36" s="200" t="s">
        <v>202</v>
      </c>
      <c r="B36" s="186" t="s">
        <v>206</v>
      </c>
      <c r="C36" s="865">
        <f>7000000+6520000</f>
        <v>13520000</v>
      </c>
    </row>
    <row r="37" spans="1:3" s="39" customFormat="1" ht="12" customHeight="1" thickBot="1" x14ac:dyDescent="0.25">
      <c r="A37" s="25" t="s">
        <v>20</v>
      </c>
      <c r="B37" s="18" t="s">
        <v>396</v>
      </c>
      <c r="C37" s="267">
        <f>SUM(C38:C48)</f>
        <v>43098366</v>
      </c>
    </row>
    <row r="38" spans="1:3" s="39" customFormat="1" ht="12" customHeight="1" x14ac:dyDescent="0.2">
      <c r="A38" s="198" t="s">
        <v>79</v>
      </c>
      <c r="B38" s="184" t="s">
        <v>209</v>
      </c>
      <c r="C38" s="866"/>
    </row>
    <row r="39" spans="1:3" s="39" customFormat="1" ht="12" customHeight="1" x14ac:dyDescent="0.2">
      <c r="A39" s="199" t="s">
        <v>80</v>
      </c>
      <c r="B39" s="185" t="s">
        <v>210</v>
      </c>
      <c r="C39" s="864">
        <v>15786984</v>
      </c>
    </row>
    <row r="40" spans="1:3" s="39" customFormat="1" ht="12" customHeight="1" x14ac:dyDescent="0.2">
      <c r="A40" s="199" t="s">
        <v>81</v>
      </c>
      <c r="B40" s="185" t="s">
        <v>211</v>
      </c>
      <c r="C40" s="864">
        <f>9686744+176300</f>
        <v>9863044</v>
      </c>
    </row>
    <row r="41" spans="1:3" s="39" customFormat="1" ht="12" customHeight="1" x14ac:dyDescent="0.2">
      <c r="A41" s="199" t="s">
        <v>127</v>
      </c>
      <c r="B41" s="185" t="s">
        <v>212</v>
      </c>
      <c r="C41" s="864">
        <f>3743473+3078700</f>
        <v>6822173</v>
      </c>
    </row>
    <row r="42" spans="1:3" s="39" customFormat="1" ht="12" customHeight="1" x14ac:dyDescent="0.2">
      <c r="A42" s="199" t="s">
        <v>128</v>
      </c>
      <c r="B42" s="185" t="s">
        <v>213</v>
      </c>
      <c r="C42" s="864"/>
    </row>
    <row r="43" spans="1:3" s="39" customFormat="1" ht="12" customHeight="1" x14ac:dyDescent="0.2">
      <c r="A43" s="199" t="s">
        <v>129</v>
      </c>
      <c r="B43" s="185" t="s">
        <v>214</v>
      </c>
      <c r="C43" s="864">
        <f>8159787+47601</f>
        <v>8207388</v>
      </c>
    </row>
    <row r="44" spans="1:3" s="39" customFormat="1" ht="12" customHeight="1" x14ac:dyDescent="0.2">
      <c r="A44" s="199" t="s">
        <v>130</v>
      </c>
      <c r="B44" s="185" t="s">
        <v>215</v>
      </c>
      <c r="C44" s="864"/>
    </row>
    <row r="45" spans="1:3" s="39" customFormat="1" ht="12" customHeight="1" x14ac:dyDescent="0.2">
      <c r="A45" s="199" t="s">
        <v>131</v>
      </c>
      <c r="B45" s="185" t="s">
        <v>216</v>
      </c>
      <c r="C45" s="864"/>
    </row>
    <row r="46" spans="1:3" s="39" customFormat="1" ht="12" customHeight="1" x14ac:dyDescent="0.2">
      <c r="A46" s="199" t="s">
        <v>207</v>
      </c>
      <c r="B46" s="185" t="s">
        <v>217</v>
      </c>
      <c r="C46" s="864"/>
    </row>
    <row r="47" spans="1:3" s="39" customFormat="1" ht="12" customHeight="1" x14ac:dyDescent="0.2">
      <c r="A47" s="200" t="s">
        <v>208</v>
      </c>
      <c r="B47" s="186" t="s">
        <v>397</v>
      </c>
      <c r="C47" s="865">
        <v>1000000</v>
      </c>
    </row>
    <row r="48" spans="1:3" s="39" customFormat="1" ht="12" customHeight="1" thickBot="1" x14ac:dyDescent="0.25">
      <c r="A48" s="200" t="s">
        <v>398</v>
      </c>
      <c r="B48" s="186" t="s">
        <v>218</v>
      </c>
      <c r="C48" s="865">
        <f>1414062+4715</f>
        <v>1418777</v>
      </c>
    </row>
    <row r="49" spans="1:3" s="39" customFormat="1" ht="12" customHeight="1" thickBot="1" x14ac:dyDescent="0.25">
      <c r="A49" s="25" t="s">
        <v>21</v>
      </c>
      <c r="B49" s="18" t="s">
        <v>219</v>
      </c>
      <c r="C49" s="267">
        <f>SUM(C50:C54)</f>
        <v>63000000</v>
      </c>
    </row>
    <row r="50" spans="1:3" s="39" customFormat="1" ht="12" customHeight="1" x14ac:dyDescent="0.2">
      <c r="A50" s="198" t="s">
        <v>82</v>
      </c>
      <c r="B50" s="184" t="s">
        <v>223</v>
      </c>
      <c r="C50" s="866"/>
    </row>
    <row r="51" spans="1:3" s="39" customFormat="1" ht="12" customHeight="1" x14ac:dyDescent="0.2">
      <c r="A51" s="199" t="s">
        <v>83</v>
      </c>
      <c r="B51" s="185" t="s">
        <v>224</v>
      </c>
      <c r="C51" s="864">
        <v>63000000</v>
      </c>
    </row>
    <row r="52" spans="1:3" s="39" customFormat="1" ht="12" customHeight="1" x14ac:dyDescent="0.2">
      <c r="A52" s="199" t="s">
        <v>220</v>
      </c>
      <c r="B52" s="185" t="s">
        <v>225</v>
      </c>
      <c r="C52" s="864"/>
    </row>
    <row r="53" spans="1:3" s="39" customFormat="1" ht="12" customHeight="1" x14ac:dyDescent="0.2">
      <c r="A53" s="199" t="s">
        <v>221</v>
      </c>
      <c r="B53" s="185" t="s">
        <v>226</v>
      </c>
      <c r="C53" s="864"/>
    </row>
    <row r="54" spans="1:3" s="39" customFormat="1" ht="12" customHeight="1" thickBot="1" x14ac:dyDescent="0.25">
      <c r="A54" s="200" t="s">
        <v>222</v>
      </c>
      <c r="B54" s="186" t="s">
        <v>227</v>
      </c>
      <c r="C54" s="865"/>
    </row>
    <row r="55" spans="1:3" s="39" customFormat="1" ht="12" customHeight="1" thickBot="1" x14ac:dyDescent="0.25">
      <c r="A55" s="25" t="s">
        <v>132</v>
      </c>
      <c r="B55" s="18" t="s">
        <v>228</v>
      </c>
      <c r="C55" s="267">
        <f>SUM(C56:C58)</f>
        <v>11000000</v>
      </c>
    </row>
    <row r="56" spans="1:3" s="39" customFormat="1" ht="12" customHeight="1" x14ac:dyDescent="0.2">
      <c r="A56" s="198" t="s">
        <v>84</v>
      </c>
      <c r="B56" s="184" t="s">
        <v>229</v>
      </c>
      <c r="C56" s="866">
        <v>1000000</v>
      </c>
    </row>
    <row r="57" spans="1:3" s="39" customFormat="1" ht="12" customHeight="1" x14ac:dyDescent="0.2">
      <c r="A57" s="199" t="s">
        <v>85</v>
      </c>
      <c r="B57" s="185" t="s">
        <v>358</v>
      </c>
      <c r="C57" s="864"/>
    </row>
    <row r="58" spans="1:3" s="39" customFormat="1" ht="12" customHeight="1" x14ac:dyDescent="0.2">
      <c r="A58" s="199" t="s">
        <v>232</v>
      </c>
      <c r="B58" s="185" t="s">
        <v>230</v>
      </c>
      <c r="C58" s="864">
        <f>1000000-1000000+10000000</f>
        <v>10000000</v>
      </c>
    </row>
    <row r="59" spans="1:3" s="39" customFormat="1" ht="12" customHeight="1" thickBot="1" x14ac:dyDescent="0.25">
      <c r="A59" s="200" t="s">
        <v>233</v>
      </c>
      <c r="B59" s="186" t="s">
        <v>231</v>
      </c>
      <c r="C59" s="102"/>
    </row>
    <row r="60" spans="1:3" s="39" customFormat="1" ht="12" customHeight="1" thickBot="1" x14ac:dyDescent="0.25">
      <c r="A60" s="25" t="s">
        <v>23</v>
      </c>
      <c r="B60" s="107" t="s">
        <v>234</v>
      </c>
      <c r="C60" s="267">
        <f>SUM(C61:C63)</f>
        <v>0</v>
      </c>
    </row>
    <row r="61" spans="1:3" s="39" customFormat="1" ht="12" customHeight="1" x14ac:dyDescent="0.2">
      <c r="A61" s="198" t="s">
        <v>133</v>
      </c>
      <c r="B61" s="184" t="s">
        <v>236</v>
      </c>
      <c r="C61" s="864"/>
    </row>
    <row r="62" spans="1:3" s="39" customFormat="1" ht="12" customHeight="1" x14ac:dyDescent="0.2">
      <c r="A62" s="199" t="s">
        <v>134</v>
      </c>
      <c r="B62" s="185" t="s">
        <v>359</v>
      </c>
      <c r="C62" s="864"/>
    </row>
    <row r="63" spans="1:3" s="39" customFormat="1" ht="12" customHeight="1" x14ac:dyDescent="0.2">
      <c r="A63" s="199" t="s">
        <v>160</v>
      </c>
      <c r="B63" s="185" t="s">
        <v>237</v>
      </c>
      <c r="C63" s="864"/>
    </row>
    <row r="64" spans="1:3" s="39" customFormat="1" ht="12" customHeight="1" thickBot="1" x14ac:dyDescent="0.25">
      <c r="A64" s="200" t="s">
        <v>235</v>
      </c>
      <c r="B64" s="186" t="s">
        <v>238</v>
      </c>
      <c r="C64" s="864"/>
    </row>
    <row r="65" spans="1:3" s="39" customFormat="1" ht="12" customHeight="1" thickBot="1" x14ac:dyDescent="0.25">
      <c r="A65" s="25" t="s">
        <v>24</v>
      </c>
      <c r="B65" s="18" t="s">
        <v>239</v>
      </c>
      <c r="C65" s="270">
        <f>+C7+C16+C23+C30+C37+C49+C55+C60</f>
        <v>3750054322</v>
      </c>
    </row>
    <row r="66" spans="1:3" s="39" customFormat="1" ht="12" customHeight="1" thickBot="1" x14ac:dyDescent="0.2">
      <c r="A66" s="201" t="s">
        <v>329</v>
      </c>
      <c r="B66" s="107" t="s">
        <v>241</v>
      </c>
      <c r="C66" s="267">
        <f>SUM(C67:C69)</f>
        <v>1035562529</v>
      </c>
    </row>
    <row r="67" spans="1:3" s="39" customFormat="1" ht="12" customHeight="1" x14ac:dyDescent="0.2">
      <c r="A67" s="198" t="s">
        <v>272</v>
      </c>
      <c r="B67" s="184" t="s">
        <v>242</v>
      </c>
      <c r="C67" s="864">
        <f>11503705+7058824+167000000</f>
        <v>185562529</v>
      </c>
    </row>
    <row r="68" spans="1:3" s="39" customFormat="1" ht="12" customHeight="1" x14ac:dyDescent="0.2">
      <c r="A68" s="199" t="s">
        <v>281</v>
      </c>
      <c r="B68" s="185" t="s">
        <v>243</v>
      </c>
      <c r="C68" s="864">
        <v>850000000</v>
      </c>
    </row>
    <row r="69" spans="1:3" s="39" customFormat="1" ht="12" customHeight="1" thickBot="1" x14ac:dyDescent="0.25">
      <c r="A69" s="200" t="s">
        <v>282</v>
      </c>
      <c r="B69" s="187" t="s">
        <v>244</v>
      </c>
      <c r="C69" s="864"/>
    </row>
    <row r="70" spans="1:3" s="39" customFormat="1" ht="12" customHeight="1" thickBot="1" x14ac:dyDescent="0.2">
      <c r="A70" s="201" t="s">
        <v>245</v>
      </c>
      <c r="B70" s="107" t="s">
        <v>246</v>
      </c>
      <c r="C70" s="267">
        <f>SUM(C71:C74)</f>
        <v>0</v>
      </c>
    </row>
    <row r="71" spans="1:3" s="39" customFormat="1" ht="12" customHeight="1" x14ac:dyDescent="0.2">
      <c r="A71" s="198" t="s">
        <v>113</v>
      </c>
      <c r="B71" s="184" t="s">
        <v>247</v>
      </c>
      <c r="C71" s="864"/>
    </row>
    <row r="72" spans="1:3" s="39" customFormat="1" ht="12" customHeight="1" x14ac:dyDescent="0.2">
      <c r="A72" s="199" t="s">
        <v>114</v>
      </c>
      <c r="B72" s="185" t="s">
        <v>248</v>
      </c>
      <c r="C72" s="864"/>
    </row>
    <row r="73" spans="1:3" s="39" customFormat="1" ht="12" customHeight="1" x14ac:dyDescent="0.2">
      <c r="A73" s="199" t="s">
        <v>273</v>
      </c>
      <c r="B73" s="185" t="s">
        <v>249</v>
      </c>
      <c r="C73" s="864"/>
    </row>
    <row r="74" spans="1:3" s="39" customFormat="1" ht="12" customHeight="1" thickBot="1" x14ac:dyDescent="0.25">
      <c r="A74" s="200" t="s">
        <v>274</v>
      </c>
      <c r="B74" s="186" t="s">
        <v>250</v>
      </c>
      <c r="C74" s="864"/>
    </row>
    <row r="75" spans="1:3" s="39" customFormat="1" ht="12" customHeight="1" thickBot="1" x14ac:dyDescent="0.2">
      <c r="A75" s="201" t="s">
        <v>251</v>
      </c>
      <c r="B75" s="107" t="s">
        <v>252</v>
      </c>
      <c r="C75" s="267">
        <f>SUM(C76:C77)</f>
        <v>847491815</v>
      </c>
    </row>
    <row r="76" spans="1:3" s="39" customFormat="1" ht="12" customHeight="1" x14ac:dyDescent="0.2">
      <c r="A76" s="198" t="s">
        <v>275</v>
      </c>
      <c r="B76" s="184" t="s">
        <v>253</v>
      </c>
      <c r="C76" s="864">
        <v>847491815</v>
      </c>
    </row>
    <row r="77" spans="1:3" s="39" customFormat="1" ht="12" customHeight="1" thickBot="1" x14ac:dyDescent="0.25">
      <c r="A77" s="200" t="s">
        <v>276</v>
      </c>
      <c r="B77" s="186" t="s">
        <v>254</v>
      </c>
      <c r="C77" s="864"/>
    </row>
    <row r="78" spans="1:3" s="38" customFormat="1" ht="12" customHeight="1" thickBot="1" x14ac:dyDescent="0.2">
      <c r="A78" s="201" t="s">
        <v>255</v>
      </c>
      <c r="B78" s="107" t="s">
        <v>256</v>
      </c>
      <c r="C78" s="267">
        <f>SUM(C79:C81)</f>
        <v>48966750</v>
      </c>
    </row>
    <row r="79" spans="1:3" s="39" customFormat="1" ht="12" customHeight="1" x14ac:dyDescent="0.2">
      <c r="A79" s="198" t="s">
        <v>277</v>
      </c>
      <c r="B79" s="184" t="s">
        <v>257</v>
      </c>
      <c r="C79" s="864">
        <v>48966750</v>
      </c>
    </row>
    <row r="80" spans="1:3" s="39" customFormat="1" ht="12" customHeight="1" x14ac:dyDescent="0.2">
      <c r="A80" s="199" t="s">
        <v>278</v>
      </c>
      <c r="B80" s="185" t="s">
        <v>258</v>
      </c>
      <c r="C80" s="864"/>
    </row>
    <row r="81" spans="1:4" s="39" customFormat="1" ht="12" customHeight="1" thickBot="1" x14ac:dyDescent="0.25">
      <c r="A81" s="200" t="s">
        <v>279</v>
      </c>
      <c r="B81" s="186" t="s">
        <v>259</v>
      </c>
      <c r="C81" s="864"/>
    </row>
    <row r="82" spans="1:4" s="39" customFormat="1" ht="12" customHeight="1" thickBot="1" x14ac:dyDescent="0.2">
      <c r="A82" s="201" t="s">
        <v>260</v>
      </c>
      <c r="B82" s="107" t="s">
        <v>280</v>
      </c>
      <c r="C82" s="267">
        <f>SUM(C83:C86)</f>
        <v>0</v>
      </c>
    </row>
    <row r="83" spans="1:4" s="39" customFormat="1" ht="12" customHeight="1" x14ac:dyDescent="0.2">
      <c r="A83" s="202" t="s">
        <v>261</v>
      </c>
      <c r="B83" s="184" t="s">
        <v>262</v>
      </c>
      <c r="C83" s="864"/>
    </row>
    <row r="84" spans="1:4" s="39" customFormat="1" ht="12" customHeight="1" x14ac:dyDescent="0.2">
      <c r="A84" s="203" t="s">
        <v>263</v>
      </c>
      <c r="B84" s="185" t="s">
        <v>264</v>
      </c>
      <c r="C84" s="864"/>
    </row>
    <row r="85" spans="1:4" s="39" customFormat="1" ht="12" customHeight="1" x14ac:dyDescent="0.2">
      <c r="A85" s="203" t="s">
        <v>265</v>
      </c>
      <c r="B85" s="185" t="s">
        <v>266</v>
      </c>
      <c r="C85" s="864"/>
    </row>
    <row r="86" spans="1:4" s="38" customFormat="1" ht="12" customHeight="1" thickBot="1" x14ac:dyDescent="0.25">
      <c r="A86" s="204" t="s">
        <v>267</v>
      </c>
      <c r="B86" s="186" t="s">
        <v>268</v>
      </c>
      <c r="C86" s="864"/>
    </row>
    <row r="87" spans="1:4" s="38" customFormat="1" ht="12" customHeight="1" thickBot="1" x14ac:dyDescent="0.2">
      <c r="A87" s="201" t="s">
        <v>269</v>
      </c>
      <c r="B87" s="107" t="s">
        <v>401</v>
      </c>
      <c r="C87" s="272"/>
    </row>
    <row r="88" spans="1:4" s="38" customFormat="1" ht="12" customHeight="1" thickBot="1" x14ac:dyDescent="0.2">
      <c r="A88" s="201" t="s">
        <v>453</v>
      </c>
      <c r="B88" s="107" t="s">
        <v>270</v>
      </c>
      <c r="C88" s="272"/>
    </row>
    <row r="89" spans="1:4" s="38" customFormat="1" ht="12" customHeight="1" thickBot="1" x14ac:dyDescent="0.2">
      <c r="A89" s="201" t="s">
        <v>454</v>
      </c>
      <c r="B89" s="191" t="s">
        <v>402</v>
      </c>
      <c r="C89" s="270">
        <f>+C66+C70+C75+C78+C82+C88+C87</f>
        <v>1932021094</v>
      </c>
    </row>
    <row r="90" spans="1:4" s="38" customFormat="1" ht="12" customHeight="1" thickBot="1" x14ac:dyDescent="0.2">
      <c r="A90" s="205" t="s">
        <v>455</v>
      </c>
      <c r="B90" s="192" t="s">
        <v>456</v>
      </c>
      <c r="C90" s="270">
        <f>+C65+C89</f>
        <v>5682075416</v>
      </c>
      <c r="D90" s="33"/>
    </row>
    <row r="91" spans="1:4" s="32" customFormat="1" ht="16.5" customHeight="1" thickBot="1" x14ac:dyDescent="0.25">
      <c r="A91" s="1479" t="s">
        <v>53</v>
      </c>
      <c r="B91" s="1480"/>
      <c r="C91" s="1481"/>
    </row>
    <row r="92" spans="1:4" s="772" customFormat="1" ht="12" customHeight="1" thickBot="1" x14ac:dyDescent="0.25">
      <c r="A92" s="176" t="s">
        <v>16</v>
      </c>
      <c r="B92" s="23" t="s">
        <v>466</v>
      </c>
      <c r="C92" s="275">
        <f>+C93+C94+C95+C96+C97+C110</f>
        <v>920512963</v>
      </c>
    </row>
    <row r="93" spans="1:4" ht="12" customHeight="1" x14ac:dyDescent="0.2">
      <c r="A93" s="206" t="s">
        <v>86</v>
      </c>
      <c r="B93" s="7" t="s">
        <v>46</v>
      </c>
      <c r="C93" s="1424">
        <f>44363489+894000+576417+2264502</f>
        <v>48098408</v>
      </c>
    </row>
    <row r="94" spans="1:4" ht="12" customHeight="1" x14ac:dyDescent="0.2">
      <c r="A94" s="199" t="s">
        <v>87</v>
      </c>
      <c r="B94" s="5" t="s">
        <v>135</v>
      </c>
      <c r="C94" s="1177">
        <f>6548579+147963+65298+350998</f>
        <v>7112838</v>
      </c>
    </row>
    <row r="95" spans="1:4" ht="12" customHeight="1" x14ac:dyDescent="0.2">
      <c r="A95" s="199" t="s">
        <v>88</v>
      </c>
      <c r="B95" s="5" t="s">
        <v>111</v>
      </c>
      <c r="C95" s="1178">
        <f>317246579+107725+1951101+134755109+1223520+18944478+17936098</f>
        <v>492164610</v>
      </c>
    </row>
    <row r="96" spans="1:4" ht="12" customHeight="1" x14ac:dyDescent="0.2">
      <c r="A96" s="199" t="s">
        <v>89</v>
      </c>
      <c r="B96" s="8" t="s">
        <v>136</v>
      </c>
      <c r="C96" s="1178">
        <f>56500000-3000000</f>
        <v>53500000</v>
      </c>
    </row>
    <row r="97" spans="1:3" ht="12" customHeight="1" x14ac:dyDescent="0.2">
      <c r="A97" s="199" t="s">
        <v>100</v>
      </c>
      <c r="B97" s="16" t="s">
        <v>137</v>
      </c>
      <c r="C97" s="865">
        <f>SUM(C98:C109)</f>
        <v>234548514</v>
      </c>
    </row>
    <row r="98" spans="1:3" ht="12" customHeight="1" x14ac:dyDescent="0.2">
      <c r="A98" s="199" t="s">
        <v>90</v>
      </c>
      <c r="B98" s="5" t="s">
        <v>457</v>
      </c>
      <c r="C98" s="865">
        <f>140000+15636933+1466064</f>
        <v>17242997</v>
      </c>
    </row>
    <row r="99" spans="1:3" ht="12" customHeight="1" x14ac:dyDescent="0.2">
      <c r="A99" s="199" t="s">
        <v>91</v>
      </c>
      <c r="B99" s="58" t="s">
        <v>406</v>
      </c>
      <c r="C99" s="865"/>
    </row>
    <row r="100" spans="1:3" ht="12" customHeight="1" x14ac:dyDescent="0.2">
      <c r="A100" s="199" t="s">
        <v>101</v>
      </c>
      <c r="B100" s="58" t="s">
        <v>407</v>
      </c>
      <c r="C100" s="865">
        <f>24566831</f>
        <v>24566831</v>
      </c>
    </row>
    <row r="101" spans="1:3" ht="12" customHeight="1" x14ac:dyDescent="0.2">
      <c r="A101" s="199" t="s">
        <v>102</v>
      </c>
      <c r="B101" s="58" t="s">
        <v>286</v>
      </c>
      <c r="C101" s="865"/>
    </row>
    <row r="102" spans="1:3" ht="12" customHeight="1" x14ac:dyDescent="0.2">
      <c r="A102" s="199" t="s">
        <v>103</v>
      </c>
      <c r="B102" s="59" t="s">
        <v>287</v>
      </c>
      <c r="C102" s="865"/>
    </row>
    <row r="103" spans="1:3" ht="12" customHeight="1" x14ac:dyDescent="0.2">
      <c r="A103" s="199" t="s">
        <v>104</v>
      </c>
      <c r="B103" s="59" t="s">
        <v>288</v>
      </c>
      <c r="C103" s="865"/>
    </row>
    <row r="104" spans="1:3" ht="12" customHeight="1" x14ac:dyDescent="0.2">
      <c r="A104" s="199" t="s">
        <v>106</v>
      </c>
      <c r="B104" s="58" t="s">
        <v>289</v>
      </c>
      <c r="C104" s="865">
        <v>636000</v>
      </c>
    </row>
    <row r="105" spans="1:3" ht="12" customHeight="1" x14ac:dyDescent="0.2">
      <c r="A105" s="199" t="s">
        <v>138</v>
      </c>
      <c r="B105" s="58" t="s">
        <v>290</v>
      </c>
      <c r="C105" s="510"/>
    </row>
    <row r="106" spans="1:3" ht="12" customHeight="1" x14ac:dyDescent="0.2">
      <c r="A106" s="199" t="s">
        <v>284</v>
      </c>
      <c r="B106" s="59" t="s">
        <v>291</v>
      </c>
      <c r="C106" s="865"/>
    </row>
    <row r="107" spans="1:3" ht="12" customHeight="1" x14ac:dyDescent="0.2">
      <c r="A107" s="207" t="s">
        <v>285</v>
      </c>
      <c r="B107" s="60" t="s">
        <v>292</v>
      </c>
      <c r="C107" s="865"/>
    </row>
    <row r="108" spans="1:3" ht="12" customHeight="1" x14ac:dyDescent="0.2">
      <c r="A108" s="199" t="s">
        <v>408</v>
      </c>
      <c r="B108" s="60" t="s">
        <v>293</v>
      </c>
      <c r="C108" s="865"/>
    </row>
    <row r="109" spans="1:3" ht="12" customHeight="1" x14ac:dyDescent="0.2">
      <c r="A109" s="199" t="s">
        <v>409</v>
      </c>
      <c r="B109" s="59" t="s">
        <v>294</v>
      </c>
      <c r="C109" s="864">
        <f>165591867+14963117-2244235+10664415+690537+2436985</f>
        <v>192102686</v>
      </c>
    </row>
    <row r="110" spans="1:3" ht="12" customHeight="1" x14ac:dyDescent="0.2">
      <c r="A110" s="199" t="s">
        <v>410</v>
      </c>
      <c r="B110" s="8" t="s">
        <v>47</v>
      </c>
      <c r="C110" s="864">
        <f>SUM(C111:C112)</f>
        <v>85088593</v>
      </c>
    </row>
    <row r="111" spans="1:3" ht="12" customHeight="1" x14ac:dyDescent="0.2">
      <c r="A111" s="200" t="s">
        <v>411</v>
      </c>
      <c r="B111" s="5" t="s">
        <v>458</v>
      </c>
      <c r="C111" s="1178">
        <f>10000000-8622933+2854876-254000-1666257+13433386-939589-2276958-8283760</f>
        <v>4244765</v>
      </c>
    </row>
    <row r="112" spans="1:3" ht="12" customHeight="1" thickBot="1" x14ac:dyDescent="0.25">
      <c r="A112" s="208" t="s">
        <v>413</v>
      </c>
      <c r="B112" s="61" t="s">
        <v>459</v>
      </c>
      <c r="C112" s="286">
        <f>99315612+4715+7058824-10000000-346499-540000-13770424-160000-718400</f>
        <v>80843828</v>
      </c>
    </row>
    <row r="113" spans="1:4" ht="12" customHeight="1" thickBot="1" x14ac:dyDescent="0.25">
      <c r="A113" s="25" t="s">
        <v>17</v>
      </c>
      <c r="B113" s="22" t="s">
        <v>295</v>
      </c>
      <c r="C113" s="267">
        <f>+C114+C116+C118</f>
        <v>2607636028</v>
      </c>
    </row>
    <row r="114" spans="1:4" ht="12" customHeight="1" x14ac:dyDescent="0.2">
      <c r="A114" s="198" t="s">
        <v>92</v>
      </c>
      <c r="B114" s="5" t="s">
        <v>159</v>
      </c>
      <c r="C114" s="1182">
        <f>438159730+254000+2425-141638515+16314150+163950980+239048622</f>
        <v>716091392</v>
      </c>
    </row>
    <row r="115" spans="1:4" ht="12" customHeight="1" x14ac:dyDescent="0.2">
      <c r="A115" s="198" t="s">
        <v>93</v>
      </c>
      <c r="B115" s="9" t="s">
        <v>299</v>
      </c>
      <c r="C115" s="866">
        <f>401925076+2425-142138515+401550-1049020</f>
        <v>259141516</v>
      </c>
    </row>
    <row r="116" spans="1:4" ht="12" customHeight="1" x14ac:dyDescent="0.2">
      <c r="A116" s="198" t="s">
        <v>94</v>
      </c>
      <c r="B116" s="9" t="s">
        <v>139</v>
      </c>
      <c r="C116" s="1177">
        <f>357345208+537576+1243527941-11598175+295820280</f>
        <v>1885632830</v>
      </c>
    </row>
    <row r="117" spans="1:4" ht="12" customHeight="1" x14ac:dyDescent="0.2">
      <c r="A117" s="198" t="s">
        <v>95</v>
      </c>
      <c r="B117" s="9" t="s">
        <v>300</v>
      </c>
      <c r="C117" s="864">
        <f>80032238+2424+210655116-2424+101702816-1688230</f>
        <v>390701940</v>
      </c>
    </row>
    <row r="118" spans="1:4" ht="12" customHeight="1" x14ac:dyDescent="0.2">
      <c r="A118" s="198" t="s">
        <v>96</v>
      </c>
      <c r="B118" s="109" t="s">
        <v>161</v>
      </c>
      <c r="C118" s="865">
        <f>SUM(C119:C126)</f>
        <v>5911806</v>
      </c>
    </row>
    <row r="119" spans="1:4" ht="12" customHeight="1" x14ac:dyDescent="0.2">
      <c r="A119" s="198" t="s">
        <v>105</v>
      </c>
      <c r="B119" s="108" t="s">
        <v>360</v>
      </c>
      <c r="C119" s="101"/>
    </row>
    <row r="120" spans="1:4" ht="12" customHeight="1" x14ac:dyDescent="0.2">
      <c r="A120" s="198" t="s">
        <v>107</v>
      </c>
      <c r="B120" s="180" t="s">
        <v>305</v>
      </c>
      <c r="C120" s="101"/>
    </row>
    <row r="121" spans="1:4" ht="12" customHeight="1" x14ac:dyDescent="0.2">
      <c r="A121" s="198" t="s">
        <v>140</v>
      </c>
      <c r="B121" s="59" t="s">
        <v>288</v>
      </c>
      <c r="C121" s="101"/>
    </row>
    <row r="122" spans="1:4" ht="12" customHeight="1" x14ac:dyDescent="0.2">
      <c r="A122" s="198" t="s">
        <v>141</v>
      </c>
      <c r="B122" s="59" t="s">
        <v>304</v>
      </c>
      <c r="C122" s="101"/>
    </row>
    <row r="123" spans="1:4" ht="12" customHeight="1" x14ac:dyDescent="0.2">
      <c r="A123" s="198" t="s">
        <v>142</v>
      </c>
      <c r="B123" s="59" t="s">
        <v>303</v>
      </c>
      <c r="C123" s="101"/>
    </row>
    <row r="124" spans="1:4" ht="12" customHeight="1" x14ac:dyDescent="0.2">
      <c r="A124" s="198" t="s">
        <v>296</v>
      </c>
      <c r="B124" s="59" t="s">
        <v>291</v>
      </c>
      <c r="C124" s="101"/>
    </row>
    <row r="125" spans="1:4" ht="12" customHeight="1" x14ac:dyDescent="0.2">
      <c r="A125" s="198" t="s">
        <v>297</v>
      </c>
      <c r="B125" s="59" t="s">
        <v>302</v>
      </c>
      <c r="C125" s="101"/>
    </row>
    <row r="126" spans="1:4" ht="12" customHeight="1" thickBot="1" x14ac:dyDescent="0.25">
      <c r="A126" s="207" t="s">
        <v>298</v>
      </c>
      <c r="B126" s="59" t="s">
        <v>301</v>
      </c>
      <c r="C126" s="102">
        <v>5911806</v>
      </c>
    </row>
    <row r="127" spans="1:4" ht="12" customHeight="1" thickBot="1" x14ac:dyDescent="0.25">
      <c r="A127" s="25" t="s">
        <v>18</v>
      </c>
      <c r="B127" s="54" t="s">
        <v>415</v>
      </c>
      <c r="C127" s="267">
        <f>+C92+C113</f>
        <v>3528148991</v>
      </c>
      <c r="D127" s="260"/>
    </row>
    <row r="128" spans="1:4" ht="12" customHeight="1" thickBot="1" x14ac:dyDescent="0.25">
      <c r="A128" s="25" t="s">
        <v>19</v>
      </c>
      <c r="B128" s="54" t="s">
        <v>416</v>
      </c>
      <c r="C128" s="267">
        <f>+C129+C130+C131</f>
        <v>873325747</v>
      </c>
    </row>
    <row r="129" spans="1:9" s="772" customFormat="1" ht="12" customHeight="1" x14ac:dyDescent="0.2">
      <c r="A129" s="198" t="s">
        <v>197</v>
      </c>
      <c r="B129" s="6" t="s">
        <v>460</v>
      </c>
      <c r="C129" s="864">
        <v>23325747</v>
      </c>
    </row>
    <row r="130" spans="1:9" ht="12" customHeight="1" x14ac:dyDescent="0.2">
      <c r="A130" s="198" t="s">
        <v>200</v>
      </c>
      <c r="B130" s="6" t="s">
        <v>418</v>
      </c>
      <c r="C130" s="101">
        <v>850000000</v>
      </c>
    </row>
    <row r="131" spans="1:9" ht="12" customHeight="1" thickBot="1" x14ac:dyDescent="0.25">
      <c r="A131" s="207" t="s">
        <v>201</v>
      </c>
      <c r="B131" s="4" t="s">
        <v>461</v>
      </c>
      <c r="C131" s="101"/>
    </row>
    <row r="132" spans="1:9" ht="12" customHeight="1" thickBot="1" x14ac:dyDescent="0.25">
      <c r="A132" s="25" t="s">
        <v>20</v>
      </c>
      <c r="B132" s="54" t="s">
        <v>420</v>
      </c>
      <c r="C132" s="267">
        <f>+C133+C134+C135+C136+C137+C138</f>
        <v>0</v>
      </c>
    </row>
    <row r="133" spans="1:9" ht="12" customHeight="1" x14ac:dyDescent="0.2">
      <c r="A133" s="198" t="s">
        <v>79</v>
      </c>
      <c r="B133" s="6" t="s">
        <v>421</v>
      </c>
      <c r="C133" s="101"/>
    </row>
    <row r="134" spans="1:9" ht="12" customHeight="1" x14ac:dyDescent="0.2">
      <c r="A134" s="198" t="s">
        <v>80</v>
      </c>
      <c r="B134" s="6" t="s">
        <v>422</v>
      </c>
      <c r="C134" s="101"/>
    </row>
    <row r="135" spans="1:9" ht="12" customHeight="1" x14ac:dyDescent="0.2">
      <c r="A135" s="198" t="s">
        <v>81</v>
      </c>
      <c r="B135" s="6" t="s">
        <v>423</v>
      </c>
      <c r="C135" s="101"/>
    </row>
    <row r="136" spans="1:9" ht="12" customHeight="1" x14ac:dyDescent="0.2">
      <c r="A136" s="198" t="s">
        <v>127</v>
      </c>
      <c r="B136" s="6" t="s">
        <v>462</v>
      </c>
      <c r="C136" s="101"/>
    </row>
    <row r="137" spans="1:9" ht="12" customHeight="1" x14ac:dyDescent="0.2">
      <c r="A137" s="198" t="s">
        <v>128</v>
      </c>
      <c r="B137" s="6" t="s">
        <v>425</v>
      </c>
      <c r="C137" s="101"/>
    </row>
    <row r="138" spans="1:9" s="772" customFormat="1" ht="12" customHeight="1" thickBot="1" x14ac:dyDescent="0.25">
      <c r="A138" s="207" t="s">
        <v>129</v>
      </c>
      <c r="B138" s="4" t="s">
        <v>426</v>
      </c>
      <c r="C138" s="101"/>
    </row>
    <row r="139" spans="1:9" ht="12" customHeight="1" thickBot="1" x14ac:dyDescent="0.25">
      <c r="A139" s="25" t="s">
        <v>21</v>
      </c>
      <c r="B139" s="54" t="s">
        <v>463</v>
      </c>
      <c r="C139" s="270">
        <f>+C140+C141+C142+C143</f>
        <v>48966750</v>
      </c>
      <c r="I139" s="100"/>
    </row>
    <row r="140" spans="1:9" x14ac:dyDescent="0.2">
      <c r="A140" s="198" t="s">
        <v>82</v>
      </c>
      <c r="B140" s="6" t="s">
        <v>306</v>
      </c>
      <c r="C140" s="101"/>
    </row>
    <row r="141" spans="1:9" ht="12" customHeight="1" x14ac:dyDescent="0.2">
      <c r="A141" s="198" t="s">
        <v>83</v>
      </c>
      <c r="B141" s="6" t="s">
        <v>307</v>
      </c>
      <c r="C141" s="101">
        <v>48966750</v>
      </c>
    </row>
    <row r="142" spans="1:9" s="772" customFormat="1" ht="12" customHeight="1" x14ac:dyDescent="0.2">
      <c r="A142" s="198" t="s">
        <v>220</v>
      </c>
      <c r="B142" s="6" t="s">
        <v>428</v>
      </c>
      <c r="C142" s="101"/>
    </row>
    <row r="143" spans="1:9" s="772" customFormat="1" ht="12" customHeight="1" thickBot="1" x14ac:dyDescent="0.25">
      <c r="A143" s="207" t="s">
        <v>221</v>
      </c>
      <c r="B143" s="4" t="s">
        <v>325</v>
      </c>
      <c r="C143" s="101"/>
    </row>
    <row r="144" spans="1:9" s="772" customFormat="1" ht="12" customHeight="1" thickBot="1" x14ac:dyDescent="0.25">
      <c r="A144" s="25" t="s">
        <v>22</v>
      </c>
      <c r="B144" s="54" t="s">
        <v>429</v>
      </c>
      <c r="C144" s="277">
        <f>+C145+C146+C147+C148+C149</f>
        <v>0</v>
      </c>
    </row>
    <row r="145" spans="1:4" s="772" customFormat="1" ht="12" customHeight="1" x14ac:dyDescent="0.2">
      <c r="A145" s="198" t="s">
        <v>84</v>
      </c>
      <c r="B145" s="6" t="s">
        <v>430</v>
      </c>
      <c r="C145" s="101"/>
    </row>
    <row r="146" spans="1:4" s="772" customFormat="1" ht="12" customHeight="1" x14ac:dyDescent="0.2">
      <c r="A146" s="198" t="s">
        <v>85</v>
      </c>
      <c r="B146" s="6" t="s">
        <v>431</v>
      </c>
      <c r="C146" s="101"/>
    </row>
    <row r="147" spans="1:4" s="772" customFormat="1" ht="12" customHeight="1" x14ac:dyDescent="0.2">
      <c r="A147" s="198" t="s">
        <v>232</v>
      </c>
      <c r="B147" s="6" t="s">
        <v>432</v>
      </c>
      <c r="C147" s="101"/>
    </row>
    <row r="148" spans="1:4" ht="12.75" customHeight="1" x14ac:dyDescent="0.2">
      <c r="A148" s="198" t="s">
        <v>233</v>
      </c>
      <c r="B148" s="6" t="s">
        <v>464</v>
      </c>
      <c r="C148" s="101"/>
    </row>
    <row r="149" spans="1:4" ht="12.75" customHeight="1" thickBot="1" x14ac:dyDescent="0.25">
      <c r="A149" s="207" t="s">
        <v>434</v>
      </c>
      <c r="B149" s="4" t="s">
        <v>435</v>
      </c>
      <c r="C149" s="102"/>
    </row>
    <row r="150" spans="1:4" ht="12.75" customHeight="1" thickBot="1" x14ac:dyDescent="0.25">
      <c r="A150" s="254" t="s">
        <v>23</v>
      </c>
      <c r="B150" s="54" t="s">
        <v>436</v>
      </c>
      <c r="C150" s="277"/>
    </row>
    <row r="151" spans="1:4" ht="12" customHeight="1" thickBot="1" x14ac:dyDescent="0.25">
      <c r="A151" s="254" t="s">
        <v>24</v>
      </c>
      <c r="B151" s="54" t="s">
        <v>437</v>
      </c>
      <c r="C151" s="277"/>
    </row>
    <row r="152" spans="1:4" ht="15" customHeight="1" thickBot="1" x14ac:dyDescent="0.25">
      <c r="A152" s="25" t="s">
        <v>25</v>
      </c>
      <c r="B152" s="54" t="s">
        <v>438</v>
      </c>
      <c r="C152" s="278">
        <f>+C128+C132+C139+C144+C150+C151</f>
        <v>922292497</v>
      </c>
    </row>
    <row r="153" spans="1:4" ht="13.5" thickBot="1" x14ac:dyDescent="0.25">
      <c r="A153" s="209" t="s">
        <v>26</v>
      </c>
      <c r="B153" s="169" t="s">
        <v>439</v>
      </c>
      <c r="C153" s="278">
        <f>+C127+C152</f>
        <v>4450441488</v>
      </c>
      <c r="D153" s="770"/>
    </row>
    <row r="154" spans="1:4" ht="14.25" customHeight="1" thickBot="1" x14ac:dyDescent="0.25">
      <c r="A154" s="97" t="s">
        <v>465</v>
      </c>
      <c r="B154" s="98"/>
      <c r="C154" s="1338">
        <f>5+0.4166666666666</f>
        <v>5.4166666666666003</v>
      </c>
    </row>
  </sheetData>
  <sheetProtection formatCells="0"/>
  <mergeCells count="3">
    <mergeCell ref="A1:C1"/>
    <mergeCell ref="A91:C91"/>
    <mergeCell ref="A3:C3"/>
  </mergeCells>
  <printOptions horizontalCentered="1"/>
  <pageMargins left="0.7" right="0.7" top="0.75" bottom="0.75" header="0.3" footer="0.3"/>
  <pageSetup paperSize="9" scale="82" fitToHeight="0" orientation="portrait" r:id="rId1"/>
  <headerFooter alignWithMargins="0"/>
  <rowBreaks count="2" manualBreakCount="2">
    <brk id="65" max="2" man="1"/>
    <brk id="90" max="16383" man="1"/>
  </rowBreak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3"/>
  <dimension ref="A1:K156"/>
  <sheetViews>
    <sheetView zoomScale="115" zoomScaleNormal="115" zoomScaleSheetLayoutView="85" workbookViewId="0">
      <selection activeCell="A2" sqref="A2"/>
    </sheetView>
  </sheetViews>
  <sheetFormatPr defaultRowHeight="12.75" x14ac:dyDescent="0.2"/>
  <cols>
    <col min="1" max="1" width="19.5" style="347" customWidth="1"/>
    <col min="2" max="2" width="72" style="348" customWidth="1"/>
    <col min="3" max="3" width="25" style="349" customWidth="1"/>
    <col min="4" max="4" width="13.33203125" style="768" customWidth="1"/>
    <col min="5" max="5" width="16.1640625" style="768" customWidth="1"/>
    <col min="6" max="16384" width="9.33203125" style="768"/>
  </cols>
  <sheetData>
    <row r="1" spans="1:5" x14ac:dyDescent="0.2">
      <c r="A1" s="1476" t="str">
        <f>CONCATENATE("12. melléklet"," ",ALAPADATOK!A7," ",ALAPADATOK!B7," ",ALAPADATOK!C7," ",ALAPADATOK!D7," ",ALAPADATOK!E7," ",ALAPADATOK!F7," ",ALAPADATOK!G7," ",ALAPADATOK!H7)</f>
        <v>12. melléklet a 19 / 2021. ( XI.29. ) önkormányzati rendelethez</v>
      </c>
      <c r="B1" s="1476"/>
      <c r="C1" s="1476"/>
    </row>
    <row r="2" spans="1:5" s="1" customFormat="1" ht="16.5" customHeight="1" x14ac:dyDescent="0.2">
      <c r="A2" s="76"/>
      <c r="B2" s="78"/>
      <c r="C2" s="99"/>
    </row>
    <row r="3" spans="1:5" s="37" customFormat="1" ht="21" customHeight="1" thickBot="1" x14ac:dyDescent="0.25">
      <c r="A3" s="1442" t="s">
        <v>1035</v>
      </c>
      <c r="B3" s="1442"/>
      <c r="C3" s="1442"/>
    </row>
    <row r="4" spans="1:5" ht="13.5" thickBot="1" x14ac:dyDescent="0.25">
      <c r="A4" s="175" t="s">
        <v>154</v>
      </c>
      <c r="B4" s="81" t="s">
        <v>50</v>
      </c>
      <c r="C4" s="156" t="s">
        <v>1033</v>
      </c>
    </row>
    <row r="5" spans="1:5" s="32" customFormat="1" ht="12.95" customHeight="1" thickBot="1" x14ac:dyDescent="0.25">
      <c r="A5" s="71" t="s">
        <v>391</v>
      </c>
      <c r="B5" s="72" t="s">
        <v>392</v>
      </c>
      <c r="C5" s="73" t="s">
        <v>393</v>
      </c>
    </row>
    <row r="6" spans="1:5" s="32" customFormat="1" ht="15.95" customHeight="1" thickBot="1" x14ac:dyDescent="0.25">
      <c r="A6" s="83"/>
      <c r="B6" s="84" t="s">
        <v>52</v>
      </c>
      <c r="C6" s="157"/>
    </row>
    <row r="7" spans="1:5" s="32" customFormat="1" ht="12" customHeight="1" thickBot="1" x14ac:dyDescent="0.25">
      <c r="A7" s="25" t="s">
        <v>16</v>
      </c>
      <c r="B7" s="18" t="s">
        <v>181</v>
      </c>
      <c r="C7" s="267">
        <f>+C8+C9+C10+C13+C14+C15</f>
        <v>308227551</v>
      </c>
      <c r="D7" s="788"/>
      <c r="E7" s="749"/>
    </row>
    <row r="8" spans="1:5" s="38" customFormat="1" ht="12" customHeight="1" x14ac:dyDescent="0.2">
      <c r="A8" s="198" t="s">
        <v>86</v>
      </c>
      <c r="B8" s="184" t="s">
        <v>182</v>
      </c>
      <c r="C8" s="269"/>
      <c r="D8" s="788"/>
      <c r="E8" s="749"/>
    </row>
    <row r="9" spans="1:5" s="39" customFormat="1" ht="12" customHeight="1" x14ac:dyDescent="0.2">
      <c r="A9" s="199" t="s">
        <v>87</v>
      </c>
      <c r="B9" s="185" t="s">
        <v>183</v>
      </c>
      <c r="C9" s="101"/>
      <c r="D9" s="788"/>
      <c r="E9" s="749"/>
    </row>
    <row r="10" spans="1:5" s="39" customFormat="1" ht="12" customHeight="1" x14ac:dyDescent="0.2">
      <c r="A10" s="199" t="s">
        <v>88</v>
      </c>
      <c r="B10" s="185" t="s">
        <v>766</v>
      </c>
      <c r="C10" s="101">
        <f>C11+C12</f>
        <v>308227551</v>
      </c>
      <c r="D10" s="788"/>
      <c r="E10" s="749"/>
    </row>
    <row r="11" spans="1:5" s="39" customFormat="1" ht="12" customHeight="1" x14ac:dyDescent="0.2">
      <c r="A11" s="199" t="s">
        <v>764</v>
      </c>
      <c r="B11" s="185" t="s">
        <v>767</v>
      </c>
      <c r="C11" s="864">
        <f>312152317-1227663+1536897-4234000</f>
        <v>308227551</v>
      </c>
      <c r="D11" s="788"/>
      <c r="E11" s="749"/>
    </row>
    <row r="12" spans="1:5" s="39" customFormat="1" ht="12" customHeight="1" x14ac:dyDescent="0.2">
      <c r="A12" s="199" t="s">
        <v>765</v>
      </c>
      <c r="B12" s="185" t="s">
        <v>768</v>
      </c>
      <c r="C12" s="101"/>
      <c r="D12" s="788"/>
      <c r="E12" s="749"/>
    </row>
    <row r="13" spans="1:5" s="39" customFormat="1" ht="12" customHeight="1" x14ac:dyDescent="0.2">
      <c r="A13" s="199" t="s">
        <v>89</v>
      </c>
      <c r="B13" s="185" t="s">
        <v>185</v>
      </c>
      <c r="C13" s="101"/>
      <c r="D13" s="788"/>
      <c r="E13" s="749"/>
    </row>
    <row r="14" spans="1:5" s="39" customFormat="1" ht="12" customHeight="1" x14ac:dyDescent="0.2">
      <c r="A14" s="199" t="s">
        <v>112</v>
      </c>
      <c r="B14" s="185" t="s">
        <v>452</v>
      </c>
      <c r="C14" s="864"/>
      <c r="D14" s="788"/>
      <c r="E14" s="749"/>
    </row>
    <row r="15" spans="1:5" s="38" customFormat="1" ht="12" customHeight="1" thickBot="1" x14ac:dyDescent="0.25">
      <c r="A15" s="200" t="s">
        <v>90</v>
      </c>
      <c r="B15" s="186" t="s">
        <v>395</v>
      </c>
      <c r="C15" s="101"/>
      <c r="D15" s="788"/>
      <c r="E15" s="749"/>
    </row>
    <row r="16" spans="1:5" s="38" customFormat="1" ht="12" customHeight="1" thickBot="1" x14ac:dyDescent="0.25">
      <c r="A16" s="25" t="s">
        <v>17</v>
      </c>
      <c r="B16" s="107" t="s">
        <v>186</v>
      </c>
      <c r="C16" s="267">
        <f>+C17+C18+C19+C20+C21</f>
        <v>143242943</v>
      </c>
      <c r="D16" s="788"/>
      <c r="E16" s="749"/>
    </row>
    <row r="17" spans="1:5" s="38" customFormat="1" ht="12" customHeight="1" x14ac:dyDescent="0.2">
      <c r="A17" s="198" t="s">
        <v>92</v>
      </c>
      <c r="B17" s="184" t="s">
        <v>187</v>
      </c>
      <c r="C17" s="269"/>
      <c r="D17" s="788"/>
      <c r="E17" s="749"/>
    </row>
    <row r="18" spans="1:5" s="38" customFormat="1" ht="12" customHeight="1" x14ac:dyDescent="0.2">
      <c r="A18" s="199" t="s">
        <v>93</v>
      </c>
      <c r="B18" s="185" t="s">
        <v>188</v>
      </c>
      <c r="C18" s="101"/>
      <c r="D18" s="788"/>
      <c r="E18" s="749"/>
    </row>
    <row r="19" spans="1:5" s="38" customFormat="1" ht="12" customHeight="1" x14ac:dyDescent="0.2">
      <c r="A19" s="199" t="s">
        <v>94</v>
      </c>
      <c r="B19" s="185" t="s">
        <v>354</v>
      </c>
      <c r="C19" s="101"/>
      <c r="D19" s="788"/>
      <c r="E19" s="749"/>
    </row>
    <row r="20" spans="1:5" s="38" customFormat="1" ht="12" customHeight="1" x14ac:dyDescent="0.2">
      <c r="A20" s="199" t="s">
        <v>95</v>
      </c>
      <c r="B20" s="185" t="s">
        <v>355</v>
      </c>
      <c r="C20" s="101"/>
      <c r="D20" s="788"/>
      <c r="E20" s="749"/>
    </row>
    <row r="21" spans="1:5" s="38" customFormat="1" ht="12" customHeight="1" x14ac:dyDescent="0.2">
      <c r="A21" s="199" t="s">
        <v>96</v>
      </c>
      <c r="B21" s="185" t="s">
        <v>189</v>
      </c>
      <c r="C21" s="864">
        <f>131199793+400000+4143150+7500000</f>
        <v>143242943</v>
      </c>
      <c r="D21" s="788"/>
      <c r="E21" s="749"/>
    </row>
    <row r="22" spans="1:5" s="39" customFormat="1" ht="12" customHeight="1" thickBot="1" x14ac:dyDescent="0.25">
      <c r="A22" s="200" t="s">
        <v>105</v>
      </c>
      <c r="B22" s="186" t="s">
        <v>190</v>
      </c>
      <c r="C22" s="865"/>
      <c r="D22" s="788"/>
      <c r="E22" s="749"/>
    </row>
    <row r="23" spans="1:5" s="39" customFormat="1" ht="12" customHeight="1" thickBot="1" x14ac:dyDescent="0.25">
      <c r="A23" s="25" t="s">
        <v>18</v>
      </c>
      <c r="B23" s="18" t="s">
        <v>191</v>
      </c>
      <c r="C23" s="267">
        <f>+C24+C25+C26+C27+C28</f>
        <v>209100000</v>
      </c>
      <c r="D23" s="788"/>
      <c r="E23" s="749"/>
    </row>
    <row r="24" spans="1:5" s="39" customFormat="1" ht="12" customHeight="1" x14ac:dyDescent="0.2">
      <c r="A24" s="198" t="s">
        <v>75</v>
      </c>
      <c r="B24" s="184" t="s">
        <v>192</v>
      </c>
      <c r="C24" s="866">
        <v>100000000</v>
      </c>
      <c r="D24" s="788"/>
      <c r="E24" s="749"/>
    </row>
    <row r="25" spans="1:5" s="38" customFormat="1" ht="12" customHeight="1" x14ac:dyDescent="0.2">
      <c r="A25" s="199" t="s">
        <v>76</v>
      </c>
      <c r="B25" s="185" t="s">
        <v>193</v>
      </c>
      <c r="C25" s="101"/>
      <c r="D25" s="788"/>
      <c r="E25" s="749"/>
    </row>
    <row r="26" spans="1:5" s="39" customFormat="1" ht="12" customHeight="1" x14ac:dyDescent="0.2">
      <c r="A26" s="199" t="s">
        <v>77</v>
      </c>
      <c r="B26" s="185" t="s">
        <v>356</v>
      </c>
      <c r="C26" s="101"/>
      <c r="D26" s="788"/>
      <c r="E26" s="749"/>
    </row>
    <row r="27" spans="1:5" s="39" customFormat="1" ht="12" customHeight="1" x14ac:dyDescent="0.2">
      <c r="A27" s="199" t="s">
        <v>78</v>
      </c>
      <c r="B27" s="185" t="s">
        <v>357</v>
      </c>
      <c r="C27" s="101"/>
      <c r="D27" s="788"/>
      <c r="E27" s="749"/>
    </row>
    <row r="28" spans="1:5" s="39" customFormat="1" ht="12" customHeight="1" x14ac:dyDescent="0.2">
      <c r="A28" s="199" t="s">
        <v>123</v>
      </c>
      <c r="B28" s="185" t="s">
        <v>194</v>
      </c>
      <c r="C28" s="864">
        <f>100100000+9000000</f>
        <v>109100000</v>
      </c>
      <c r="D28" s="788"/>
      <c r="E28" s="749"/>
    </row>
    <row r="29" spans="1:5" s="39" customFormat="1" ht="12" customHeight="1" thickBot="1" x14ac:dyDescent="0.25">
      <c r="A29" s="200" t="s">
        <v>124</v>
      </c>
      <c r="B29" s="186" t="s">
        <v>195</v>
      </c>
      <c r="C29" s="865"/>
      <c r="D29" s="788"/>
      <c r="E29" s="749"/>
    </row>
    <row r="30" spans="1:5" s="39" customFormat="1" ht="12" customHeight="1" thickBot="1" x14ac:dyDescent="0.25">
      <c r="A30" s="25" t="s">
        <v>125</v>
      </c>
      <c r="B30" s="18" t="s">
        <v>196</v>
      </c>
      <c r="C30" s="270">
        <f>+C31+C35+C36</f>
        <v>0</v>
      </c>
      <c r="D30" s="788"/>
      <c r="E30" s="749"/>
    </row>
    <row r="31" spans="1:5" s="39" customFormat="1" ht="12" customHeight="1" x14ac:dyDescent="0.2">
      <c r="A31" s="198" t="s">
        <v>197</v>
      </c>
      <c r="B31" s="184" t="s">
        <v>579</v>
      </c>
      <c r="C31" s="284">
        <f>SUM(C32:C33)</f>
        <v>0</v>
      </c>
      <c r="D31" s="788"/>
      <c r="E31" s="749"/>
    </row>
    <row r="32" spans="1:5" s="39" customFormat="1" ht="12" customHeight="1" x14ac:dyDescent="0.2">
      <c r="A32" s="199" t="s">
        <v>198</v>
      </c>
      <c r="B32" s="185" t="s">
        <v>203</v>
      </c>
      <c r="C32" s="101"/>
      <c r="D32" s="788"/>
      <c r="E32" s="749"/>
    </row>
    <row r="33" spans="1:5" s="39" customFormat="1" ht="12" customHeight="1" x14ac:dyDescent="0.2">
      <c r="A33" s="199" t="s">
        <v>199</v>
      </c>
      <c r="B33" s="242" t="s">
        <v>578</v>
      </c>
      <c r="C33" s="101"/>
      <c r="D33" s="788"/>
      <c r="E33" s="749"/>
    </row>
    <row r="34" spans="1:5" s="39" customFormat="1" ht="12" customHeight="1" x14ac:dyDescent="0.2">
      <c r="A34" s="199" t="s">
        <v>200</v>
      </c>
      <c r="B34" s="185" t="s">
        <v>479</v>
      </c>
      <c r="C34" s="101"/>
      <c r="D34" s="788"/>
      <c r="E34" s="749"/>
    </row>
    <row r="35" spans="1:5" s="39" customFormat="1" ht="12" customHeight="1" x14ac:dyDescent="0.2">
      <c r="A35" s="199" t="s">
        <v>201</v>
      </c>
      <c r="B35" s="185" t="s">
        <v>205</v>
      </c>
      <c r="C35" s="101"/>
      <c r="D35" s="788"/>
      <c r="E35" s="749"/>
    </row>
    <row r="36" spans="1:5" s="39" customFormat="1" ht="12" customHeight="1" thickBot="1" x14ac:dyDescent="0.25">
      <c r="A36" s="200" t="s">
        <v>202</v>
      </c>
      <c r="B36" s="186" t="s">
        <v>206</v>
      </c>
      <c r="C36" s="102"/>
      <c r="D36" s="788"/>
      <c r="E36" s="749"/>
    </row>
    <row r="37" spans="1:5" s="39" customFormat="1" ht="12" customHeight="1" thickBot="1" x14ac:dyDescent="0.25">
      <c r="A37" s="25" t="s">
        <v>20</v>
      </c>
      <c r="B37" s="18" t="s">
        <v>396</v>
      </c>
      <c r="C37" s="267">
        <f>SUM(C38:C48)</f>
        <v>28133300</v>
      </c>
      <c r="D37" s="788"/>
      <c r="E37" s="749"/>
    </row>
    <row r="38" spans="1:5" s="39" customFormat="1" ht="12" customHeight="1" x14ac:dyDescent="0.2">
      <c r="A38" s="198" t="s">
        <v>79</v>
      </c>
      <c r="B38" s="184" t="s">
        <v>209</v>
      </c>
      <c r="C38" s="269"/>
      <c r="D38" s="788"/>
      <c r="E38" s="749"/>
    </row>
    <row r="39" spans="1:5" s="39" customFormat="1" ht="12" customHeight="1" x14ac:dyDescent="0.2">
      <c r="A39" s="199" t="s">
        <v>80</v>
      </c>
      <c r="B39" s="185" t="s">
        <v>210</v>
      </c>
      <c r="C39" s="864">
        <v>550000</v>
      </c>
      <c r="D39" s="788"/>
      <c r="E39" s="749"/>
    </row>
    <row r="40" spans="1:5" s="39" customFormat="1" ht="12" customHeight="1" x14ac:dyDescent="0.2">
      <c r="A40" s="199" t="s">
        <v>81</v>
      </c>
      <c r="B40" s="185" t="s">
        <v>211</v>
      </c>
      <c r="C40" s="864"/>
      <c r="D40" s="788"/>
      <c r="E40" s="749"/>
    </row>
    <row r="41" spans="1:5" s="39" customFormat="1" ht="12" customHeight="1" x14ac:dyDescent="0.2">
      <c r="A41" s="199" t="s">
        <v>127</v>
      </c>
      <c r="B41" s="185" t="s">
        <v>212</v>
      </c>
      <c r="C41" s="101"/>
      <c r="D41" s="788"/>
      <c r="E41" s="749"/>
    </row>
    <row r="42" spans="1:5" s="39" customFormat="1" ht="12" customHeight="1" x14ac:dyDescent="0.2">
      <c r="A42" s="199" t="s">
        <v>128</v>
      </c>
      <c r="B42" s="185" t="s">
        <v>213</v>
      </c>
      <c r="C42" s="101"/>
      <c r="D42" s="788"/>
      <c r="E42" s="749"/>
    </row>
    <row r="43" spans="1:5" s="39" customFormat="1" ht="12" customHeight="1" x14ac:dyDescent="0.2">
      <c r="A43" s="199" t="s">
        <v>129</v>
      </c>
      <c r="B43" s="185" t="s">
        <v>214</v>
      </c>
      <c r="C43" s="101">
        <v>148500</v>
      </c>
      <c r="D43" s="788"/>
      <c r="E43" s="749"/>
    </row>
    <row r="44" spans="1:5" s="39" customFormat="1" ht="12" customHeight="1" x14ac:dyDescent="0.2">
      <c r="A44" s="199" t="s">
        <v>130</v>
      </c>
      <c r="B44" s="185" t="s">
        <v>215</v>
      </c>
      <c r="C44" s="864">
        <f>25525800+1809000</f>
        <v>27334800</v>
      </c>
      <c r="D44" s="788"/>
      <c r="E44" s="749"/>
    </row>
    <row r="45" spans="1:5" s="39" customFormat="1" ht="12" customHeight="1" x14ac:dyDescent="0.2">
      <c r="A45" s="199" t="s">
        <v>131</v>
      </c>
      <c r="B45" s="185" t="s">
        <v>216</v>
      </c>
      <c r="C45" s="101"/>
      <c r="D45" s="788"/>
      <c r="E45" s="749"/>
    </row>
    <row r="46" spans="1:5" s="39" customFormat="1" ht="12" customHeight="1" x14ac:dyDescent="0.2">
      <c r="A46" s="199" t="s">
        <v>207</v>
      </c>
      <c r="B46" s="185" t="s">
        <v>217</v>
      </c>
      <c r="C46" s="864"/>
      <c r="D46" s="788"/>
      <c r="E46" s="749"/>
    </row>
    <row r="47" spans="1:5" s="39" customFormat="1" ht="12" customHeight="1" x14ac:dyDescent="0.2">
      <c r="A47" s="200" t="s">
        <v>208</v>
      </c>
      <c r="B47" s="186" t="s">
        <v>397</v>
      </c>
      <c r="C47" s="865"/>
      <c r="D47" s="788"/>
      <c r="E47" s="749"/>
    </row>
    <row r="48" spans="1:5" s="39" customFormat="1" ht="12" customHeight="1" thickBot="1" x14ac:dyDescent="0.25">
      <c r="A48" s="200" t="s">
        <v>398</v>
      </c>
      <c r="B48" s="186" t="s">
        <v>218</v>
      </c>
      <c r="C48" s="865">
        <v>100000</v>
      </c>
      <c r="D48" s="788"/>
      <c r="E48" s="749"/>
    </row>
    <row r="49" spans="1:5" s="39" customFormat="1" ht="12" customHeight="1" thickBot="1" x14ac:dyDescent="0.25">
      <c r="A49" s="25" t="s">
        <v>21</v>
      </c>
      <c r="B49" s="18" t="s">
        <v>219</v>
      </c>
      <c r="C49" s="267">
        <f>SUM(C50:C54)</f>
        <v>0</v>
      </c>
      <c r="D49" s="788"/>
      <c r="E49" s="749"/>
    </row>
    <row r="50" spans="1:5" s="39" customFormat="1" ht="12" customHeight="1" x14ac:dyDescent="0.2">
      <c r="A50" s="198" t="s">
        <v>82</v>
      </c>
      <c r="B50" s="184" t="s">
        <v>223</v>
      </c>
      <c r="C50" s="866"/>
      <c r="D50" s="788"/>
      <c r="E50" s="749"/>
    </row>
    <row r="51" spans="1:5" s="39" customFormat="1" ht="12" customHeight="1" x14ac:dyDescent="0.2">
      <c r="A51" s="199" t="s">
        <v>83</v>
      </c>
      <c r="B51" s="185" t="s">
        <v>224</v>
      </c>
      <c r="C51" s="864"/>
      <c r="D51" s="788"/>
      <c r="E51" s="749"/>
    </row>
    <row r="52" spans="1:5" s="39" customFormat="1" ht="12" customHeight="1" x14ac:dyDescent="0.2">
      <c r="A52" s="199" t="s">
        <v>220</v>
      </c>
      <c r="B52" s="185" t="s">
        <v>225</v>
      </c>
      <c r="C52" s="864"/>
      <c r="D52" s="788"/>
      <c r="E52" s="749"/>
    </row>
    <row r="53" spans="1:5" s="39" customFormat="1" ht="12" customHeight="1" x14ac:dyDescent="0.2">
      <c r="A53" s="199" t="s">
        <v>221</v>
      </c>
      <c r="B53" s="185" t="s">
        <v>226</v>
      </c>
      <c r="C53" s="864"/>
      <c r="D53" s="788"/>
      <c r="E53" s="749"/>
    </row>
    <row r="54" spans="1:5" s="39" customFormat="1" ht="12" customHeight="1" thickBot="1" x14ac:dyDescent="0.25">
      <c r="A54" s="200" t="s">
        <v>222</v>
      </c>
      <c r="B54" s="186" t="s">
        <v>227</v>
      </c>
      <c r="C54" s="865"/>
      <c r="D54" s="788"/>
      <c r="E54" s="749"/>
    </row>
    <row r="55" spans="1:5" s="39" customFormat="1" ht="12" customHeight="1" thickBot="1" x14ac:dyDescent="0.25">
      <c r="A55" s="25" t="s">
        <v>132</v>
      </c>
      <c r="B55" s="18" t="s">
        <v>228</v>
      </c>
      <c r="C55" s="267">
        <f>SUM(C56:C58)</f>
        <v>200000</v>
      </c>
      <c r="D55" s="788"/>
      <c r="E55" s="749"/>
    </row>
    <row r="56" spans="1:5" s="39" customFormat="1" ht="12" customHeight="1" x14ac:dyDescent="0.2">
      <c r="A56" s="198" t="s">
        <v>84</v>
      </c>
      <c r="B56" s="184" t="s">
        <v>229</v>
      </c>
      <c r="C56" s="269"/>
      <c r="D56" s="788"/>
      <c r="E56" s="749"/>
    </row>
    <row r="57" spans="1:5" s="39" customFormat="1" ht="12" customHeight="1" x14ac:dyDescent="0.2">
      <c r="A57" s="199" t="s">
        <v>85</v>
      </c>
      <c r="B57" s="185" t="s">
        <v>358</v>
      </c>
      <c r="C57" s="864">
        <v>200000</v>
      </c>
      <c r="D57" s="788"/>
      <c r="E57" s="749"/>
    </row>
    <row r="58" spans="1:5" s="39" customFormat="1" ht="12" customHeight="1" x14ac:dyDescent="0.2">
      <c r="A58" s="199" t="s">
        <v>232</v>
      </c>
      <c r="B58" s="185" t="s">
        <v>230</v>
      </c>
      <c r="C58" s="864"/>
      <c r="D58" s="788"/>
      <c r="E58" s="749"/>
    </row>
    <row r="59" spans="1:5" s="39" customFormat="1" ht="12" customHeight="1" thickBot="1" x14ac:dyDescent="0.25">
      <c r="A59" s="200" t="s">
        <v>233</v>
      </c>
      <c r="B59" s="186" t="s">
        <v>231</v>
      </c>
      <c r="C59" s="102"/>
      <c r="D59" s="788"/>
      <c r="E59" s="749"/>
    </row>
    <row r="60" spans="1:5" s="39" customFormat="1" ht="12" customHeight="1" thickBot="1" x14ac:dyDescent="0.25">
      <c r="A60" s="25" t="s">
        <v>23</v>
      </c>
      <c r="B60" s="107" t="s">
        <v>234</v>
      </c>
      <c r="C60" s="267">
        <f>SUM(C61:C63)</f>
        <v>0</v>
      </c>
      <c r="D60" s="788"/>
      <c r="E60" s="749"/>
    </row>
    <row r="61" spans="1:5" s="39" customFormat="1" ht="12" customHeight="1" x14ac:dyDescent="0.2">
      <c r="A61" s="198" t="s">
        <v>133</v>
      </c>
      <c r="B61" s="184" t="s">
        <v>236</v>
      </c>
      <c r="C61" s="864"/>
      <c r="D61" s="788"/>
      <c r="E61" s="749"/>
    </row>
    <row r="62" spans="1:5" s="39" customFormat="1" ht="12" customHeight="1" x14ac:dyDescent="0.2">
      <c r="A62" s="199" t="s">
        <v>134</v>
      </c>
      <c r="B62" s="185" t="s">
        <v>359</v>
      </c>
      <c r="C62" s="864"/>
      <c r="D62" s="788"/>
      <c r="E62" s="749"/>
    </row>
    <row r="63" spans="1:5" s="39" customFormat="1" ht="12" customHeight="1" x14ac:dyDescent="0.2">
      <c r="A63" s="199" t="s">
        <v>160</v>
      </c>
      <c r="B63" s="185" t="s">
        <v>237</v>
      </c>
      <c r="C63" s="864"/>
      <c r="D63" s="788"/>
      <c r="E63" s="749"/>
    </row>
    <row r="64" spans="1:5" s="39" customFormat="1" ht="12" customHeight="1" thickBot="1" x14ac:dyDescent="0.25">
      <c r="A64" s="200" t="s">
        <v>235</v>
      </c>
      <c r="B64" s="186" t="s">
        <v>238</v>
      </c>
      <c r="C64" s="864"/>
      <c r="D64" s="788"/>
      <c r="E64" s="749"/>
    </row>
    <row r="65" spans="1:5" s="39" customFormat="1" ht="12" customHeight="1" thickBot="1" x14ac:dyDescent="0.25">
      <c r="A65" s="25" t="s">
        <v>24</v>
      </c>
      <c r="B65" s="18" t="s">
        <v>239</v>
      </c>
      <c r="C65" s="270">
        <f>+C7+C16+C23+C30+C37+C49+C55+C60</f>
        <v>688903794</v>
      </c>
      <c r="D65" s="788"/>
      <c r="E65" s="749"/>
    </row>
    <row r="66" spans="1:5" s="39" customFormat="1" ht="12" customHeight="1" thickBot="1" x14ac:dyDescent="0.2">
      <c r="A66" s="201" t="s">
        <v>329</v>
      </c>
      <c r="B66" s="107" t="s">
        <v>241</v>
      </c>
      <c r="C66" s="267">
        <f>SUM(C67:C69)</f>
        <v>0</v>
      </c>
      <c r="D66" s="788"/>
      <c r="E66" s="749"/>
    </row>
    <row r="67" spans="1:5" s="39" customFormat="1" ht="12" customHeight="1" x14ac:dyDescent="0.2">
      <c r="A67" s="198" t="s">
        <v>272</v>
      </c>
      <c r="B67" s="184" t="s">
        <v>242</v>
      </c>
      <c r="C67" s="864"/>
      <c r="D67" s="788"/>
      <c r="E67" s="749"/>
    </row>
    <row r="68" spans="1:5" s="39" customFormat="1" ht="12" customHeight="1" x14ac:dyDescent="0.2">
      <c r="A68" s="199" t="s">
        <v>281</v>
      </c>
      <c r="B68" s="185" t="s">
        <v>243</v>
      </c>
      <c r="C68" s="864"/>
      <c r="D68" s="788"/>
      <c r="E68" s="749"/>
    </row>
    <row r="69" spans="1:5" s="39" customFormat="1" ht="12" customHeight="1" thickBot="1" x14ac:dyDescent="0.25">
      <c r="A69" s="200" t="s">
        <v>282</v>
      </c>
      <c r="B69" s="187" t="s">
        <v>244</v>
      </c>
      <c r="C69" s="864"/>
      <c r="D69" s="788"/>
      <c r="E69" s="749"/>
    </row>
    <row r="70" spans="1:5" s="39" customFormat="1" ht="12" customHeight="1" thickBot="1" x14ac:dyDescent="0.2">
      <c r="A70" s="201" t="s">
        <v>245</v>
      </c>
      <c r="B70" s="107" t="s">
        <v>246</v>
      </c>
      <c r="C70" s="267">
        <f>SUM(C71:C74)</f>
        <v>0</v>
      </c>
      <c r="D70" s="788"/>
      <c r="E70" s="749"/>
    </row>
    <row r="71" spans="1:5" s="39" customFormat="1" ht="12" customHeight="1" x14ac:dyDescent="0.2">
      <c r="A71" s="198" t="s">
        <v>113</v>
      </c>
      <c r="B71" s="184" t="s">
        <v>247</v>
      </c>
      <c r="C71" s="864"/>
      <c r="D71" s="788"/>
      <c r="E71" s="749"/>
    </row>
    <row r="72" spans="1:5" s="39" customFormat="1" ht="12" customHeight="1" x14ac:dyDescent="0.2">
      <c r="A72" s="199" t="s">
        <v>114</v>
      </c>
      <c r="B72" s="185" t="s">
        <v>248</v>
      </c>
      <c r="C72" s="864"/>
      <c r="D72" s="788"/>
      <c r="E72" s="749"/>
    </row>
    <row r="73" spans="1:5" s="39" customFormat="1" ht="12" customHeight="1" x14ac:dyDescent="0.2">
      <c r="A73" s="199" t="s">
        <v>273</v>
      </c>
      <c r="B73" s="185" t="s">
        <v>249</v>
      </c>
      <c r="C73" s="864"/>
      <c r="D73" s="788"/>
      <c r="E73" s="749"/>
    </row>
    <row r="74" spans="1:5" s="39" customFormat="1" ht="12" customHeight="1" thickBot="1" x14ac:dyDescent="0.25">
      <c r="A74" s="200" t="s">
        <v>274</v>
      </c>
      <c r="B74" s="186" t="s">
        <v>250</v>
      </c>
      <c r="C74" s="864"/>
      <c r="D74" s="788"/>
      <c r="E74" s="749"/>
    </row>
    <row r="75" spans="1:5" s="39" customFormat="1" ht="12" customHeight="1" thickBot="1" x14ac:dyDescent="0.2">
      <c r="A75" s="201" t="s">
        <v>251</v>
      </c>
      <c r="B75" s="107" t="s">
        <v>252</v>
      </c>
      <c r="C75" s="267">
        <f>SUM(C76:C77)</f>
        <v>0</v>
      </c>
      <c r="D75" s="788"/>
      <c r="E75" s="749"/>
    </row>
    <row r="76" spans="1:5" s="39" customFormat="1" ht="12" customHeight="1" x14ac:dyDescent="0.2">
      <c r="A76" s="198" t="s">
        <v>275</v>
      </c>
      <c r="B76" s="184" t="s">
        <v>253</v>
      </c>
      <c r="C76" s="864"/>
      <c r="D76" s="788"/>
      <c r="E76" s="749"/>
    </row>
    <row r="77" spans="1:5" s="39" customFormat="1" ht="12" customHeight="1" thickBot="1" x14ac:dyDescent="0.25">
      <c r="A77" s="200" t="s">
        <v>276</v>
      </c>
      <c r="B77" s="186" t="s">
        <v>254</v>
      </c>
      <c r="C77" s="864"/>
      <c r="D77" s="788"/>
      <c r="E77" s="749"/>
    </row>
    <row r="78" spans="1:5" s="38" customFormat="1" ht="12" customHeight="1" thickBot="1" x14ac:dyDescent="0.2">
      <c r="A78" s="201" t="s">
        <v>255</v>
      </c>
      <c r="B78" s="107" t="s">
        <v>256</v>
      </c>
      <c r="C78" s="267">
        <f>SUM(C79:C81)</f>
        <v>0</v>
      </c>
      <c r="D78" s="788"/>
      <c r="E78" s="749"/>
    </row>
    <row r="79" spans="1:5" s="39" customFormat="1" ht="12" customHeight="1" x14ac:dyDescent="0.2">
      <c r="A79" s="198" t="s">
        <v>277</v>
      </c>
      <c r="B79" s="184" t="s">
        <v>257</v>
      </c>
      <c r="C79" s="864"/>
      <c r="D79" s="788"/>
      <c r="E79" s="749"/>
    </row>
    <row r="80" spans="1:5" s="39" customFormat="1" ht="12" customHeight="1" x14ac:dyDescent="0.2">
      <c r="A80" s="199" t="s">
        <v>278</v>
      </c>
      <c r="B80" s="185" t="s">
        <v>258</v>
      </c>
      <c r="C80" s="864"/>
      <c r="D80" s="788"/>
      <c r="E80" s="749"/>
    </row>
    <row r="81" spans="1:5" s="39" customFormat="1" ht="12" customHeight="1" thickBot="1" x14ac:dyDescent="0.25">
      <c r="A81" s="200" t="s">
        <v>279</v>
      </c>
      <c r="B81" s="186" t="s">
        <v>259</v>
      </c>
      <c r="C81" s="864"/>
      <c r="D81" s="788"/>
      <c r="E81" s="749"/>
    </row>
    <row r="82" spans="1:5" s="39" customFormat="1" ht="12" customHeight="1" thickBot="1" x14ac:dyDescent="0.2">
      <c r="A82" s="201" t="s">
        <v>260</v>
      </c>
      <c r="B82" s="107" t="s">
        <v>280</v>
      </c>
      <c r="C82" s="267">
        <f>SUM(C83:C86)</f>
        <v>0</v>
      </c>
      <c r="D82" s="788"/>
      <c r="E82" s="749"/>
    </row>
    <row r="83" spans="1:5" s="39" customFormat="1" ht="12" customHeight="1" x14ac:dyDescent="0.2">
      <c r="A83" s="202" t="s">
        <v>261</v>
      </c>
      <c r="B83" s="184" t="s">
        <v>262</v>
      </c>
      <c r="C83" s="864"/>
      <c r="D83" s="788"/>
      <c r="E83" s="749"/>
    </row>
    <row r="84" spans="1:5" s="39" customFormat="1" ht="12" customHeight="1" x14ac:dyDescent="0.2">
      <c r="A84" s="203" t="s">
        <v>263</v>
      </c>
      <c r="B84" s="185" t="s">
        <v>264</v>
      </c>
      <c r="C84" s="864"/>
      <c r="D84" s="788"/>
      <c r="E84" s="749"/>
    </row>
    <row r="85" spans="1:5" s="39" customFormat="1" ht="12" customHeight="1" x14ac:dyDescent="0.2">
      <c r="A85" s="203" t="s">
        <v>265</v>
      </c>
      <c r="B85" s="185" t="s">
        <v>266</v>
      </c>
      <c r="C85" s="864"/>
      <c r="D85" s="788"/>
      <c r="E85" s="749"/>
    </row>
    <row r="86" spans="1:5" s="38" customFormat="1" ht="12" customHeight="1" thickBot="1" x14ac:dyDescent="0.25">
      <c r="A86" s="204" t="s">
        <v>267</v>
      </c>
      <c r="B86" s="186" t="s">
        <v>268</v>
      </c>
      <c r="C86" s="864"/>
      <c r="D86" s="788"/>
      <c r="E86" s="749"/>
    </row>
    <row r="87" spans="1:5" s="38" customFormat="1" ht="12" customHeight="1" thickBot="1" x14ac:dyDescent="0.2">
      <c r="A87" s="201" t="s">
        <v>269</v>
      </c>
      <c r="B87" s="107" t="s">
        <v>401</v>
      </c>
      <c r="C87" s="272"/>
      <c r="D87" s="788"/>
      <c r="E87" s="749"/>
    </row>
    <row r="88" spans="1:5" s="38" customFormat="1" ht="12" customHeight="1" thickBot="1" x14ac:dyDescent="0.2">
      <c r="A88" s="201" t="s">
        <v>453</v>
      </c>
      <c r="B88" s="107" t="s">
        <v>270</v>
      </c>
      <c r="C88" s="272"/>
      <c r="D88" s="788"/>
      <c r="E88" s="749"/>
    </row>
    <row r="89" spans="1:5" s="38" customFormat="1" ht="12" customHeight="1" thickBot="1" x14ac:dyDescent="0.2">
      <c r="A89" s="201" t="s">
        <v>454</v>
      </c>
      <c r="B89" s="191" t="s">
        <v>402</v>
      </c>
      <c r="C89" s="270">
        <f>+C66+C70+C75+C78+C82+C88+C87</f>
        <v>0</v>
      </c>
      <c r="D89" s="788"/>
      <c r="E89" s="749"/>
    </row>
    <row r="90" spans="1:5" s="38" customFormat="1" ht="12" customHeight="1" thickBot="1" x14ac:dyDescent="0.2">
      <c r="A90" s="205" t="s">
        <v>455</v>
      </c>
      <c r="B90" s="192" t="s">
        <v>456</v>
      </c>
      <c r="C90" s="270">
        <f>+C65+C89</f>
        <v>688903794</v>
      </c>
      <c r="D90" s="788"/>
      <c r="E90" s="749"/>
    </row>
    <row r="91" spans="1:5" s="39" customFormat="1" ht="15" customHeight="1" thickBot="1" x14ac:dyDescent="0.25">
      <c r="A91" s="89"/>
      <c r="B91" s="90"/>
      <c r="C91" s="161"/>
      <c r="E91" s="749"/>
    </row>
    <row r="92" spans="1:5" s="32" customFormat="1" ht="16.5" customHeight="1" thickBot="1" x14ac:dyDescent="0.25">
      <c r="A92" s="1479" t="s">
        <v>53</v>
      </c>
      <c r="B92" s="1480"/>
      <c r="C92" s="1481"/>
      <c r="E92" s="749"/>
    </row>
    <row r="93" spans="1:5" s="772" customFormat="1" ht="12" customHeight="1" thickBot="1" x14ac:dyDescent="0.25">
      <c r="A93" s="176" t="s">
        <v>16</v>
      </c>
      <c r="B93" s="394" t="s">
        <v>466</v>
      </c>
      <c r="C93" s="111">
        <f>+C94+C95+C96+C97+C98+C111</f>
        <v>137912103</v>
      </c>
      <c r="E93" s="749"/>
    </row>
    <row r="94" spans="1:5" ht="12" customHeight="1" x14ac:dyDescent="0.2">
      <c r="A94" s="206" t="s">
        <v>86</v>
      </c>
      <c r="B94" s="395" t="s">
        <v>46</v>
      </c>
      <c r="C94" s="261">
        <f>3533503+4143150+236220</f>
        <v>7912873</v>
      </c>
      <c r="D94" s="772"/>
      <c r="E94" s="749"/>
    </row>
    <row r="95" spans="1:5" ht="12" customHeight="1" x14ac:dyDescent="0.2">
      <c r="A95" s="199" t="s">
        <v>87</v>
      </c>
      <c r="B95" s="396" t="s">
        <v>135</v>
      </c>
      <c r="C95" s="863">
        <f>1615069+642188+107970</f>
        <v>2365227</v>
      </c>
      <c r="D95" s="772"/>
      <c r="E95" s="749"/>
    </row>
    <row r="96" spans="1:5" ht="12" customHeight="1" x14ac:dyDescent="0.2">
      <c r="A96" s="199" t="s">
        <v>88</v>
      </c>
      <c r="B96" s="396" t="s">
        <v>111</v>
      </c>
      <c r="C96" s="1311">
        <f>91462720+96499+300000+17474804-553313+600000</f>
        <v>109380710</v>
      </c>
      <c r="D96" s="772"/>
      <c r="E96" s="749"/>
    </row>
    <row r="97" spans="1:5" ht="12" customHeight="1" x14ac:dyDescent="0.2">
      <c r="A97" s="199" t="s">
        <v>89</v>
      </c>
      <c r="B97" s="399" t="s">
        <v>136</v>
      </c>
      <c r="C97" s="173"/>
      <c r="D97" s="772"/>
      <c r="E97" s="749"/>
    </row>
    <row r="98" spans="1:5" ht="12" customHeight="1" x14ac:dyDescent="0.2">
      <c r="A98" s="199" t="s">
        <v>100</v>
      </c>
      <c r="B98" s="16" t="s">
        <v>137</v>
      </c>
      <c r="C98" s="173">
        <f>SUM(C99:C110)</f>
        <v>18253293</v>
      </c>
      <c r="D98" s="772"/>
      <c r="E98" s="749"/>
    </row>
    <row r="99" spans="1:5" ht="12" customHeight="1" x14ac:dyDescent="0.2">
      <c r="A99" s="199" t="s">
        <v>90</v>
      </c>
      <c r="B99" s="396" t="s">
        <v>457</v>
      </c>
      <c r="C99" s="173"/>
      <c r="D99" s="772"/>
      <c r="E99" s="749"/>
    </row>
    <row r="100" spans="1:5" ht="12" customHeight="1" x14ac:dyDescent="0.2">
      <c r="A100" s="199" t="s">
        <v>91</v>
      </c>
      <c r="B100" s="407" t="s">
        <v>406</v>
      </c>
      <c r="C100" s="173"/>
      <c r="D100" s="772"/>
      <c r="E100" s="749"/>
    </row>
    <row r="101" spans="1:5" ht="12" customHeight="1" x14ac:dyDescent="0.2">
      <c r="A101" s="199" t="s">
        <v>101</v>
      </c>
      <c r="B101" s="407" t="s">
        <v>407</v>
      </c>
      <c r="C101" s="173"/>
      <c r="D101" s="772"/>
      <c r="E101" s="749"/>
    </row>
    <row r="102" spans="1:5" ht="12" customHeight="1" x14ac:dyDescent="0.2">
      <c r="A102" s="199" t="s">
        <v>102</v>
      </c>
      <c r="B102" s="407" t="s">
        <v>286</v>
      </c>
      <c r="C102" s="173"/>
      <c r="D102" s="772"/>
      <c r="E102" s="749"/>
    </row>
    <row r="103" spans="1:5" ht="12" customHeight="1" x14ac:dyDescent="0.2">
      <c r="A103" s="199" t="s">
        <v>103</v>
      </c>
      <c r="B103" s="404" t="s">
        <v>287</v>
      </c>
      <c r="C103" s="173"/>
      <c r="D103" s="772"/>
      <c r="E103" s="749"/>
    </row>
    <row r="104" spans="1:5" ht="12" customHeight="1" x14ac:dyDescent="0.2">
      <c r="A104" s="199" t="s">
        <v>104</v>
      </c>
      <c r="B104" s="404" t="s">
        <v>288</v>
      </c>
      <c r="C104" s="173"/>
      <c r="D104" s="772"/>
      <c r="E104" s="749"/>
    </row>
    <row r="105" spans="1:5" ht="12" customHeight="1" x14ac:dyDescent="0.2">
      <c r="A105" s="199" t="s">
        <v>106</v>
      </c>
      <c r="B105" s="407" t="s">
        <v>289</v>
      </c>
      <c r="C105" s="173"/>
      <c r="D105" s="772"/>
      <c r="E105" s="749"/>
    </row>
    <row r="106" spans="1:5" ht="12" customHeight="1" x14ac:dyDescent="0.2">
      <c r="A106" s="199" t="s">
        <v>138</v>
      </c>
      <c r="B106" s="407" t="s">
        <v>290</v>
      </c>
      <c r="C106" s="173"/>
      <c r="D106" s="772"/>
      <c r="E106" s="749"/>
    </row>
    <row r="107" spans="1:5" ht="12" customHeight="1" x14ac:dyDescent="0.2">
      <c r="A107" s="199" t="s">
        <v>284</v>
      </c>
      <c r="B107" s="404" t="s">
        <v>291</v>
      </c>
      <c r="C107" s="173"/>
      <c r="D107" s="772"/>
      <c r="E107" s="749"/>
    </row>
    <row r="108" spans="1:5" ht="12" customHeight="1" x14ac:dyDescent="0.2">
      <c r="A108" s="207" t="s">
        <v>285</v>
      </c>
      <c r="B108" s="398" t="s">
        <v>292</v>
      </c>
      <c r="C108" s="173"/>
      <c r="D108" s="772"/>
      <c r="E108" s="749"/>
    </row>
    <row r="109" spans="1:5" ht="12" customHeight="1" x14ac:dyDescent="0.2">
      <c r="A109" s="199" t="s">
        <v>408</v>
      </c>
      <c r="B109" s="398" t="s">
        <v>293</v>
      </c>
      <c r="C109" s="173"/>
      <c r="D109" s="772"/>
      <c r="E109" s="749"/>
    </row>
    <row r="110" spans="1:5" ht="12" customHeight="1" x14ac:dyDescent="0.2">
      <c r="A110" s="199" t="s">
        <v>409</v>
      </c>
      <c r="B110" s="404" t="s">
        <v>294</v>
      </c>
      <c r="C110" s="863">
        <f>8000000+12062478-1809185</f>
        <v>18253293</v>
      </c>
      <c r="D110" s="772"/>
      <c r="E110" s="749"/>
    </row>
    <row r="111" spans="1:5" ht="12" customHeight="1" x14ac:dyDescent="0.2">
      <c r="A111" s="199" t="s">
        <v>410</v>
      </c>
      <c r="B111" s="399" t="s">
        <v>47</v>
      </c>
      <c r="C111" s="113"/>
      <c r="D111" s="772"/>
      <c r="E111" s="749"/>
    </row>
    <row r="112" spans="1:5" ht="12" customHeight="1" x14ac:dyDescent="0.2">
      <c r="A112" s="200" t="s">
        <v>411</v>
      </c>
      <c r="B112" s="396" t="s">
        <v>458</v>
      </c>
      <c r="C112" s="115"/>
      <c r="D112" s="772"/>
      <c r="E112" s="749"/>
    </row>
    <row r="113" spans="1:5" ht="12" customHeight="1" thickBot="1" x14ac:dyDescent="0.25">
      <c r="A113" s="208" t="s">
        <v>413</v>
      </c>
      <c r="B113" s="1335" t="s">
        <v>459</v>
      </c>
      <c r="C113" s="119"/>
      <c r="D113" s="772"/>
      <c r="E113" s="749"/>
    </row>
    <row r="114" spans="1:5" ht="12" customHeight="1" thickBot="1" x14ac:dyDescent="0.25">
      <c r="A114" s="25" t="s">
        <v>17</v>
      </c>
      <c r="B114" s="1336" t="s">
        <v>295</v>
      </c>
      <c r="C114" s="112">
        <f>+C115+C117+C119</f>
        <v>199082304</v>
      </c>
      <c r="D114" s="772"/>
      <c r="E114" s="749"/>
    </row>
    <row r="115" spans="1:5" ht="12" customHeight="1" x14ac:dyDescent="0.2">
      <c r="A115" s="198" t="s">
        <v>92</v>
      </c>
      <c r="B115" s="396" t="s">
        <v>159</v>
      </c>
      <c r="C115" s="222">
        <f>97836015+9195000+1809000+39688976+553313</f>
        <v>149082304</v>
      </c>
      <c r="D115" s="772"/>
      <c r="E115" s="749"/>
    </row>
    <row r="116" spans="1:5" ht="12" customHeight="1" x14ac:dyDescent="0.2">
      <c r="A116" s="198" t="s">
        <v>93</v>
      </c>
      <c r="B116" s="397" t="s">
        <v>299</v>
      </c>
      <c r="C116" s="222"/>
      <c r="D116" s="772"/>
      <c r="E116" s="749"/>
    </row>
    <row r="117" spans="1:5" ht="12" customHeight="1" x14ac:dyDescent="0.2">
      <c r="A117" s="198" t="s">
        <v>94</v>
      </c>
      <c r="B117" s="397" t="s">
        <v>139</v>
      </c>
      <c r="C117" s="863">
        <v>50000000</v>
      </c>
      <c r="D117" s="772"/>
      <c r="E117" s="749"/>
    </row>
    <row r="118" spans="1:5" ht="12" customHeight="1" x14ac:dyDescent="0.2">
      <c r="A118" s="198" t="s">
        <v>95</v>
      </c>
      <c r="B118" s="397" t="s">
        <v>300</v>
      </c>
      <c r="C118" s="113"/>
      <c r="D118" s="772"/>
      <c r="E118" s="749"/>
    </row>
    <row r="119" spans="1:5" ht="12" customHeight="1" x14ac:dyDescent="0.2">
      <c r="A119" s="198" t="s">
        <v>96</v>
      </c>
      <c r="B119" s="389" t="s">
        <v>161</v>
      </c>
      <c r="C119" s="863"/>
      <c r="D119" s="772"/>
      <c r="E119" s="749"/>
    </row>
    <row r="120" spans="1:5" ht="12" customHeight="1" x14ac:dyDescent="0.2">
      <c r="A120" s="198" t="s">
        <v>105</v>
      </c>
      <c r="B120" s="388" t="s">
        <v>360</v>
      </c>
      <c r="C120" s="863"/>
      <c r="D120" s="772"/>
      <c r="E120" s="749"/>
    </row>
    <row r="121" spans="1:5" ht="12" customHeight="1" x14ac:dyDescent="0.2">
      <c r="A121" s="198" t="s">
        <v>107</v>
      </c>
      <c r="B121" s="403" t="s">
        <v>305</v>
      </c>
      <c r="C121" s="863"/>
      <c r="D121" s="772"/>
      <c r="E121" s="749"/>
    </row>
    <row r="122" spans="1:5" ht="12" customHeight="1" x14ac:dyDescent="0.2">
      <c r="A122" s="198" t="s">
        <v>140</v>
      </c>
      <c r="B122" s="404" t="s">
        <v>288</v>
      </c>
      <c r="C122" s="863"/>
      <c r="D122" s="772"/>
      <c r="E122" s="749"/>
    </row>
    <row r="123" spans="1:5" ht="12" customHeight="1" x14ac:dyDescent="0.2">
      <c r="A123" s="198" t="s">
        <v>141</v>
      </c>
      <c r="B123" s="404" t="s">
        <v>304</v>
      </c>
      <c r="C123" s="863"/>
      <c r="D123" s="772"/>
      <c r="E123" s="749"/>
    </row>
    <row r="124" spans="1:5" ht="12" customHeight="1" x14ac:dyDescent="0.2">
      <c r="A124" s="198" t="s">
        <v>142</v>
      </c>
      <c r="B124" s="404" t="s">
        <v>303</v>
      </c>
      <c r="C124" s="863"/>
      <c r="D124" s="772"/>
      <c r="E124" s="749"/>
    </row>
    <row r="125" spans="1:5" ht="12" customHeight="1" x14ac:dyDescent="0.2">
      <c r="A125" s="198" t="s">
        <v>296</v>
      </c>
      <c r="B125" s="404" t="s">
        <v>291</v>
      </c>
      <c r="C125" s="863"/>
      <c r="D125" s="772"/>
      <c r="E125" s="749"/>
    </row>
    <row r="126" spans="1:5" ht="12" customHeight="1" x14ac:dyDescent="0.2">
      <c r="A126" s="198" t="s">
        <v>297</v>
      </c>
      <c r="B126" s="404" t="s">
        <v>302</v>
      </c>
      <c r="C126" s="863"/>
      <c r="D126" s="772"/>
      <c r="E126" s="749"/>
    </row>
    <row r="127" spans="1:5" ht="12" customHeight="1" thickBot="1" x14ac:dyDescent="0.25">
      <c r="A127" s="207" t="s">
        <v>298</v>
      </c>
      <c r="B127" s="404" t="s">
        <v>301</v>
      </c>
      <c r="C127" s="173"/>
      <c r="D127" s="772"/>
      <c r="E127" s="749"/>
    </row>
    <row r="128" spans="1:5" ht="12" customHeight="1" thickBot="1" x14ac:dyDescent="0.25">
      <c r="A128" s="25" t="s">
        <v>18</v>
      </c>
      <c r="B128" s="376" t="s">
        <v>415</v>
      </c>
      <c r="C128" s="112">
        <f>+C93+C114</f>
        <v>336994407</v>
      </c>
      <c r="D128" s="772"/>
      <c r="E128" s="749"/>
    </row>
    <row r="129" spans="1:11" ht="12" customHeight="1" thickBot="1" x14ac:dyDescent="0.25">
      <c r="A129" s="25" t="s">
        <v>19</v>
      </c>
      <c r="B129" s="376" t="s">
        <v>416</v>
      </c>
      <c r="C129" s="112">
        <f>+C130+C131+C132</f>
        <v>1668000</v>
      </c>
      <c r="D129" s="772"/>
      <c r="E129" s="749"/>
    </row>
    <row r="130" spans="1:11" s="772" customFormat="1" ht="12" customHeight="1" x14ac:dyDescent="0.2">
      <c r="A130" s="198" t="s">
        <v>197</v>
      </c>
      <c r="B130" s="401" t="s">
        <v>460</v>
      </c>
      <c r="C130" s="863">
        <v>1668000</v>
      </c>
      <c r="E130" s="749"/>
    </row>
    <row r="131" spans="1:11" ht="12" customHeight="1" x14ac:dyDescent="0.2">
      <c r="A131" s="198" t="s">
        <v>200</v>
      </c>
      <c r="B131" s="401" t="s">
        <v>418</v>
      </c>
      <c r="C131" s="113"/>
      <c r="D131" s="772"/>
      <c r="E131" s="749"/>
    </row>
    <row r="132" spans="1:11" ht="12" customHeight="1" thickBot="1" x14ac:dyDescent="0.25">
      <c r="A132" s="207" t="s">
        <v>201</v>
      </c>
      <c r="B132" s="402" t="s">
        <v>461</v>
      </c>
      <c r="C132" s="113"/>
      <c r="D132" s="772"/>
      <c r="E132" s="749"/>
    </row>
    <row r="133" spans="1:11" ht="12" customHeight="1" thickBot="1" x14ac:dyDescent="0.25">
      <c r="A133" s="25" t="s">
        <v>20</v>
      </c>
      <c r="B133" s="376" t="s">
        <v>420</v>
      </c>
      <c r="C133" s="112">
        <f>+C134+C135+C136+C137+C138+C139</f>
        <v>0</v>
      </c>
      <c r="D133" s="772"/>
      <c r="E133" s="749"/>
    </row>
    <row r="134" spans="1:11" ht="12" customHeight="1" x14ac:dyDescent="0.2">
      <c r="A134" s="198" t="s">
        <v>79</v>
      </c>
      <c r="B134" s="401" t="s">
        <v>421</v>
      </c>
      <c r="C134" s="113"/>
      <c r="D134" s="772"/>
      <c r="E134" s="749"/>
    </row>
    <row r="135" spans="1:11" ht="12" customHeight="1" x14ac:dyDescent="0.2">
      <c r="A135" s="198" t="s">
        <v>80</v>
      </c>
      <c r="B135" s="401" t="s">
        <v>422</v>
      </c>
      <c r="C135" s="113"/>
      <c r="D135" s="772"/>
      <c r="E135" s="749"/>
    </row>
    <row r="136" spans="1:11" ht="12" customHeight="1" x14ac:dyDescent="0.2">
      <c r="A136" s="198" t="s">
        <v>81</v>
      </c>
      <c r="B136" s="401" t="s">
        <v>423</v>
      </c>
      <c r="C136" s="113"/>
      <c r="D136" s="772"/>
      <c r="E136" s="749"/>
    </row>
    <row r="137" spans="1:11" ht="12" customHeight="1" x14ac:dyDescent="0.2">
      <c r="A137" s="198" t="s">
        <v>127</v>
      </c>
      <c r="B137" s="401" t="s">
        <v>462</v>
      </c>
      <c r="C137" s="113"/>
      <c r="D137" s="772"/>
      <c r="E137" s="749"/>
    </row>
    <row r="138" spans="1:11" ht="12" customHeight="1" x14ac:dyDescent="0.2">
      <c r="A138" s="198" t="s">
        <v>128</v>
      </c>
      <c r="B138" s="401" t="s">
        <v>425</v>
      </c>
      <c r="C138" s="113"/>
      <c r="D138" s="772"/>
      <c r="E138" s="749"/>
    </row>
    <row r="139" spans="1:11" s="772" customFormat="1" ht="12" customHeight="1" thickBot="1" x14ac:dyDescent="0.25">
      <c r="A139" s="207" t="s">
        <v>129</v>
      </c>
      <c r="B139" s="402" t="s">
        <v>426</v>
      </c>
      <c r="C139" s="113"/>
      <c r="E139" s="749"/>
    </row>
    <row r="140" spans="1:11" ht="12" customHeight="1" thickBot="1" x14ac:dyDescent="0.25">
      <c r="A140" s="25" t="s">
        <v>21</v>
      </c>
      <c r="B140" s="376" t="s">
        <v>463</v>
      </c>
      <c r="C140" s="117">
        <f>+C141+C142+C143+C144</f>
        <v>0</v>
      </c>
      <c r="D140" s="772"/>
      <c r="E140" s="749"/>
      <c r="K140" s="100"/>
    </row>
    <row r="141" spans="1:11" ht="15.75" x14ac:dyDescent="0.2">
      <c r="A141" s="198" t="s">
        <v>82</v>
      </c>
      <c r="B141" s="401" t="s">
        <v>306</v>
      </c>
      <c r="C141" s="113"/>
      <c r="D141" s="772"/>
      <c r="E141" s="749"/>
    </row>
    <row r="142" spans="1:11" ht="12" customHeight="1" x14ac:dyDescent="0.2">
      <c r="A142" s="198" t="s">
        <v>83</v>
      </c>
      <c r="B142" s="401" t="s">
        <v>307</v>
      </c>
      <c r="C142" s="113"/>
      <c r="D142" s="772"/>
      <c r="E142" s="749"/>
    </row>
    <row r="143" spans="1:11" s="772" customFormat="1" ht="12" customHeight="1" x14ac:dyDescent="0.2">
      <c r="A143" s="198" t="s">
        <v>220</v>
      </c>
      <c r="B143" s="401" t="s">
        <v>428</v>
      </c>
      <c r="C143" s="113"/>
      <c r="E143" s="749"/>
    </row>
    <row r="144" spans="1:11" s="772" customFormat="1" ht="12" customHeight="1" thickBot="1" x14ac:dyDescent="0.25">
      <c r="A144" s="207" t="s">
        <v>221</v>
      </c>
      <c r="B144" s="402" t="s">
        <v>325</v>
      </c>
      <c r="C144" s="113"/>
      <c r="E144" s="749"/>
    </row>
    <row r="145" spans="1:5" s="772" customFormat="1" ht="12" customHeight="1" thickBot="1" x14ac:dyDescent="0.25">
      <c r="A145" s="25" t="s">
        <v>22</v>
      </c>
      <c r="B145" s="376" t="s">
        <v>429</v>
      </c>
      <c r="C145" s="120">
        <f>+C146+C147+C148+C149+C150</f>
        <v>0</v>
      </c>
      <c r="E145" s="749"/>
    </row>
    <row r="146" spans="1:5" s="772" customFormat="1" ht="12" customHeight="1" x14ac:dyDescent="0.2">
      <c r="A146" s="198" t="s">
        <v>84</v>
      </c>
      <c r="B146" s="401" t="s">
        <v>430</v>
      </c>
      <c r="C146" s="113"/>
      <c r="E146" s="749"/>
    </row>
    <row r="147" spans="1:5" s="772" customFormat="1" ht="12" customHeight="1" x14ac:dyDescent="0.2">
      <c r="A147" s="198" t="s">
        <v>85</v>
      </c>
      <c r="B147" s="401" t="s">
        <v>431</v>
      </c>
      <c r="C147" s="113"/>
      <c r="E147" s="749"/>
    </row>
    <row r="148" spans="1:5" s="772" customFormat="1" ht="12" customHeight="1" x14ac:dyDescent="0.2">
      <c r="A148" s="198" t="s">
        <v>232</v>
      </c>
      <c r="B148" s="401" t="s">
        <v>432</v>
      </c>
      <c r="C148" s="113"/>
      <c r="E148" s="749"/>
    </row>
    <row r="149" spans="1:5" ht="12.75" customHeight="1" x14ac:dyDescent="0.2">
      <c r="A149" s="198" t="s">
        <v>233</v>
      </c>
      <c r="B149" s="401" t="s">
        <v>464</v>
      </c>
      <c r="C149" s="113"/>
      <c r="D149" s="772"/>
      <c r="E149" s="749"/>
    </row>
    <row r="150" spans="1:5" ht="12.75" customHeight="1" thickBot="1" x14ac:dyDescent="0.25">
      <c r="A150" s="207" t="s">
        <v>434</v>
      </c>
      <c r="B150" s="402" t="s">
        <v>435</v>
      </c>
      <c r="C150" s="115"/>
      <c r="D150" s="772"/>
      <c r="E150" s="749"/>
    </row>
    <row r="151" spans="1:5" ht="12.75" customHeight="1" thickBot="1" x14ac:dyDescent="0.25">
      <c r="A151" s="254" t="s">
        <v>23</v>
      </c>
      <c r="B151" s="376" t="s">
        <v>436</v>
      </c>
      <c r="C151" s="120"/>
      <c r="D151" s="772"/>
      <c r="E151" s="749"/>
    </row>
    <row r="152" spans="1:5" ht="12" customHeight="1" thickBot="1" x14ac:dyDescent="0.25">
      <c r="A152" s="254" t="s">
        <v>24</v>
      </c>
      <c r="B152" s="376" t="s">
        <v>437</v>
      </c>
      <c r="C152" s="120"/>
      <c r="D152" s="772"/>
      <c r="E152" s="749"/>
    </row>
    <row r="153" spans="1:5" ht="15" customHeight="1" thickBot="1" x14ac:dyDescent="0.25">
      <c r="A153" s="25" t="s">
        <v>25</v>
      </c>
      <c r="B153" s="376" t="s">
        <v>438</v>
      </c>
      <c r="C153" s="194">
        <f>+C129+C133+C140+C145+C151+C152</f>
        <v>1668000</v>
      </c>
      <c r="D153" s="772"/>
      <c r="E153" s="749"/>
    </row>
    <row r="154" spans="1:5" ht="16.5" thickBot="1" x14ac:dyDescent="0.25">
      <c r="A154" s="209" t="s">
        <v>26</v>
      </c>
      <c r="B154" s="379" t="s">
        <v>439</v>
      </c>
      <c r="C154" s="194">
        <f>+C128+C153</f>
        <v>338662407</v>
      </c>
      <c r="D154" s="772"/>
      <c r="E154" s="749"/>
    </row>
    <row r="155" spans="1:5" ht="15" customHeight="1" thickBot="1" x14ac:dyDescent="0.25"/>
    <row r="156" spans="1:5" ht="14.25" customHeight="1" thickBot="1" x14ac:dyDescent="0.25">
      <c r="A156" s="1477" t="s">
        <v>754</v>
      </c>
      <c r="B156" s="1478"/>
      <c r="C156" s="802">
        <v>0</v>
      </c>
    </row>
  </sheetData>
  <sheetProtection formatCells="0"/>
  <mergeCells count="4">
    <mergeCell ref="A1:C1"/>
    <mergeCell ref="A92:C92"/>
    <mergeCell ref="A156:B156"/>
    <mergeCell ref="A3:C3"/>
  </mergeCells>
  <printOptions horizontalCentered="1"/>
  <pageMargins left="0.7" right="0.7" top="0.75" bottom="0.75" header="0.3" footer="0.3"/>
  <pageSetup paperSize="9" scale="72" orientation="portrait" r:id="rId1"/>
  <headerFooter alignWithMargins="0"/>
  <rowBreaks count="2" manualBreakCount="2">
    <brk id="74" max="16383" man="1"/>
    <brk id="91" max="16383" man="1"/>
  </rowBreaks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4"/>
  <dimension ref="A1:S62"/>
  <sheetViews>
    <sheetView topLeftCell="A28" zoomScale="115" zoomScaleNormal="115" zoomScaleSheetLayoutView="100" zoomScalePageLayoutView="85" workbookViewId="0">
      <selection activeCell="B51" sqref="B51"/>
    </sheetView>
  </sheetViews>
  <sheetFormatPr defaultRowHeight="12.75" x14ac:dyDescent="0.2"/>
  <cols>
    <col min="1" max="1" width="13.83203125" style="96" customWidth="1"/>
    <col min="2" max="2" width="79.1640625" style="774" customWidth="1"/>
    <col min="3" max="3" width="14" style="320" customWidth="1"/>
    <col min="4" max="4" width="10" style="779" hidden="1" customWidth="1"/>
    <col min="5" max="5" width="10.5" style="779" hidden="1" customWidth="1"/>
    <col min="6" max="9" width="9.33203125" style="790" customWidth="1"/>
    <col min="10" max="19" width="9.33203125" style="790"/>
    <col min="20" max="16384" width="9.33203125" style="774"/>
  </cols>
  <sheetData>
    <row r="1" spans="1:19" x14ac:dyDescent="0.2">
      <c r="A1" s="1482" t="str">
        <f>CONCATENATE("17. melléklet"," ",ALAPADATOK!A7," ",ALAPADATOK!B7," ",ALAPADATOK!C7," ",ALAPADATOK!D7," ",ALAPADATOK!E7," ",ALAPADATOK!F7," ",ALAPADATOK!G7," ",ALAPADATOK!H7)</f>
        <v>17. melléklet a 19 / 2021. ( XI.29. ) önkormányzati rendelethez</v>
      </c>
      <c r="B1" s="1482"/>
      <c r="C1" s="1482"/>
    </row>
    <row r="2" spans="1:19" s="77" customFormat="1" ht="21" customHeight="1" x14ac:dyDescent="0.2">
      <c r="A2" s="76"/>
      <c r="B2" s="78"/>
      <c r="C2" s="216"/>
      <c r="D2" s="779"/>
      <c r="E2" s="779"/>
      <c r="F2" s="501"/>
      <c r="G2" s="501"/>
      <c r="H2" s="501"/>
      <c r="I2" s="501"/>
      <c r="J2" s="501"/>
      <c r="K2" s="501"/>
      <c r="L2" s="501"/>
      <c r="M2" s="501"/>
      <c r="N2" s="501"/>
      <c r="O2" s="501"/>
      <c r="P2" s="501"/>
      <c r="Q2" s="501"/>
      <c r="R2" s="501"/>
      <c r="S2" s="501"/>
    </row>
    <row r="3" spans="1:19" s="1" customFormat="1" ht="16.5" customHeight="1" thickBot="1" x14ac:dyDescent="0.25">
      <c r="A3" s="1442" t="s">
        <v>1036</v>
      </c>
      <c r="B3" s="1442"/>
      <c r="C3" s="1442"/>
      <c r="D3" s="778"/>
      <c r="E3" s="778"/>
      <c r="F3" s="777"/>
    </row>
    <row r="4" spans="1:19" ht="24.75" thickBot="1" x14ac:dyDescent="0.25">
      <c r="A4" s="175" t="s">
        <v>154</v>
      </c>
      <c r="B4" s="81" t="s">
        <v>50</v>
      </c>
      <c r="C4" s="82" t="s">
        <v>1033</v>
      </c>
    </row>
    <row r="5" spans="1:19" s="219" customFormat="1" ht="12.95" customHeight="1" thickBot="1" x14ac:dyDescent="0.25">
      <c r="A5" s="71" t="s">
        <v>391</v>
      </c>
      <c r="B5" s="72" t="s">
        <v>392</v>
      </c>
      <c r="C5" s="73" t="s">
        <v>393</v>
      </c>
      <c r="D5" s="350"/>
      <c r="E5" s="350"/>
      <c r="F5" s="502"/>
      <c r="G5" s="502"/>
      <c r="H5" s="502"/>
      <c r="I5" s="502"/>
      <c r="J5" s="502"/>
      <c r="K5" s="502"/>
      <c r="L5" s="502"/>
      <c r="M5" s="502"/>
      <c r="N5" s="502"/>
      <c r="O5" s="502"/>
      <c r="P5" s="502"/>
      <c r="Q5" s="502"/>
      <c r="R5" s="502"/>
      <c r="S5" s="502"/>
    </row>
    <row r="6" spans="1:19" s="219" customFormat="1" ht="15.95" customHeight="1" thickBot="1" x14ac:dyDescent="0.25">
      <c r="A6" s="83"/>
      <c r="B6" s="84" t="s">
        <v>52</v>
      </c>
      <c r="C6" s="85"/>
      <c r="D6" s="350"/>
      <c r="E6" s="350"/>
      <c r="F6" s="502"/>
      <c r="G6" s="502"/>
      <c r="H6" s="502"/>
      <c r="I6" s="502"/>
      <c r="J6" s="502"/>
      <c r="K6" s="502"/>
      <c r="L6" s="502"/>
      <c r="M6" s="502"/>
      <c r="N6" s="502"/>
      <c r="O6" s="502"/>
      <c r="P6" s="502"/>
      <c r="Q6" s="502"/>
      <c r="R6" s="502"/>
      <c r="S6" s="502"/>
    </row>
    <row r="7" spans="1:19" s="168" customFormat="1" ht="12" customHeight="1" thickBot="1" x14ac:dyDescent="0.25">
      <c r="A7" s="71" t="s">
        <v>16</v>
      </c>
      <c r="B7" s="86" t="s">
        <v>467</v>
      </c>
      <c r="C7" s="856">
        <f>SUM(C8:C18)</f>
        <v>46202448</v>
      </c>
      <c r="D7" s="351">
        <f>'9.2.1. sz. mell'!C7+'9.2.2. sz.  mell'!C9+'9.2.3. sz. mell.'!C7</f>
        <v>46202448</v>
      </c>
      <c r="E7" s="503">
        <f t="shared" ref="E7:E41" si="0">C7-D7</f>
        <v>0</v>
      </c>
      <c r="F7" s="504"/>
      <c r="G7" s="504"/>
      <c r="H7" s="504"/>
      <c r="I7" s="504"/>
      <c r="J7" s="504"/>
      <c r="K7" s="504"/>
      <c r="L7" s="504"/>
      <c r="M7" s="504"/>
      <c r="N7" s="504"/>
      <c r="O7" s="504"/>
      <c r="P7" s="504"/>
      <c r="Q7" s="504"/>
      <c r="R7" s="504"/>
      <c r="S7" s="504"/>
    </row>
    <row r="8" spans="1:19" s="168" customFormat="1" ht="12" customHeight="1" x14ac:dyDescent="0.2">
      <c r="A8" s="211" t="s">
        <v>86</v>
      </c>
      <c r="B8" s="7" t="s">
        <v>209</v>
      </c>
      <c r="C8" s="158"/>
      <c r="D8" s="351">
        <f>'9.2.1. sz. mell'!C8+'9.2.2. sz.  mell'!C10+'9.2.3. sz. mell.'!C8</f>
        <v>0</v>
      </c>
      <c r="E8" s="503">
        <f t="shared" si="0"/>
        <v>0</v>
      </c>
      <c r="F8" s="504"/>
      <c r="G8" s="504"/>
      <c r="H8" s="504"/>
      <c r="I8" s="504"/>
      <c r="J8" s="504"/>
      <c r="K8" s="504"/>
      <c r="L8" s="504"/>
      <c r="M8" s="504"/>
      <c r="N8" s="504"/>
      <c r="O8" s="504"/>
      <c r="P8" s="504"/>
      <c r="Q8" s="504"/>
      <c r="R8" s="504"/>
      <c r="S8" s="504"/>
    </row>
    <row r="9" spans="1:19" s="168" customFormat="1" ht="12" customHeight="1" x14ac:dyDescent="0.2">
      <c r="A9" s="212" t="s">
        <v>87</v>
      </c>
      <c r="B9" s="5" t="s">
        <v>210</v>
      </c>
      <c r="C9" s="854">
        <f>5076402+9800597</f>
        <v>14876999</v>
      </c>
      <c r="D9" s="351">
        <f>'9.2.1. sz. mell'!C9+'9.2.2. sz.  mell'!C11+'9.2.3. sz. mell.'!C9</f>
        <v>14876999</v>
      </c>
      <c r="E9" s="503">
        <f t="shared" si="0"/>
        <v>0</v>
      </c>
      <c r="F9" s="504"/>
      <c r="G9" s="504"/>
      <c r="H9" s="504"/>
      <c r="I9" s="504"/>
      <c r="J9" s="504"/>
      <c r="K9" s="504"/>
      <c r="L9" s="504"/>
      <c r="M9" s="504"/>
      <c r="N9" s="504"/>
      <c r="O9" s="504"/>
      <c r="P9" s="504"/>
      <c r="Q9" s="504"/>
      <c r="R9" s="504"/>
      <c r="S9" s="504"/>
    </row>
    <row r="10" spans="1:19" s="168" customFormat="1" ht="12" customHeight="1" x14ac:dyDescent="0.2">
      <c r="A10" s="212" t="s">
        <v>88</v>
      </c>
      <c r="B10" s="5" t="s">
        <v>211</v>
      </c>
      <c r="C10" s="854">
        <f>2788648+1220327</f>
        <v>4008975</v>
      </c>
      <c r="D10" s="351">
        <f>'9.2.1. sz. mell'!C10+'9.2.2. sz.  mell'!C12+'9.2.3. sz. mell.'!C10</f>
        <v>4008975</v>
      </c>
      <c r="E10" s="503">
        <f t="shared" si="0"/>
        <v>0</v>
      </c>
      <c r="F10" s="504"/>
      <c r="G10" s="504"/>
      <c r="H10" s="504"/>
      <c r="I10" s="504"/>
      <c r="J10" s="504"/>
      <c r="K10" s="504"/>
      <c r="L10" s="504"/>
      <c r="M10" s="504"/>
      <c r="N10" s="504"/>
      <c r="O10" s="504"/>
      <c r="P10" s="504"/>
      <c r="Q10" s="504"/>
      <c r="R10" s="504"/>
      <c r="S10" s="504"/>
    </row>
    <row r="11" spans="1:19" s="168" customFormat="1" ht="12" customHeight="1" x14ac:dyDescent="0.2">
      <c r="A11" s="212" t="s">
        <v>89</v>
      </c>
      <c r="B11" s="5" t="s">
        <v>212</v>
      </c>
      <c r="C11" s="859"/>
      <c r="D11" s="351">
        <f>'9.2.1. sz. mell'!C11+'9.2.2. sz.  mell'!C13+'9.2.3. sz. mell.'!C11</f>
        <v>0</v>
      </c>
      <c r="E11" s="503">
        <f t="shared" si="0"/>
        <v>0</v>
      </c>
      <c r="F11" s="504"/>
      <c r="G11" s="504"/>
      <c r="H11" s="504"/>
      <c r="I11" s="504"/>
      <c r="J11" s="504"/>
      <c r="K11" s="504"/>
      <c r="L11" s="504"/>
      <c r="M11" s="504"/>
      <c r="N11" s="504"/>
      <c r="O11" s="504"/>
      <c r="P11" s="504"/>
      <c r="Q11" s="504"/>
      <c r="R11" s="504"/>
      <c r="S11" s="504"/>
    </row>
    <row r="12" spans="1:19" s="168" customFormat="1" ht="12" customHeight="1" x14ac:dyDescent="0.2">
      <c r="A12" s="212" t="s">
        <v>112</v>
      </c>
      <c r="B12" s="5" t="s">
        <v>213</v>
      </c>
      <c r="C12" s="854">
        <f>17732140</f>
        <v>17732140</v>
      </c>
      <c r="D12" s="351">
        <f>'9.2.1. sz. mell'!C12+'9.2.2. sz.  mell'!C14+'9.2.3. sz. mell.'!C12</f>
        <v>17732140</v>
      </c>
      <c r="E12" s="503">
        <f t="shared" si="0"/>
        <v>0</v>
      </c>
      <c r="F12" s="504"/>
      <c r="G12" s="504"/>
      <c r="H12" s="504"/>
      <c r="I12" s="504"/>
      <c r="J12" s="504"/>
      <c r="K12" s="504"/>
      <c r="L12" s="504"/>
      <c r="M12" s="504"/>
      <c r="N12" s="504"/>
      <c r="O12" s="504"/>
      <c r="P12" s="504"/>
      <c r="Q12" s="504"/>
      <c r="R12" s="504"/>
      <c r="S12" s="504"/>
    </row>
    <row r="13" spans="1:19" s="168" customFormat="1" ht="12" customHeight="1" x14ac:dyDescent="0.2">
      <c r="A13" s="212" t="s">
        <v>90</v>
      </c>
      <c r="B13" s="5" t="s">
        <v>333</v>
      </c>
      <c r="C13" s="854">
        <f>2123564+4787678</f>
        <v>6911242</v>
      </c>
      <c r="D13" s="351">
        <f>'9.2.1. sz. mell'!C13+'9.2.2. sz.  mell'!C15+'9.2.3. sz. mell.'!C13</f>
        <v>6911242</v>
      </c>
      <c r="E13" s="503">
        <f t="shared" si="0"/>
        <v>0</v>
      </c>
      <c r="F13" s="504"/>
      <c r="G13" s="504"/>
      <c r="H13" s="504"/>
      <c r="I13" s="504"/>
      <c r="J13" s="504"/>
      <c r="K13" s="504"/>
      <c r="L13" s="504"/>
      <c r="M13" s="504"/>
      <c r="N13" s="504"/>
      <c r="O13" s="504"/>
      <c r="P13" s="504"/>
      <c r="Q13" s="504"/>
      <c r="R13" s="504"/>
      <c r="S13" s="504"/>
    </row>
    <row r="14" spans="1:19" s="168" customFormat="1" ht="12" customHeight="1" x14ac:dyDescent="0.2">
      <c r="A14" s="212" t="s">
        <v>91</v>
      </c>
      <c r="B14" s="4" t="s">
        <v>334</v>
      </c>
      <c r="C14" s="854">
        <f>2573092</f>
        <v>2573092</v>
      </c>
      <c r="D14" s="351">
        <f>'9.2.1. sz. mell'!C14+'9.2.2. sz.  mell'!C16+'9.2.3. sz. mell.'!C14</f>
        <v>2573092</v>
      </c>
      <c r="E14" s="503">
        <f t="shared" si="0"/>
        <v>0</v>
      </c>
      <c r="F14" s="504"/>
      <c r="G14" s="504"/>
      <c r="H14" s="504"/>
      <c r="I14" s="504"/>
      <c r="J14" s="504"/>
      <c r="K14" s="504"/>
      <c r="L14" s="504"/>
      <c r="M14" s="504"/>
      <c r="N14" s="504"/>
      <c r="O14" s="504"/>
      <c r="P14" s="504"/>
      <c r="Q14" s="504"/>
      <c r="R14" s="504"/>
      <c r="S14" s="504"/>
    </row>
    <row r="15" spans="1:19" s="168" customFormat="1" ht="12" customHeight="1" x14ac:dyDescent="0.2">
      <c r="A15" s="212" t="s">
        <v>101</v>
      </c>
      <c r="B15" s="5" t="s">
        <v>216</v>
      </c>
      <c r="C15" s="127"/>
      <c r="D15" s="351">
        <f>'9.2.1. sz. mell'!C15+'9.2.2. sz.  mell'!C17+'9.2.3. sz. mell.'!C15</f>
        <v>0</v>
      </c>
      <c r="E15" s="503">
        <f t="shared" si="0"/>
        <v>0</v>
      </c>
      <c r="F15" s="504"/>
      <c r="G15" s="504"/>
      <c r="H15" s="504"/>
      <c r="I15" s="504"/>
      <c r="J15" s="504"/>
      <c r="K15" s="504"/>
      <c r="L15" s="504"/>
      <c r="M15" s="504"/>
      <c r="N15" s="504"/>
      <c r="O15" s="504"/>
      <c r="P15" s="504"/>
      <c r="Q15" s="504"/>
      <c r="R15" s="504"/>
      <c r="S15" s="504"/>
    </row>
    <row r="16" spans="1:19" s="220" customFormat="1" ht="12" customHeight="1" x14ac:dyDescent="0.2">
      <c r="A16" s="212" t="s">
        <v>102</v>
      </c>
      <c r="B16" s="5" t="s">
        <v>217</v>
      </c>
      <c r="C16" s="854"/>
      <c r="D16" s="351">
        <f>'9.2.1. sz. mell'!C16+'9.2.2. sz.  mell'!C18+'9.2.3. sz. mell.'!C16</f>
        <v>0</v>
      </c>
      <c r="E16" s="503">
        <f t="shared" si="0"/>
        <v>0</v>
      </c>
      <c r="F16" s="505"/>
      <c r="G16" s="505"/>
      <c r="H16" s="505"/>
      <c r="I16" s="505"/>
      <c r="J16" s="505"/>
      <c r="K16" s="505"/>
      <c r="L16" s="505"/>
      <c r="M16" s="505"/>
      <c r="N16" s="505"/>
      <c r="O16" s="505"/>
      <c r="P16" s="505"/>
      <c r="Q16" s="505"/>
      <c r="R16" s="505"/>
      <c r="S16" s="505"/>
    </row>
    <row r="17" spans="1:19" s="220" customFormat="1" ht="12" customHeight="1" x14ac:dyDescent="0.2">
      <c r="A17" s="212" t="s">
        <v>103</v>
      </c>
      <c r="B17" s="5" t="s">
        <v>397</v>
      </c>
      <c r="C17" s="414"/>
      <c r="D17" s="351">
        <f>'9.2.1. sz. mell'!C17+'9.2.2. sz.  mell'!C19+'9.2.3. sz. mell.'!C17</f>
        <v>0</v>
      </c>
      <c r="E17" s="503">
        <f t="shared" si="0"/>
        <v>0</v>
      </c>
      <c r="F17" s="505"/>
      <c r="G17" s="505"/>
      <c r="H17" s="505"/>
      <c r="I17" s="505"/>
      <c r="J17" s="505"/>
      <c r="K17" s="505"/>
      <c r="L17" s="505"/>
      <c r="M17" s="505"/>
      <c r="N17" s="505"/>
      <c r="O17" s="505"/>
      <c r="P17" s="505"/>
      <c r="Q17" s="505"/>
      <c r="R17" s="505"/>
      <c r="S17" s="505"/>
    </row>
    <row r="18" spans="1:19" s="220" customFormat="1" ht="12" customHeight="1" thickBot="1" x14ac:dyDescent="0.25">
      <c r="A18" s="212" t="s">
        <v>104</v>
      </c>
      <c r="B18" s="4" t="s">
        <v>218</v>
      </c>
      <c r="C18" s="414">
        <v>100000</v>
      </c>
      <c r="D18" s="351">
        <f>'9.2.1. sz. mell'!C18+'9.2.2. sz.  mell'!C20+'9.2.3. sz. mell.'!C18</f>
        <v>100000</v>
      </c>
      <c r="E18" s="503">
        <f t="shared" si="0"/>
        <v>0</v>
      </c>
      <c r="F18" s="505"/>
      <c r="G18" s="505"/>
      <c r="H18" s="505"/>
      <c r="I18" s="505"/>
      <c r="J18" s="505"/>
      <c r="K18" s="505"/>
      <c r="L18" s="505"/>
      <c r="M18" s="505"/>
      <c r="N18" s="505"/>
      <c r="O18" s="505"/>
      <c r="P18" s="505"/>
      <c r="Q18" s="505"/>
      <c r="R18" s="505"/>
      <c r="S18" s="505"/>
    </row>
    <row r="19" spans="1:19" s="168" customFormat="1" ht="12" customHeight="1" thickBot="1" x14ac:dyDescent="0.25">
      <c r="A19" s="71" t="s">
        <v>17</v>
      </c>
      <c r="B19" s="86" t="s">
        <v>335</v>
      </c>
      <c r="C19" s="856">
        <f>SUM(C20:C22)</f>
        <v>0</v>
      </c>
      <c r="D19" s="351">
        <f>'9.2.1. sz. mell'!C19+'9.2.2. sz.  mell'!C21+'9.2.3. sz. mell.'!C19</f>
        <v>0</v>
      </c>
      <c r="E19" s="503">
        <f t="shared" si="0"/>
        <v>0</v>
      </c>
      <c r="F19" s="504"/>
      <c r="G19" s="504"/>
      <c r="H19" s="504"/>
      <c r="I19" s="504"/>
      <c r="J19" s="504"/>
      <c r="K19" s="504"/>
      <c r="L19" s="504"/>
      <c r="M19" s="504"/>
      <c r="N19" s="504"/>
      <c r="O19" s="504"/>
      <c r="P19" s="504"/>
      <c r="Q19" s="504"/>
      <c r="R19" s="504"/>
      <c r="S19" s="504"/>
    </row>
    <row r="20" spans="1:19" s="220" customFormat="1" ht="12" customHeight="1" x14ac:dyDescent="0.2">
      <c r="A20" s="212" t="s">
        <v>92</v>
      </c>
      <c r="B20" s="6" t="s">
        <v>187</v>
      </c>
      <c r="C20" s="124"/>
      <c r="D20" s="351">
        <f>'9.2.1. sz. mell'!C20+'9.2.2. sz.  mell'!C22+'9.2.3. sz. mell.'!C20</f>
        <v>0</v>
      </c>
      <c r="E20" s="503">
        <f t="shared" si="0"/>
        <v>0</v>
      </c>
      <c r="F20" s="505"/>
      <c r="G20" s="505"/>
      <c r="H20" s="505"/>
      <c r="I20" s="505"/>
      <c r="J20" s="505"/>
      <c r="K20" s="505"/>
      <c r="L20" s="505"/>
      <c r="M20" s="505"/>
      <c r="N20" s="505"/>
      <c r="O20" s="505"/>
      <c r="P20" s="505"/>
      <c r="Q20" s="505"/>
      <c r="R20" s="505"/>
      <c r="S20" s="505"/>
    </row>
    <row r="21" spans="1:19" s="220" customFormat="1" ht="12" customHeight="1" x14ac:dyDescent="0.2">
      <c r="A21" s="212" t="s">
        <v>93</v>
      </c>
      <c r="B21" s="5" t="s">
        <v>336</v>
      </c>
      <c r="C21" s="854"/>
      <c r="D21" s="351">
        <f>'9.2.1. sz. mell'!C21+'9.2.2. sz.  mell'!C23+'9.2.3. sz. mell.'!C21</f>
        <v>0</v>
      </c>
      <c r="E21" s="503">
        <f t="shared" si="0"/>
        <v>0</v>
      </c>
      <c r="F21" s="505"/>
      <c r="G21" s="505"/>
      <c r="H21" s="505"/>
      <c r="I21" s="505"/>
      <c r="J21" s="505"/>
      <c r="K21" s="505"/>
      <c r="L21" s="505"/>
      <c r="M21" s="505"/>
      <c r="N21" s="505"/>
      <c r="O21" s="505"/>
      <c r="P21" s="505"/>
      <c r="Q21" s="505"/>
      <c r="R21" s="505"/>
      <c r="S21" s="505"/>
    </row>
    <row r="22" spans="1:19" s="220" customFormat="1" ht="12" customHeight="1" x14ac:dyDescent="0.2">
      <c r="A22" s="212" t="s">
        <v>94</v>
      </c>
      <c r="B22" s="5" t="s">
        <v>337</v>
      </c>
      <c r="C22" s="859"/>
      <c r="D22" s="351">
        <f>'9.2.1. sz. mell'!C22+'9.2.2. sz.  mell'!C24+'9.2.3. sz. mell.'!C22</f>
        <v>0</v>
      </c>
      <c r="E22" s="503">
        <f t="shared" si="0"/>
        <v>0</v>
      </c>
      <c r="F22" s="505"/>
      <c r="G22" s="505"/>
      <c r="H22" s="505"/>
      <c r="I22" s="505"/>
      <c r="J22" s="505"/>
      <c r="K22" s="505"/>
      <c r="L22" s="505"/>
      <c r="M22" s="505"/>
      <c r="N22" s="505"/>
      <c r="O22" s="505"/>
      <c r="P22" s="505"/>
      <c r="Q22" s="505"/>
      <c r="R22" s="505"/>
      <c r="S22" s="505"/>
    </row>
    <row r="23" spans="1:19" s="220" customFormat="1" ht="12" customHeight="1" thickBot="1" x14ac:dyDescent="0.25">
      <c r="A23" s="212" t="s">
        <v>95</v>
      </c>
      <c r="B23" s="5" t="s">
        <v>468</v>
      </c>
      <c r="C23" s="854"/>
      <c r="D23" s="351">
        <f>'9.2.1. sz. mell'!C23+'9.2.2. sz.  mell'!C25+'9.2.3. sz. mell.'!C23</f>
        <v>0</v>
      </c>
      <c r="E23" s="503">
        <f t="shared" si="0"/>
        <v>0</v>
      </c>
      <c r="F23" s="505"/>
      <c r="G23" s="505"/>
      <c r="H23" s="505"/>
      <c r="I23" s="505"/>
      <c r="J23" s="505"/>
      <c r="K23" s="505"/>
      <c r="L23" s="505"/>
      <c r="M23" s="505"/>
      <c r="N23" s="505"/>
      <c r="O23" s="505"/>
      <c r="P23" s="505"/>
      <c r="Q23" s="505"/>
      <c r="R23" s="505"/>
      <c r="S23" s="505"/>
    </row>
    <row r="24" spans="1:19" s="220" customFormat="1" ht="12" customHeight="1" thickBot="1" x14ac:dyDescent="0.25">
      <c r="A24" s="74" t="s">
        <v>18</v>
      </c>
      <c r="B24" s="54" t="s">
        <v>126</v>
      </c>
      <c r="C24" s="144"/>
      <c r="D24" s="351">
        <f>'9.2.1. sz. mell'!C24+'9.2.2. sz.  mell'!C26+'9.2.3. sz. mell.'!C24</f>
        <v>0</v>
      </c>
      <c r="E24" s="503">
        <f t="shared" si="0"/>
        <v>0</v>
      </c>
      <c r="F24" s="505"/>
      <c r="G24" s="505"/>
      <c r="H24" s="505"/>
      <c r="I24" s="505"/>
      <c r="J24" s="505"/>
      <c r="K24" s="505"/>
      <c r="L24" s="505"/>
      <c r="M24" s="505"/>
      <c r="N24" s="505"/>
      <c r="O24" s="505"/>
      <c r="P24" s="505"/>
      <c r="Q24" s="505"/>
      <c r="R24" s="505"/>
      <c r="S24" s="505"/>
    </row>
    <row r="25" spans="1:19" s="220" customFormat="1" ht="12" customHeight="1" thickBot="1" x14ac:dyDescent="0.25">
      <c r="A25" s="74" t="s">
        <v>19</v>
      </c>
      <c r="B25" s="54" t="s">
        <v>469</v>
      </c>
      <c r="C25" s="856">
        <f>+C26+C27+C28</f>
        <v>0</v>
      </c>
      <c r="D25" s="351">
        <f>'9.2.1. sz. mell'!C25+'9.2.2. sz.  mell'!C27+'9.2.3. sz. mell.'!C25</f>
        <v>0</v>
      </c>
      <c r="E25" s="503">
        <f t="shared" si="0"/>
        <v>0</v>
      </c>
      <c r="F25" s="505"/>
      <c r="G25" s="505"/>
      <c r="H25" s="505"/>
      <c r="I25" s="505"/>
      <c r="J25" s="505"/>
      <c r="K25" s="505"/>
      <c r="L25" s="505"/>
      <c r="M25" s="505"/>
      <c r="N25" s="505"/>
      <c r="O25" s="505"/>
      <c r="P25" s="505"/>
      <c r="Q25" s="505"/>
      <c r="R25" s="505"/>
      <c r="S25" s="505"/>
    </row>
    <row r="26" spans="1:19" s="220" customFormat="1" ht="12" customHeight="1" x14ac:dyDescent="0.2">
      <c r="A26" s="213" t="s">
        <v>197</v>
      </c>
      <c r="B26" s="214" t="s">
        <v>192</v>
      </c>
      <c r="C26" s="853"/>
      <c r="D26" s="351">
        <f>'9.2.1. sz. mell'!C26+'9.2.2. sz.  mell'!C28+'9.2.3. sz. mell.'!C26</f>
        <v>0</v>
      </c>
      <c r="E26" s="503">
        <f t="shared" si="0"/>
        <v>0</v>
      </c>
      <c r="F26" s="505"/>
      <c r="G26" s="505"/>
      <c r="H26" s="505"/>
      <c r="I26" s="505"/>
      <c r="J26" s="505"/>
      <c r="K26" s="505"/>
      <c r="L26" s="505"/>
      <c r="M26" s="505"/>
      <c r="N26" s="505"/>
      <c r="O26" s="505"/>
      <c r="P26" s="505"/>
      <c r="Q26" s="505"/>
      <c r="R26" s="505"/>
      <c r="S26" s="505"/>
    </row>
    <row r="27" spans="1:19" s="220" customFormat="1" ht="12" customHeight="1" x14ac:dyDescent="0.2">
      <c r="A27" s="213" t="s">
        <v>200</v>
      </c>
      <c r="B27" s="214" t="s">
        <v>336</v>
      </c>
      <c r="C27" s="124"/>
      <c r="D27" s="351">
        <f>'9.2.1. sz. mell'!C27+'9.2.2. sz.  mell'!C29+'9.2.3. sz. mell.'!C27</f>
        <v>0</v>
      </c>
      <c r="E27" s="503">
        <f t="shared" si="0"/>
        <v>0</v>
      </c>
      <c r="F27" s="505"/>
      <c r="G27" s="505"/>
      <c r="H27" s="505"/>
      <c r="I27" s="505"/>
      <c r="J27" s="505"/>
      <c r="K27" s="505"/>
      <c r="L27" s="505"/>
      <c r="M27" s="505"/>
      <c r="N27" s="505"/>
      <c r="O27" s="505"/>
      <c r="P27" s="505"/>
      <c r="Q27" s="505"/>
      <c r="R27" s="505"/>
      <c r="S27" s="505"/>
    </row>
    <row r="28" spans="1:19" s="220" customFormat="1" ht="12" customHeight="1" x14ac:dyDescent="0.2">
      <c r="A28" s="213" t="s">
        <v>201</v>
      </c>
      <c r="B28" s="215" t="s">
        <v>338</v>
      </c>
      <c r="C28" s="124"/>
      <c r="D28" s="351">
        <f>'9.2.1. sz. mell'!C28+'9.2.2. sz.  mell'!C30+'9.2.3. sz. mell.'!C28</f>
        <v>0</v>
      </c>
      <c r="E28" s="503">
        <f t="shared" si="0"/>
        <v>0</v>
      </c>
      <c r="F28" s="505"/>
      <c r="G28" s="505"/>
      <c r="H28" s="505"/>
      <c r="I28" s="505"/>
      <c r="J28" s="505"/>
      <c r="K28" s="505"/>
      <c r="L28" s="505"/>
      <c r="M28" s="505"/>
      <c r="N28" s="505"/>
      <c r="O28" s="505"/>
      <c r="P28" s="505"/>
      <c r="Q28" s="505"/>
      <c r="R28" s="505"/>
      <c r="S28" s="505"/>
    </row>
    <row r="29" spans="1:19" s="220" customFormat="1" ht="12" customHeight="1" thickBot="1" x14ac:dyDescent="0.25">
      <c r="A29" s="212" t="s">
        <v>202</v>
      </c>
      <c r="B29" s="57" t="s">
        <v>470</v>
      </c>
      <c r="C29" s="855"/>
      <c r="D29" s="351">
        <f>'9.2.1. sz. mell'!C29+'9.2.2. sz.  mell'!C31+'9.2.3. sz. mell.'!C29</f>
        <v>0</v>
      </c>
      <c r="E29" s="503">
        <f t="shared" si="0"/>
        <v>0</v>
      </c>
      <c r="F29" s="505"/>
      <c r="G29" s="505"/>
      <c r="H29" s="505"/>
      <c r="I29" s="505"/>
      <c r="J29" s="505"/>
      <c r="K29" s="505"/>
      <c r="L29" s="505"/>
      <c r="M29" s="505"/>
      <c r="N29" s="505"/>
      <c r="O29" s="505"/>
      <c r="P29" s="505"/>
      <c r="Q29" s="505"/>
      <c r="R29" s="505"/>
      <c r="S29" s="505"/>
    </row>
    <row r="30" spans="1:19" s="220" customFormat="1" ht="12" customHeight="1" thickBot="1" x14ac:dyDescent="0.25">
      <c r="A30" s="74" t="s">
        <v>20</v>
      </c>
      <c r="B30" s="54" t="s">
        <v>339</v>
      </c>
      <c r="C30" s="856">
        <f>+C31+C32+C33</f>
        <v>0</v>
      </c>
      <c r="D30" s="351">
        <f>'9.2.1. sz. mell'!C30+'9.2.2. sz.  mell'!C32+'9.2.3. sz. mell.'!C30</f>
        <v>0</v>
      </c>
      <c r="E30" s="503">
        <f t="shared" si="0"/>
        <v>0</v>
      </c>
      <c r="F30" s="505"/>
      <c r="G30" s="505"/>
      <c r="H30" s="505"/>
      <c r="I30" s="505"/>
      <c r="J30" s="505"/>
      <c r="K30" s="505"/>
      <c r="L30" s="505"/>
      <c r="M30" s="505"/>
      <c r="N30" s="505"/>
      <c r="O30" s="505"/>
      <c r="P30" s="505"/>
      <c r="Q30" s="505"/>
      <c r="R30" s="505"/>
      <c r="S30" s="505"/>
    </row>
    <row r="31" spans="1:19" s="220" customFormat="1" ht="12" customHeight="1" x14ac:dyDescent="0.2">
      <c r="A31" s="213" t="s">
        <v>79</v>
      </c>
      <c r="B31" s="214" t="s">
        <v>223</v>
      </c>
      <c r="C31" s="853"/>
      <c r="D31" s="351">
        <f>'9.2.1. sz. mell'!C31+'9.2.2. sz.  mell'!C33+'9.2.3. sz. mell.'!C31</f>
        <v>0</v>
      </c>
      <c r="E31" s="503">
        <f t="shared" si="0"/>
        <v>0</v>
      </c>
      <c r="F31" s="505"/>
      <c r="G31" s="505"/>
      <c r="H31" s="505"/>
      <c r="I31" s="505"/>
      <c r="J31" s="505"/>
      <c r="K31" s="505"/>
      <c r="L31" s="505"/>
      <c r="M31" s="505"/>
      <c r="N31" s="505"/>
      <c r="O31" s="505"/>
      <c r="P31" s="505"/>
      <c r="Q31" s="505"/>
      <c r="R31" s="505"/>
      <c r="S31" s="505"/>
    </row>
    <row r="32" spans="1:19" s="220" customFormat="1" ht="12" customHeight="1" x14ac:dyDescent="0.2">
      <c r="A32" s="213" t="s">
        <v>80</v>
      </c>
      <c r="B32" s="215" t="s">
        <v>224</v>
      </c>
      <c r="C32" s="127"/>
      <c r="D32" s="351">
        <f>'9.2.1. sz. mell'!C32+'9.2.2. sz.  mell'!C34+'9.2.3. sz. mell.'!C32</f>
        <v>0</v>
      </c>
      <c r="E32" s="503">
        <f t="shared" si="0"/>
        <v>0</v>
      </c>
      <c r="F32" s="505"/>
      <c r="G32" s="505"/>
      <c r="H32" s="505"/>
      <c r="I32" s="505"/>
      <c r="J32" s="505"/>
      <c r="K32" s="505"/>
      <c r="L32" s="505"/>
      <c r="M32" s="505"/>
      <c r="N32" s="505"/>
      <c r="O32" s="505"/>
      <c r="P32" s="505"/>
      <c r="Q32" s="505"/>
      <c r="R32" s="505"/>
      <c r="S32" s="505"/>
    </row>
    <row r="33" spans="1:19" s="220" customFormat="1" ht="12" customHeight="1" thickBot="1" x14ac:dyDescent="0.25">
      <c r="A33" s="212" t="s">
        <v>81</v>
      </c>
      <c r="B33" s="57" t="s">
        <v>225</v>
      </c>
      <c r="C33" s="855"/>
      <c r="D33" s="351">
        <f>'9.2.1. sz. mell'!C33+'9.2.2. sz.  mell'!C35+'9.2.3. sz. mell.'!C33</f>
        <v>0</v>
      </c>
      <c r="E33" s="503">
        <f t="shared" si="0"/>
        <v>0</v>
      </c>
      <c r="F33" s="505"/>
      <c r="G33" s="505"/>
      <c r="H33" s="505"/>
      <c r="I33" s="505"/>
      <c r="J33" s="505"/>
      <c r="K33" s="505"/>
      <c r="L33" s="505"/>
      <c r="M33" s="505"/>
      <c r="N33" s="505"/>
      <c r="O33" s="505"/>
      <c r="P33" s="505"/>
      <c r="Q33" s="505"/>
      <c r="R33" s="505"/>
      <c r="S33" s="505"/>
    </row>
    <row r="34" spans="1:19" s="168" customFormat="1" ht="12" customHeight="1" thickBot="1" x14ac:dyDescent="0.25">
      <c r="A34" s="74" t="s">
        <v>21</v>
      </c>
      <c r="B34" s="54" t="s">
        <v>311</v>
      </c>
      <c r="C34" s="144"/>
      <c r="D34" s="351">
        <f>'9.2.1. sz. mell'!C34+'9.2.2. sz.  mell'!C36+'9.2.3. sz. mell.'!C34</f>
        <v>0</v>
      </c>
      <c r="E34" s="503">
        <f t="shared" si="0"/>
        <v>0</v>
      </c>
      <c r="F34" s="504"/>
      <c r="G34" s="504"/>
      <c r="H34" s="504"/>
      <c r="I34" s="504"/>
      <c r="J34" s="504"/>
      <c r="K34" s="504"/>
      <c r="L34" s="504"/>
      <c r="M34" s="504"/>
      <c r="N34" s="504"/>
      <c r="O34" s="504"/>
      <c r="P34" s="504"/>
      <c r="Q34" s="504"/>
      <c r="R34" s="504"/>
      <c r="S34" s="504"/>
    </row>
    <row r="35" spans="1:19" s="168" customFormat="1" ht="12" customHeight="1" thickBot="1" x14ac:dyDescent="0.25">
      <c r="A35" s="74" t="s">
        <v>22</v>
      </c>
      <c r="B35" s="54" t="s">
        <v>340</v>
      </c>
      <c r="C35" s="160"/>
      <c r="D35" s="351">
        <f>'9.2.1. sz. mell'!C35+'9.2.2. sz.  mell'!C37+'9.2.3. sz. mell.'!C35</f>
        <v>0</v>
      </c>
      <c r="E35" s="503">
        <f t="shared" si="0"/>
        <v>0</v>
      </c>
      <c r="F35" s="504"/>
      <c r="G35" s="504"/>
      <c r="H35" s="504"/>
      <c r="I35" s="504"/>
      <c r="J35" s="504"/>
      <c r="K35" s="504"/>
      <c r="L35" s="504"/>
      <c r="M35" s="504"/>
      <c r="N35" s="504"/>
      <c r="O35" s="504"/>
      <c r="P35" s="504"/>
      <c r="Q35" s="504"/>
      <c r="R35" s="504"/>
      <c r="S35" s="504"/>
    </row>
    <row r="36" spans="1:19" s="168" customFormat="1" ht="12" customHeight="1" thickBot="1" x14ac:dyDescent="0.25">
      <c r="A36" s="71" t="s">
        <v>23</v>
      </c>
      <c r="B36" s="54" t="s">
        <v>341</v>
      </c>
      <c r="C36" s="857">
        <f>+C7+C19+C24+C25+C30+C34+C35</f>
        <v>46202448</v>
      </c>
      <c r="D36" s="351">
        <f>'9.2.1. sz. mell'!C36+'9.2.2. sz.  mell'!C38+'9.2.3. sz. mell.'!C36</f>
        <v>46202448</v>
      </c>
      <c r="E36" s="503">
        <f t="shared" si="0"/>
        <v>0</v>
      </c>
      <c r="F36" s="504"/>
      <c r="G36" s="504"/>
      <c r="H36" s="504"/>
      <c r="I36" s="504"/>
      <c r="J36" s="504"/>
      <c r="K36" s="504"/>
      <c r="L36" s="504"/>
      <c r="M36" s="504"/>
      <c r="N36" s="504"/>
      <c r="O36" s="504"/>
      <c r="P36" s="504"/>
      <c r="Q36" s="504"/>
      <c r="R36" s="504"/>
      <c r="S36" s="504"/>
    </row>
    <row r="37" spans="1:19" s="168" customFormat="1" ht="12" customHeight="1" thickBot="1" x14ac:dyDescent="0.25">
      <c r="A37" s="87" t="s">
        <v>24</v>
      </c>
      <c r="B37" s="54" t="s">
        <v>342</v>
      </c>
      <c r="C37" s="857">
        <f>+C38+C39+C40</f>
        <v>272509866</v>
      </c>
      <c r="D37" s="351">
        <f>'9.2.1. sz. mell'!C37+'9.2.2. sz.  mell'!C39+'9.2.3. sz. mell.'!C37</f>
        <v>272509866</v>
      </c>
      <c r="E37" s="503">
        <f t="shared" si="0"/>
        <v>0</v>
      </c>
      <c r="F37" s="504"/>
      <c r="G37" s="504"/>
      <c r="H37" s="504"/>
      <c r="I37" s="504"/>
      <c r="J37" s="504"/>
      <c r="K37" s="504"/>
      <c r="L37" s="504"/>
      <c r="M37" s="504"/>
      <c r="N37" s="504"/>
      <c r="O37" s="504"/>
      <c r="P37" s="504"/>
      <c r="Q37" s="504"/>
      <c r="R37" s="504"/>
      <c r="S37" s="504"/>
    </row>
    <row r="38" spans="1:19" s="168" customFormat="1" ht="12" customHeight="1" x14ac:dyDescent="0.2">
      <c r="A38" s="213" t="s">
        <v>343</v>
      </c>
      <c r="B38" s="214" t="s">
        <v>168</v>
      </c>
      <c r="C38" s="853">
        <v>216699</v>
      </c>
      <c r="D38" s="351">
        <f>'9.2.1. sz. mell'!C38+'9.2.2. sz.  mell'!C40+'9.2.3. sz. mell.'!C38</f>
        <v>216699</v>
      </c>
      <c r="E38" s="503">
        <f t="shared" si="0"/>
        <v>0</v>
      </c>
      <c r="F38" s="504"/>
      <c r="G38" s="504"/>
      <c r="H38" s="504"/>
      <c r="I38" s="504"/>
      <c r="J38" s="504"/>
      <c r="K38" s="926"/>
      <c r="L38" s="504"/>
      <c r="M38" s="504"/>
      <c r="N38" s="504"/>
      <c r="O38" s="504"/>
      <c r="P38" s="504"/>
      <c r="Q38" s="504"/>
      <c r="R38" s="504"/>
      <c r="S38" s="504"/>
    </row>
    <row r="39" spans="1:19" s="168" customFormat="1" ht="12" customHeight="1" x14ac:dyDescent="0.2">
      <c r="A39" s="213" t="s">
        <v>344</v>
      </c>
      <c r="B39" s="215" t="s">
        <v>6</v>
      </c>
      <c r="C39" s="127"/>
      <c r="D39" s="351">
        <f>'9.2.1. sz. mell'!C39+'9.2.2. sz.  mell'!C41+'9.2.3. sz. mell.'!C39</f>
        <v>0</v>
      </c>
      <c r="E39" s="503">
        <f t="shared" si="0"/>
        <v>0</v>
      </c>
      <c r="F39" s="504"/>
      <c r="G39" s="504"/>
      <c r="H39" s="504"/>
      <c r="I39" s="504"/>
      <c r="J39" s="504"/>
      <c r="K39" s="504"/>
      <c r="L39" s="504"/>
      <c r="M39" s="504"/>
      <c r="N39" s="504"/>
      <c r="O39" s="504"/>
      <c r="P39" s="504"/>
      <c r="Q39" s="504"/>
      <c r="R39" s="504"/>
      <c r="S39" s="504"/>
    </row>
    <row r="40" spans="1:19" s="220" customFormat="1" ht="12" customHeight="1" thickBot="1" x14ac:dyDescent="0.25">
      <c r="A40" s="212" t="s">
        <v>345</v>
      </c>
      <c r="B40" s="57" t="s">
        <v>346</v>
      </c>
      <c r="C40" s="1174">
        <f>228893476-3278940+9870431+36785200+23000</f>
        <v>272293167</v>
      </c>
      <c r="D40" s="351">
        <f>'9.2.1. sz. mell'!C40+'9.2.2. sz.  mell'!C42+'9.2.3. sz. mell.'!C40</f>
        <v>272293167</v>
      </c>
      <c r="E40" s="503">
        <f t="shared" si="0"/>
        <v>0</v>
      </c>
      <c r="F40" s="505"/>
      <c r="G40" s="505"/>
      <c r="H40" s="505"/>
      <c r="I40" s="505"/>
      <c r="J40" s="505"/>
      <c r="K40" s="505"/>
      <c r="L40" s="505"/>
      <c r="M40" s="505"/>
      <c r="N40" s="505"/>
      <c r="O40" s="505"/>
      <c r="P40" s="505"/>
      <c r="Q40" s="505"/>
      <c r="R40" s="505"/>
      <c r="S40" s="505"/>
    </row>
    <row r="41" spans="1:19" s="220" customFormat="1" ht="15" customHeight="1" thickBot="1" x14ac:dyDescent="0.25">
      <c r="A41" s="87" t="s">
        <v>25</v>
      </c>
      <c r="B41" s="88" t="s">
        <v>347</v>
      </c>
      <c r="C41" s="163">
        <f>+C36+C37</f>
        <v>318712314</v>
      </c>
      <c r="D41" s="351">
        <f>'9.2.1. sz. mell'!C41+'9.2.2. sz.  mell'!C43+'9.2.3. sz. mell.'!C41</f>
        <v>318712314</v>
      </c>
      <c r="E41" s="503">
        <f t="shared" si="0"/>
        <v>0</v>
      </c>
      <c r="F41" s="505"/>
      <c r="G41" s="505"/>
      <c r="H41" s="505"/>
      <c r="I41" s="505"/>
      <c r="J41" s="505"/>
      <c r="K41" s="505"/>
      <c r="L41" s="505"/>
      <c r="M41" s="505"/>
      <c r="N41" s="505"/>
      <c r="O41" s="505"/>
      <c r="P41" s="505"/>
      <c r="Q41" s="505"/>
      <c r="R41" s="505"/>
      <c r="S41" s="505"/>
    </row>
    <row r="42" spans="1:19" s="220" customFormat="1" ht="15" customHeight="1" x14ac:dyDescent="0.2">
      <c r="A42" s="89"/>
      <c r="B42" s="90"/>
      <c r="C42" s="161"/>
      <c r="D42" s="351">
        <f>'9.2.1. sz. mell'!C42+'9.2.2. sz.  mell'!C44+'9.2.3. sz. mell.'!C42</f>
        <v>0</v>
      </c>
      <c r="E42" s="779"/>
      <c r="F42" s="505"/>
      <c r="G42" s="505"/>
      <c r="H42" s="505"/>
      <c r="I42" s="505"/>
      <c r="J42" s="505"/>
      <c r="K42" s="505"/>
      <c r="L42" s="505"/>
      <c r="M42" s="505"/>
      <c r="N42" s="505"/>
      <c r="O42" s="505"/>
      <c r="P42" s="505"/>
      <c r="Q42" s="505"/>
      <c r="R42" s="505"/>
      <c r="S42" s="505"/>
    </row>
    <row r="43" spans="1:19" ht="13.5" thickBot="1" x14ac:dyDescent="0.25">
      <c r="A43" s="91"/>
      <c r="B43" s="92"/>
      <c r="C43" s="162"/>
      <c r="D43" s="351">
        <f>'9.2.1. sz. mell'!C43+'9.2.2. sz.  mell'!C45+'9.2.3. sz. mell.'!C43</f>
        <v>0</v>
      </c>
    </row>
    <row r="44" spans="1:19" s="219" customFormat="1" ht="16.5" customHeight="1" thickBot="1" x14ac:dyDescent="0.25">
      <c r="A44" s="93"/>
      <c r="B44" s="94" t="s">
        <v>53</v>
      </c>
      <c r="C44" s="163"/>
      <c r="D44" s="351">
        <f>'9.2.1. sz. mell'!C44+'9.2.2. sz.  mell'!C46+'9.2.3. sz. mell.'!C44</f>
        <v>0</v>
      </c>
      <c r="E44" s="350"/>
      <c r="F44" s="502"/>
      <c r="G44" s="502"/>
      <c r="H44" s="502"/>
      <c r="I44" s="502"/>
      <c r="J44" s="502"/>
      <c r="K44" s="502"/>
      <c r="L44" s="502"/>
      <c r="M44" s="502"/>
      <c r="N44" s="502"/>
      <c r="O44" s="502"/>
      <c r="P44" s="502"/>
      <c r="Q44" s="502"/>
      <c r="R44" s="502"/>
      <c r="S44" s="502"/>
    </row>
    <row r="45" spans="1:19" s="221" customFormat="1" ht="12" customHeight="1" thickBot="1" x14ac:dyDescent="0.25">
      <c r="A45" s="74" t="s">
        <v>16</v>
      </c>
      <c r="B45" s="54" t="s">
        <v>348</v>
      </c>
      <c r="C45" s="856">
        <f>SUM(C46:C50)</f>
        <v>315947115</v>
      </c>
      <c r="D45" s="351">
        <f>'9.2.1. sz. mell'!C45+'9.2.2. sz.  mell'!C47+'9.2.3. sz. mell.'!C45</f>
        <v>315947115</v>
      </c>
      <c r="E45" s="503">
        <f t="shared" ref="E45:E57" si="1">C45-D45</f>
        <v>0</v>
      </c>
      <c r="F45" s="506"/>
      <c r="G45" s="506"/>
      <c r="H45" s="506"/>
      <c r="I45" s="506"/>
      <c r="J45" s="506"/>
      <c r="K45" s="506"/>
      <c r="L45" s="506"/>
      <c r="M45" s="506"/>
      <c r="N45" s="506"/>
      <c r="O45" s="506"/>
      <c r="P45" s="506"/>
      <c r="Q45" s="506"/>
      <c r="R45" s="506"/>
      <c r="S45" s="506"/>
    </row>
    <row r="46" spans="1:19" ht="12" customHeight="1" x14ac:dyDescent="0.2">
      <c r="A46" s="212" t="s">
        <v>86</v>
      </c>
      <c r="B46" s="6" t="s">
        <v>46</v>
      </c>
      <c r="C46" s="853">
        <f>166097510-1748000+8563501</f>
        <v>172913011</v>
      </c>
      <c r="D46" s="351">
        <f>'9.2.1. sz. mell'!C46+'9.2.2. sz.  mell'!C48+'9.2.3. sz. mell.'!C46</f>
        <v>172913011</v>
      </c>
      <c r="E46" s="503">
        <f t="shared" si="1"/>
        <v>0</v>
      </c>
    </row>
    <row r="47" spans="1:19" ht="12" customHeight="1" x14ac:dyDescent="0.2">
      <c r="A47" s="212" t="s">
        <v>87</v>
      </c>
      <c r="B47" s="5" t="s">
        <v>135</v>
      </c>
      <c r="C47" s="854">
        <f>29077925-270940+1306930</f>
        <v>30113915</v>
      </c>
      <c r="D47" s="351">
        <f>'9.2.1. sz. mell'!C47+'9.2.2. sz.  mell'!C49+'9.2.3. sz. mell.'!C47</f>
        <v>30113915</v>
      </c>
      <c r="E47" s="503">
        <f t="shared" si="1"/>
        <v>0</v>
      </c>
    </row>
    <row r="48" spans="1:19" ht="12" customHeight="1" x14ac:dyDescent="0.2">
      <c r="A48" s="212" t="s">
        <v>88</v>
      </c>
      <c r="B48" s="5" t="s">
        <v>111</v>
      </c>
      <c r="C48" s="859">
        <f>41258155-1260000+72899034+23000</f>
        <v>112920189</v>
      </c>
      <c r="D48" s="351">
        <f>'9.2.1. sz. mell'!C48+'9.2.2. sz.  mell'!C50+'9.2.3. sz. mell.'!C48</f>
        <v>112920189</v>
      </c>
      <c r="E48" s="503">
        <f t="shared" si="1"/>
        <v>0</v>
      </c>
    </row>
    <row r="49" spans="1:19" ht="12" customHeight="1" x14ac:dyDescent="0.2">
      <c r="A49" s="212" t="s">
        <v>89</v>
      </c>
      <c r="B49" s="5" t="s">
        <v>136</v>
      </c>
      <c r="C49" s="854"/>
      <c r="D49" s="351">
        <f>'9.2.1. sz. mell'!C49+'9.2.2. sz.  mell'!C51+'9.2.3. sz. mell.'!C49</f>
        <v>0</v>
      </c>
      <c r="E49" s="503">
        <f t="shared" si="1"/>
        <v>0</v>
      </c>
    </row>
    <row r="50" spans="1:19" ht="12" customHeight="1" thickBot="1" x14ac:dyDescent="0.25">
      <c r="A50" s="212" t="s">
        <v>112</v>
      </c>
      <c r="B50" s="5" t="s">
        <v>137</v>
      </c>
      <c r="C50" s="854"/>
      <c r="D50" s="351">
        <f>'9.2.1. sz. mell'!C50+'9.2.2. sz.  mell'!C52+'9.2.3. sz. mell.'!C50</f>
        <v>0</v>
      </c>
      <c r="E50" s="503">
        <f t="shared" si="1"/>
        <v>0</v>
      </c>
    </row>
    <row r="51" spans="1:19" ht="12" customHeight="1" thickBot="1" x14ac:dyDescent="0.25">
      <c r="A51" s="74" t="s">
        <v>17</v>
      </c>
      <c r="B51" s="54" t="s">
        <v>349</v>
      </c>
      <c r="C51" s="856">
        <f>SUM(C52:C54)</f>
        <v>2765199</v>
      </c>
      <c r="D51" s="351">
        <f>'9.2.1. sz. mell'!C51+'9.2.2. sz.  mell'!C53+'9.2.3. sz. mell.'!C51</f>
        <v>2765199</v>
      </c>
      <c r="E51" s="503">
        <f t="shared" si="1"/>
        <v>0</v>
      </c>
    </row>
    <row r="52" spans="1:19" s="221" customFormat="1" ht="12" customHeight="1" x14ac:dyDescent="0.2">
      <c r="A52" s="212" t="s">
        <v>92</v>
      </c>
      <c r="B52" s="6" t="s">
        <v>159</v>
      </c>
      <c r="C52" s="853">
        <v>2765199</v>
      </c>
      <c r="D52" s="351">
        <f>'9.2.1. sz. mell'!C52+'9.2.2. sz.  mell'!C54+'9.2.3. sz. mell.'!C52</f>
        <v>2765199</v>
      </c>
      <c r="E52" s="503">
        <f t="shared" si="1"/>
        <v>0</v>
      </c>
      <c r="F52" s="506"/>
      <c r="G52" s="506"/>
      <c r="H52" s="506"/>
      <c r="I52" s="506"/>
      <c r="J52" s="506"/>
      <c r="K52" s="506"/>
      <c r="L52" s="506"/>
      <c r="M52" s="506"/>
      <c r="N52" s="506"/>
      <c r="O52" s="506"/>
      <c r="P52" s="506"/>
      <c r="Q52" s="506"/>
      <c r="R52" s="506"/>
      <c r="S52" s="506"/>
    </row>
    <row r="53" spans="1:19" ht="12" customHeight="1" x14ac:dyDescent="0.2">
      <c r="A53" s="212" t="s">
        <v>93</v>
      </c>
      <c r="B53" s="5" t="s">
        <v>139</v>
      </c>
      <c r="C53" s="854"/>
      <c r="D53" s="351">
        <f>'9.2.1. sz. mell'!C53+'9.2.2. sz.  mell'!C55+'9.2.3. sz. mell.'!C53</f>
        <v>0</v>
      </c>
      <c r="E53" s="503">
        <f t="shared" si="1"/>
        <v>0</v>
      </c>
    </row>
    <row r="54" spans="1:19" ht="12" customHeight="1" x14ac:dyDescent="0.2">
      <c r="A54" s="212" t="s">
        <v>94</v>
      </c>
      <c r="B54" s="5" t="s">
        <v>54</v>
      </c>
      <c r="C54" s="854"/>
      <c r="D54" s="351">
        <f>'9.2.1. sz. mell'!C54+'9.2.2. sz.  mell'!C56+'9.2.3. sz. mell.'!C54</f>
        <v>0</v>
      </c>
      <c r="E54" s="503">
        <f t="shared" si="1"/>
        <v>0</v>
      </c>
    </row>
    <row r="55" spans="1:19" ht="12" customHeight="1" thickBot="1" x14ac:dyDescent="0.25">
      <c r="A55" s="212" t="s">
        <v>95</v>
      </c>
      <c r="B55" s="5" t="s">
        <v>471</v>
      </c>
      <c r="C55" s="854"/>
      <c r="D55" s="351">
        <f>'9.2.1. sz. mell'!C55+'9.2.2. sz.  mell'!C57+'9.2.3. sz. mell.'!C55</f>
        <v>0</v>
      </c>
      <c r="E55" s="503">
        <f t="shared" si="1"/>
        <v>0</v>
      </c>
    </row>
    <row r="56" spans="1:19" ht="12" customHeight="1" thickBot="1" x14ac:dyDescent="0.25">
      <c r="A56" s="74" t="s">
        <v>18</v>
      </c>
      <c r="B56" s="54" t="s">
        <v>12</v>
      </c>
      <c r="C56" s="144"/>
      <c r="D56" s="351">
        <f>'9.2.1. sz. mell'!C56+'9.2.2. sz.  mell'!C58+'9.2.3. sz. mell.'!C56</f>
        <v>0</v>
      </c>
      <c r="E56" s="503">
        <f t="shared" si="1"/>
        <v>0</v>
      </c>
    </row>
    <row r="57" spans="1:19" ht="15" customHeight="1" thickBot="1" x14ac:dyDescent="0.25">
      <c r="A57" s="74" t="s">
        <v>19</v>
      </c>
      <c r="B57" s="95" t="s">
        <v>472</v>
      </c>
      <c r="C57" s="164">
        <f>+C45+C51+C56</f>
        <v>318712314</v>
      </c>
      <c r="D57" s="351">
        <f>'9.2.1. sz. mell'!C57+'9.2.2. sz.  mell'!C59+'9.2.3. sz. mell.'!C57</f>
        <v>318712314</v>
      </c>
      <c r="E57" s="503">
        <f t="shared" si="1"/>
        <v>0</v>
      </c>
    </row>
    <row r="58" spans="1:19" ht="13.5" thickBot="1" x14ac:dyDescent="0.25">
      <c r="C58" s="319"/>
      <c r="D58" s="351">
        <f>'9.2.1. sz. mell'!C58+'9.2.2. sz.  mell'!C60+'9.2.3. sz. mell.'!C58</f>
        <v>0</v>
      </c>
      <c r="E58" s="352"/>
    </row>
    <row r="59" spans="1:19" ht="15" customHeight="1" thickBot="1" x14ac:dyDescent="0.25">
      <c r="A59" s="1477" t="s">
        <v>465</v>
      </c>
      <c r="B59" s="1478"/>
      <c r="C59" s="1338">
        <f>47.375+1-0.66666+3</f>
        <v>50.70834</v>
      </c>
      <c r="D59" s="351">
        <f>'9.2.1. sz. mell'!C59+'9.2.2. sz.  mell'!C61+'9.2.3. sz. mell.'!C59</f>
        <v>50.713340000000002</v>
      </c>
      <c r="E59" s="503">
        <f>C59-D59</f>
        <v>-5.000000000002558E-3</v>
      </c>
    </row>
    <row r="60" spans="1:19" x14ac:dyDescent="0.2">
      <c r="I60" s="1337"/>
    </row>
    <row r="62" spans="1:19" x14ac:dyDescent="0.2">
      <c r="B62" s="320"/>
    </row>
  </sheetData>
  <sheetProtection formatCells="0"/>
  <mergeCells count="3">
    <mergeCell ref="A1:C1"/>
    <mergeCell ref="A59:B59"/>
    <mergeCell ref="A3:C3"/>
  </mergeCells>
  <printOptions horizontalCentered="1"/>
  <pageMargins left="0.7" right="0.7" top="0.75" bottom="0.75" header="0.3" footer="0.3"/>
  <pageSetup paperSize="9" scale="77" fitToHeight="0" orientation="portrait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5"/>
  <dimension ref="A1:C59"/>
  <sheetViews>
    <sheetView zoomScale="115" zoomScaleNormal="115" zoomScalePageLayoutView="70" workbookViewId="0">
      <selection activeCell="B51" sqref="B51"/>
    </sheetView>
  </sheetViews>
  <sheetFormatPr defaultRowHeight="12.75" x14ac:dyDescent="0.2"/>
  <cols>
    <col min="1" max="1" width="13.83203125" style="96" customWidth="1"/>
    <col min="2" max="2" width="79.1640625" style="774" customWidth="1"/>
    <col min="3" max="3" width="25" style="774" customWidth="1"/>
    <col min="4" max="16384" width="9.33203125" style="774"/>
  </cols>
  <sheetData>
    <row r="1" spans="1:3" x14ac:dyDescent="0.2">
      <c r="A1" s="1482" t="str">
        <f>CONCATENATE("18. melléklet"," ",ALAPADATOK!A7," ",ALAPADATOK!B7," ",ALAPADATOK!C7," ",ALAPADATOK!D7," ",ALAPADATOK!E7," ",ALAPADATOK!F7," ",ALAPADATOK!G7," ",ALAPADATOK!H7)</f>
        <v>18. melléklet a 19 / 2021. ( XI.29. ) önkormányzati rendelethez</v>
      </c>
      <c r="B1" s="1482"/>
      <c r="C1" s="1482"/>
    </row>
    <row r="2" spans="1:3" s="77" customFormat="1" ht="21" customHeight="1" x14ac:dyDescent="0.2">
      <c r="A2" s="76"/>
      <c r="B2" s="78"/>
      <c r="C2" s="216"/>
    </row>
    <row r="3" spans="1:3" s="217" customFormat="1" ht="35.25" customHeight="1" thickBot="1" x14ac:dyDescent="0.25">
      <c r="A3" s="1442" t="s">
        <v>1037</v>
      </c>
      <c r="B3" s="1442"/>
      <c r="C3" s="1442"/>
    </row>
    <row r="4" spans="1:3" ht="13.5" thickBot="1" x14ac:dyDescent="0.25">
      <c r="A4" s="175" t="s">
        <v>154</v>
      </c>
      <c r="B4" s="81" t="s">
        <v>50</v>
      </c>
      <c r="C4" s="82" t="s">
        <v>1033</v>
      </c>
    </row>
    <row r="5" spans="1:3" s="219" customFormat="1" ht="12.95" customHeight="1" thickBot="1" x14ac:dyDescent="0.25">
      <c r="A5" s="71" t="s">
        <v>391</v>
      </c>
      <c r="B5" s="72" t="s">
        <v>392</v>
      </c>
      <c r="C5" s="73" t="s">
        <v>393</v>
      </c>
    </row>
    <row r="6" spans="1:3" s="219" customFormat="1" ht="15.95" customHeight="1" thickBot="1" x14ac:dyDescent="0.25">
      <c r="A6" s="83"/>
      <c r="B6" s="84" t="s">
        <v>52</v>
      </c>
      <c r="C6" s="85"/>
    </row>
    <row r="7" spans="1:3" s="168" customFormat="1" ht="12" customHeight="1" thickBot="1" x14ac:dyDescent="0.25">
      <c r="A7" s="71" t="s">
        <v>16</v>
      </c>
      <c r="B7" s="86" t="s">
        <v>467</v>
      </c>
      <c r="C7" s="856">
        <f>SUM(C8:C18)</f>
        <v>45702448</v>
      </c>
    </row>
    <row r="8" spans="1:3" s="168" customFormat="1" ht="12" customHeight="1" x14ac:dyDescent="0.2">
      <c r="A8" s="211" t="s">
        <v>86</v>
      </c>
      <c r="B8" s="7" t="s">
        <v>209</v>
      </c>
      <c r="C8" s="158"/>
    </row>
    <row r="9" spans="1:3" s="168" customFormat="1" ht="12" customHeight="1" x14ac:dyDescent="0.2">
      <c r="A9" s="212" t="s">
        <v>87</v>
      </c>
      <c r="B9" s="5" t="s">
        <v>210</v>
      </c>
      <c r="C9" s="854">
        <f>5076402+9800597</f>
        <v>14876999</v>
      </c>
    </row>
    <row r="10" spans="1:3" s="168" customFormat="1" ht="12" customHeight="1" x14ac:dyDescent="0.2">
      <c r="A10" s="212" t="s">
        <v>88</v>
      </c>
      <c r="B10" s="5" t="s">
        <v>211</v>
      </c>
      <c r="C10" s="854">
        <f>2788648+820327</f>
        <v>3608975</v>
      </c>
    </row>
    <row r="11" spans="1:3" s="168" customFormat="1" ht="12" customHeight="1" x14ac:dyDescent="0.2">
      <c r="A11" s="212" t="s">
        <v>89</v>
      </c>
      <c r="B11" s="5" t="s">
        <v>212</v>
      </c>
      <c r="C11" s="854"/>
    </row>
    <row r="12" spans="1:3" s="168" customFormat="1" ht="12" customHeight="1" x14ac:dyDescent="0.2">
      <c r="A12" s="212" t="s">
        <v>112</v>
      </c>
      <c r="B12" s="5" t="s">
        <v>213</v>
      </c>
      <c r="C12" s="854">
        <f>17732140</f>
        <v>17732140</v>
      </c>
    </row>
    <row r="13" spans="1:3" s="168" customFormat="1" ht="12" customHeight="1" x14ac:dyDescent="0.2">
      <c r="A13" s="212" t="s">
        <v>90</v>
      </c>
      <c r="B13" s="5" t="s">
        <v>333</v>
      </c>
      <c r="C13" s="854">
        <f>2123564+4787678</f>
        <v>6911242</v>
      </c>
    </row>
    <row r="14" spans="1:3" s="168" customFormat="1" ht="12" customHeight="1" x14ac:dyDescent="0.2">
      <c r="A14" s="212" t="s">
        <v>91</v>
      </c>
      <c r="B14" s="4" t="s">
        <v>334</v>
      </c>
      <c r="C14" s="854">
        <f>2573092</f>
        <v>2573092</v>
      </c>
    </row>
    <row r="15" spans="1:3" s="168" customFormat="1" ht="12" customHeight="1" x14ac:dyDescent="0.2">
      <c r="A15" s="212" t="s">
        <v>101</v>
      </c>
      <c r="B15" s="5" t="s">
        <v>216</v>
      </c>
      <c r="C15" s="159"/>
    </row>
    <row r="16" spans="1:3" s="220" customFormat="1" ht="12" customHeight="1" x14ac:dyDescent="0.2">
      <c r="A16" s="212" t="s">
        <v>102</v>
      </c>
      <c r="B16" s="5" t="s">
        <v>217</v>
      </c>
      <c r="C16" s="124"/>
    </row>
    <row r="17" spans="1:3" s="220" customFormat="1" ht="12" customHeight="1" x14ac:dyDescent="0.2">
      <c r="A17" s="212" t="s">
        <v>103</v>
      </c>
      <c r="B17" s="5" t="s">
        <v>397</v>
      </c>
      <c r="C17" s="125"/>
    </row>
    <row r="18" spans="1:3" s="220" customFormat="1" ht="12" customHeight="1" thickBot="1" x14ac:dyDescent="0.25">
      <c r="A18" s="212" t="s">
        <v>104</v>
      </c>
      <c r="B18" s="4" t="s">
        <v>218</v>
      </c>
      <c r="C18" s="125"/>
    </row>
    <row r="19" spans="1:3" s="168" customFormat="1" ht="12" customHeight="1" thickBot="1" x14ac:dyDescent="0.25">
      <c r="A19" s="71" t="s">
        <v>17</v>
      </c>
      <c r="B19" s="86" t="s">
        <v>335</v>
      </c>
      <c r="C19" s="856">
        <f>SUM(C20:C22)</f>
        <v>0</v>
      </c>
    </row>
    <row r="20" spans="1:3" s="220" customFormat="1" ht="12" customHeight="1" x14ac:dyDescent="0.2">
      <c r="A20" s="212" t="s">
        <v>92</v>
      </c>
      <c r="B20" s="6" t="s">
        <v>187</v>
      </c>
      <c r="C20" s="124"/>
    </row>
    <row r="21" spans="1:3" s="220" customFormat="1" ht="12" customHeight="1" x14ac:dyDescent="0.2">
      <c r="A21" s="212" t="s">
        <v>93</v>
      </c>
      <c r="B21" s="5" t="s">
        <v>336</v>
      </c>
      <c r="C21" s="854"/>
    </row>
    <row r="22" spans="1:3" s="220" customFormat="1" ht="12" customHeight="1" x14ac:dyDescent="0.2">
      <c r="A22" s="212" t="s">
        <v>94</v>
      </c>
      <c r="B22" s="5" t="s">
        <v>337</v>
      </c>
      <c r="C22" s="859"/>
    </row>
    <row r="23" spans="1:3" s="220" customFormat="1" ht="12" customHeight="1" thickBot="1" x14ac:dyDescent="0.25">
      <c r="A23" s="212" t="s">
        <v>95</v>
      </c>
      <c r="B23" s="5" t="s">
        <v>468</v>
      </c>
      <c r="C23" s="854"/>
    </row>
    <row r="24" spans="1:3" s="220" customFormat="1" ht="12" customHeight="1" thickBot="1" x14ac:dyDescent="0.25">
      <c r="A24" s="74" t="s">
        <v>18</v>
      </c>
      <c r="B24" s="54" t="s">
        <v>126</v>
      </c>
      <c r="C24" s="144"/>
    </row>
    <row r="25" spans="1:3" s="220" customFormat="1" ht="12" customHeight="1" thickBot="1" x14ac:dyDescent="0.25">
      <c r="A25" s="74" t="s">
        <v>19</v>
      </c>
      <c r="B25" s="54" t="s">
        <v>469</v>
      </c>
      <c r="C25" s="856">
        <f>+C26+C27+C28</f>
        <v>0</v>
      </c>
    </row>
    <row r="26" spans="1:3" s="220" customFormat="1" ht="12" customHeight="1" x14ac:dyDescent="0.2">
      <c r="A26" s="213" t="s">
        <v>197</v>
      </c>
      <c r="B26" s="214" t="s">
        <v>192</v>
      </c>
      <c r="C26" s="853"/>
    </row>
    <row r="27" spans="1:3" s="220" customFormat="1" ht="12" customHeight="1" x14ac:dyDescent="0.2">
      <c r="A27" s="213" t="s">
        <v>200</v>
      </c>
      <c r="B27" s="214" t="s">
        <v>336</v>
      </c>
      <c r="C27" s="124"/>
    </row>
    <row r="28" spans="1:3" s="220" customFormat="1" ht="12" customHeight="1" x14ac:dyDescent="0.2">
      <c r="A28" s="213" t="s">
        <v>201</v>
      </c>
      <c r="B28" s="215" t="s">
        <v>338</v>
      </c>
      <c r="C28" s="124"/>
    </row>
    <row r="29" spans="1:3" s="220" customFormat="1" ht="12" customHeight="1" thickBot="1" x14ac:dyDescent="0.25">
      <c r="A29" s="212" t="s">
        <v>202</v>
      </c>
      <c r="B29" s="57" t="s">
        <v>470</v>
      </c>
      <c r="C29" s="855"/>
    </row>
    <row r="30" spans="1:3" s="220" customFormat="1" ht="12" customHeight="1" thickBot="1" x14ac:dyDescent="0.25">
      <c r="A30" s="74" t="s">
        <v>20</v>
      </c>
      <c r="B30" s="54" t="s">
        <v>339</v>
      </c>
      <c r="C30" s="856">
        <f>+C31+C32+C33</f>
        <v>0</v>
      </c>
    </row>
    <row r="31" spans="1:3" s="220" customFormat="1" ht="12" customHeight="1" x14ac:dyDescent="0.2">
      <c r="A31" s="213" t="s">
        <v>79</v>
      </c>
      <c r="B31" s="214" t="s">
        <v>223</v>
      </c>
      <c r="C31" s="853"/>
    </row>
    <row r="32" spans="1:3" s="220" customFormat="1" ht="12" customHeight="1" x14ac:dyDescent="0.2">
      <c r="A32" s="213" t="s">
        <v>80</v>
      </c>
      <c r="B32" s="215" t="s">
        <v>224</v>
      </c>
      <c r="C32" s="127"/>
    </row>
    <row r="33" spans="1:3" s="220" customFormat="1" ht="12" customHeight="1" thickBot="1" x14ac:dyDescent="0.25">
      <c r="A33" s="212" t="s">
        <v>81</v>
      </c>
      <c r="B33" s="57" t="s">
        <v>225</v>
      </c>
      <c r="C33" s="855"/>
    </row>
    <row r="34" spans="1:3" s="168" customFormat="1" ht="12" customHeight="1" thickBot="1" x14ac:dyDescent="0.25">
      <c r="A34" s="74" t="s">
        <v>21</v>
      </c>
      <c r="B34" s="54" t="s">
        <v>311</v>
      </c>
      <c r="C34" s="144"/>
    </row>
    <row r="35" spans="1:3" s="168" customFormat="1" ht="12" customHeight="1" thickBot="1" x14ac:dyDescent="0.25">
      <c r="A35" s="74" t="s">
        <v>22</v>
      </c>
      <c r="B35" s="54" t="s">
        <v>340</v>
      </c>
      <c r="C35" s="160"/>
    </row>
    <row r="36" spans="1:3" s="168" customFormat="1" ht="12" customHeight="1" thickBot="1" x14ac:dyDescent="0.25">
      <c r="A36" s="71" t="s">
        <v>23</v>
      </c>
      <c r="B36" s="54" t="s">
        <v>341</v>
      </c>
      <c r="C36" s="857">
        <f>+C7+C19+C24+C25+C30+C34+C35</f>
        <v>45702448</v>
      </c>
    </row>
    <row r="37" spans="1:3" s="168" customFormat="1" ht="12" customHeight="1" thickBot="1" x14ac:dyDescent="0.25">
      <c r="A37" s="87" t="s">
        <v>24</v>
      </c>
      <c r="B37" s="54" t="s">
        <v>342</v>
      </c>
      <c r="C37" s="857">
        <f>+C38+C39+C40</f>
        <v>41199195</v>
      </c>
    </row>
    <row r="38" spans="1:3" s="168" customFormat="1" ht="12" customHeight="1" x14ac:dyDescent="0.2">
      <c r="A38" s="213" t="s">
        <v>343</v>
      </c>
      <c r="B38" s="214" t="s">
        <v>168</v>
      </c>
      <c r="C38" s="853">
        <v>216699</v>
      </c>
    </row>
    <row r="39" spans="1:3" s="168" customFormat="1" ht="12" customHeight="1" x14ac:dyDescent="0.2">
      <c r="A39" s="213" t="s">
        <v>344</v>
      </c>
      <c r="B39" s="215" t="s">
        <v>6</v>
      </c>
      <c r="C39" s="127"/>
    </row>
    <row r="40" spans="1:3" s="220" customFormat="1" ht="12" customHeight="1" thickBot="1" x14ac:dyDescent="0.25">
      <c r="A40" s="212" t="s">
        <v>345</v>
      </c>
      <c r="B40" s="57" t="s">
        <v>346</v>
      </c>
      <c r="C40" s="1174">
        <f>4174296+36785200+23000</f>
        <v>40982496</v>
      </c>
    </row>
    <row r="41" spans="1:3" s="220" customFormat="1" ht="15" customHeight="1" thickBot="1" x14ac:dyDescent="0.25">
      <c r="A41" s="87" t="s">
        <v>25</v>
      </c>
      <c r="B41" s="88" t="s">
        <v>347</v>
      </c>
      <c r="C41" s="163">
        <f>+C36+C37</f>
        <v>86901643</v>
      </c>
    </row>
    <row r="42" spans="1:3" s="220" customFormat="1" ht="15" customHeight="1" x14ac:dyDescent="0.2">
      <c r="A42" s="89"/>
      <c r="B42" s="90"/>
      <c r="C42" s="161"/>
    </row>
    <row r="43" spans="1:3" ht="13.5" thickBot="1" x14ac:dyDescent="0.25">
      <c r="A43" s="91"/>
      <c r="B43" s="92"/>
      <c r="C43" s="162"/>
    </row>
    <row r="44" spans="1:3" s="219" customFormat="1" ht="16.5" customHeight="1" thickBot="1" x14ac:dyDescent="0.25">
      <c r="A44" s="93"/>
      <c r="B44" s="94" t="s">
        <v>53</v>
      </c>
      <c r="C44" s="163"/>
    </row>
    <row r="45" spans="1:3" s="221" customFormat="1" ht="12" customHeight="1" thickBot="1" x14ac:dyDescent="0.25">
      <c r="A45" s="74" t="s">
        <v>16</v>
      </c>
      <c r="B45" s="54" t="s">
        <v>348</v>
      </c>
      <c r="C45" s="856">
        <f>SUM(C46:C50)</f>
        <v>86113543</v>
      </c>
    </row>
    <row r="46" spans="1:3" ht="12" customHeight="1" x14ac:dyDescent="0.2">
      <c r="A46" s="212" t="s">
        <v>86</v>
      </c>
      <c r="B46" s="6" t="s">
        <v>46</v>
      </c>
      <c r="C46" s="853">
        <v>7226713</v>
      </c>
    </row>
    <row r="47" spans="1:3" ht="12" customHeight="1" x14ac:dyDescent="0.2">
      <c r="A47" s="212" t="s">
        <v>87</v>
      </c>
      <c r="B47" s="5" t="s">
        <v>135</v>
      </c>
      <c r="C47" s="854">
        <v>1117901</v>
      </c>
    </row>
    <row r="48" spans="1:3" ht="12" customHeight="1" x14ac:dyDescent="0.2">
      <c r="A48" s="212" t="s">
        <v>88</v>
      </c>
      <c r="B48" s="5" t="s">
        <v>111</v>
      </c>
      <c r="C48" s="859">
        <f>5246895+72499034+23000</f>
        <v>77768929</v>
      </c>
    </row>
    <row r="49" spans="1:3" ht="12" customHeight="1" x14ac:dyDescent="0.2">
      <c r="A49" s="212" t="s">
        <v>89</v>
      </c>
      <c r="B49" s="5" t="s">
        <v>136</v>
      </c>
      <c r="C49" s="854"/>
    </row>
    <row r="50" spans="1:3" ht="12" customHeight="1" thickBot="1" x14ac:dyDescent="0.25">
      <c r="A50" s="212" t="s">
        <v>112</v>
      </c>
      <c r="B50" s="5" t="s">
        <v>137</v>
      </c>
      <c r="C50" s="854"/>
    </row>
    <row r="51" spans="1:3" ht="12" customHeight="1" thickBot="1" x14ac:dyDescent="0.25">
      <c r="A51" s="74" t="s">
        <v>17</v>
      </c>
      <c r="B51" s="54" t="s">
        <v>349</v>
      </c>
      <c r="C51" s="856">
        <f>SUM(C52:C54)</f>
        <v>788100</v>
      </c>
    </row>
    <row r="52" spans="1:3" s="221" customFormat="1" ht="12" customHeight="1" x14ac:dyDescent="0.2">
      <c r="A52" s="212" t="s">
        <v>92</v>
      </c>
      <c r="B52" s="6" t="s">
        <v>159</v>
      </c>
      <c r="C52" s="853">
        <v>788100</v>
      </c>
    </row>
    <row r="53" spans="1:3" ht="12" customHeight="1" x14ac:dyDescent="0.2">
      <c r="A53" s="212" t="s">
        <v>93</v>
      </c>
      <c r="B53" s="5" t="s">
        <v>139</v>
      </c>
      <c r="C53" s="854"/>
    </row>
    <row r="54" spans="1:3" ht="12" customHeight="1" x14ac:dyDescent="0.2">
      <c r="A54" s="212" t="s">
        <v>94</v>
      </c>
      <c r="B54" s="5" t="s">
        <v>54</v>
      </c>
      <c r="C54" s="854"/>
    </row>
    <row r="55" spans="1:3" ht="12" customHeight="1" thickBot="1" x14ac:dyDescent="0.25">
      <c r="A55" s="212" t="s">
        <v>95</v>
      </c>
      <c r="B55" s="5" t="s">
        <v>471</v>
      </c>
      <c r="C55" s="854"/>
    </row>
    <row r="56" spans="1:3" ht="15" customHeight="1" thickBot="1" x14ac:dyDescent="0.25">
      <c r="A56" s="74" t="s">
        <v>18</v>
      </c>
      <c r="B56" s="54" t="s">
        <v>12</v>
      </c>
      <c r="C56" s="144"/>
    </row>
    <row r="57" spans="1:3" ht="13.5" thickBot="1" x14ac:dyDescent="0.25">
      <c r="A57" s="74" t="s">
        <v>19</v>
      </c>
      <c r="B57" s="95" t="s">
        <v>472</v>
      </c>
      <c r="C57" s="164">
        <f>+C45+C51+C56</f>
        <v>86901643</v>
      </c>
    </row>
    <row r="58" spans="1:3" ht="15" customHeight="1" thickBot="1" x14ac:dyDescent="0.25">
      <c r="C58" s="319"/>
    </row>
    <row r="59" spans="1:3" ht="14.25" customHeight="1" thickBot="1" x14ac:dyDescent="0.25">
      <c r="A59" s="97" t="s">
        <v>465</v>
      </c>
      <c r="B59" s="98"/>
      <c r="C59" s="416">
        <v>2</v>
      </c>
    </row>
  </sheetData>
  <sheetProtection formatCells="0"/>
  <mergeCells count="2">
    <mergeCell ref="A1:C1"/>
    <mergeCell ref="A3:C3"/>
  </mergeCells>
  <printOptions horizontalCentered="1"/>
  <pageMargins left="0.7" right="0.7" top="0.75" bottom="0.75" header="0.3" footer="0.3"/>
  <pageSetup paperSize="9" scale="71" orientation="portrait" verticalDpi="300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6"/>
  <dimension ref="A1:C61"/>
  <sheetViews>
    <sheetView zoomScale="130" zoomScaleNormal="130" workbookViewId="0">
      <selection activeCell="B51" sqref="B51"/>
    </sheetView>
  </sheetViews>
  <sheetFormatPr defaultRowHeight="12.75" x14ac:dyDescent="0.2"/>
  <cols>
    <col min="1" max="1" width="13.83203125" style="96" customWidth="1"/>
    <col min="2" max="2" width="79.1640625" style="774" customWidth="1"/>
    <col min="3" max="3" width="25" style="320" customWidth="1"/>
    <col min="4" max="16384" width="9.33203125" style="774"/>
  </cols>
  <sheetData>
    <row r="1" spans="1:3" x14ac:dyDescent="0.2">
      <c r="A1" s="1482" t="str">
        <f>CONCATENATE("9.2.2. melléklet ",ALAPADATOK!A7," ",ALAPADATOK!B7," ",ALAPADATOK!C7," ",ALAPADATOK!D7," ",ALAPADATOK!E7," ",ALAPADATOK!F7," ",ALAPADATOK!G7," ",ALAPADATOK!H7)</f>
        <v>9.2.2. melléklet a 19 / 2021. ( XI.29. ) önkormányzati rendelethez</v>
      </c>
      <c r="B1" s="1482"/>
      <c r="C1" s="1482"/>
    </row>
    <row r="2" spans="1:3" s="77" customFormat="1" ht="21" customHeight="1" thickBot="1" x14ac:dyDescent="0.25">
      <c r="A2" s="76"/>
      <c r="B2" s="78"/>
      <c r="C2" s="216"/>
    </row>
    <row r="3" spans="1:3" s="217" customFormat="1" ht="35.25" customHeight="1" x14ac:dyDescent="0.2">
      <c r="A3" s="174" t="s">
        <v>153</v>
      </c>
      <c r="B3" s="154" t="s">
        <v>389</v>
      </c>
      <c r="C3" s="166" t="s">
        <v>56</v>
      </c>
    </row>
    <row r="4" spans="1:3" s="217" customFormat="1" ht="24.75" thickBot="1" x14ac:dyDescent="0.25">
      <c r="A4" s="210" t="s">
        <v>152</v>
      </c>
      <c r="B4" s="155" t="s">
        <v>350</v>
      </c>
      <c r="C4" s="167" t="s">
        <v>57</v>
      </c>
    </row>
    <row r="5" spans="1:3" s="218" customFormat="1" ht="15.95" customHeight="1" thickBot="1" x14ac:dyDescent="0.3">
      <c r="A5" s="79"/>
      <c r="B5" s="79"/>
      <c r="C5" s="80" t="s">
        <v>495</v>
      </c>
    </row>
    <row r="6" spans="1:3" ht="13.5" thickBot="1" x14ac:dyDescent="0.25">
      <c r="A6" s="175" t="s">
        <v>154</v>
      </c>
      <c r="B6" s="81" t="s">
        <v>50</v>
      </c>
      <c r="C6" s="82" t="s">
        <v>51</v>
      </c>
    </row>
    <row r="7" spans="1:3" s="219" customFormat="1" ht="12.95" customHeight="1" thickBot="1" x14ac:dyDescent="0.25">
      <c r="A7" s="71" t="s">
        <v>391</v>
      </c>
      <c r="B7" s="72" t="s">
        <v>392</v>
      </c>
      <c r="C7" s="73" t="s">
        <v>393</v>
      </c>
    </row>
    <row r="8" spans="1:3" s="219" customFormat="1" ht="15.95" customHeight="1" thickBot="1" x14ac:dyDescent="0.25">
      <c r="A8" s="83"/>
      <c r="B8" s="84" t="s">
        <v>52</v>
      </c>
      <c r="C8" s="85"/>
    </row>
    <row r="9" spans="1:3" s="168" customFormat="1" ht="12" customHeight="1" thickBot="1" x14ac:dyDescent="0.25">
      <c r="A9" s="71" t="s">
        <v>16</v>
      </c>
      <c r="B9" s="86" t="s">
        <v>467</v>
      </c>
      <c r="C9" s="856">
        <f>SUM(C10:C20)</f>
        <v>0</v>
      </c>
    </row>
    <row r="10" spans="1:3" s="168" customFormat="1" ht="12" customHeight="1" x14ac:dyDescent="0.2">
      <c r="A10" s="211" t="s">
        <v>86</v>
      </c>
      <c r="B10" s="7" t="s">
        <v>209</v>
      </c>
      <c r="C10" s="158"/>
    </row>
    <row r="11" spans="1:3" s="168" customFormat="1" ht="12" customHeight="1" x14ac:dyDescent="0.2">
      <c r="A11" s="212" t="s">
        <v>87</v>
      </c>
      <c r="B11" s="5" t="s">
        <v>210</v>
      </c>
      <c r="C11" s="854"/>
    </row>
    <row r="12" spans="1:3" s="168" customFormat="1" ht="12" customHeight="1" x14ac:dyDescent="0.2">
      <c r="A12" s="212" t="s">
        <v>88</v>
      </c>
      <c r="B12" s="5" t="s">
        <v>211</v>
      </c>
      <c r="C12" s="854"/>
    </row>
    <row r="13" spans="1:3" s="168" customFormat="1" ht="12" customHeight="1" x14ac:dyDescent="0.2">
      <c r="A13" s="212" t="s">
        <v>89</v>
      </c>
      <c r="B13" s="5" t="s">
        <v>212</v>
      </c>
      <c r="C13" s="854"/>
    </row>
    <row r="14" spans="1:3" s="168" customFormat="1" ht="12" customHeight="1" x14ac:dyDescent="0.2">
      <c r="A14" s="212" t="s">
        <v>112</v>
      </c>
      <c r="B14" s="5" t="s">
        <v>213</v>
      </c>
      <c r="C14" s="854"/>
    </row>
    <row r="15" spans="1:3" s="168" customFormat="1" ht="12" customHeight="1" x14ac:dyDescent="0.2">
      <c r="A15" s="212" t="s">
        <v>90</v>
      </c>
      <c r="B15" s="5" t="s">
        <v>333</v>
      </c>
      <c r="C15" s="854"/>
    </row>
    <row r="16" spans="1:3" s="168" customFormat="1" ht="12" customHeight="1" x14ac:dyDescent="0.2">
      <c r="A16" s="212" t="s">
        <v>91</v>
      </c>
      <c r="B16" s="4" t="s">
        <v>334</v>
      </c>
      <c r="C16" s="854"/>
    </row>
    <row r="17" spans="1:3" s="168" customFormat="1" ht="12" customHeight="1" x14ac:dyDescent="0.2">
      <c r="A17" s="212" t="s">
        <v>101</v>
      </c>
      <c r="B17" s="5" t="s">
        <v>216</v>
      </c>
      <c r="C17" s="127"/>
    </row>
    <row r="18" spans="1:3" s="220" customFormat="1" ht="12" customHeight="1" x14ac:dyDescent="0.2">
      <c r="A18" s="212" t="s">
        <v>102</v>
      </c>
      <c r="B18" s="5" t="s">
        <v>217</v>
      </c>
      <c r="C18" s="854"/>
    </row>
    <row r="19" spans="1:3" s="220" customFormat="1" ht="12" customHeight="1" x14ac:dyDescent="0.2">
      <c r="A19" s="212" t="s">
        <v>103</v>
      </c>
      <c r="B19" s="5" t="s">
        <v>397</v>
      </c>
      <c r="C19" s="414"/>
    </row>
    <row r="20" spans="1:3" s="220" customFormat="1" ht="12" customHeight="1" thickBot="1" x14ac:dyDescent="0.25">
      <c r="A20" s="212" t="s">
        <v>104</v>
      </c>
      <c r="B20" s="4" t="s">
        <v>218</v>
      </c>
      <c r="C20" s="414"/>
    </row>
    <row r="21" spans="1:3" s="168" customFormat="1" ht="12" customHeight="1" thickBot="1" x14ac:dyDescent="0.25">
      <c r="A21" s="71" t="s">
        <v>17</v>
      </c>
      <c r="B21" s="86" t="s">
        <v>335</v>
      </c>
      <c r="C21" s="856">
        <f>SUM(C22:C24)</f>
        <v>0</v>
      </c>
    </row>
    <row r="22" spans="1:3" s="220" customFormat="1" ht="12" customHeight="1" x14ac:dyDescent="0.2">
      <c r="A22" s="212" t="s">
        <v>92</v>
      </c>
      <c r="B22" s="6" t="s">
        <v>187</v>
      </c>
      <c r="C22" s="124"/>
    </row>
    <row r="23" spans="1:3" s="220" customFormat="1" ht="12" customHeight="1" x14ac:dyDescent="0.2">
      <c r="A23" s="212" t="s">
        <v>93</v>
      </c>
      <c r="B23" s="5" t="s">
        <v>336</v>
      </c>
      <c r="C23" s="854"/>
    </row>
    <row r="24" spans="1:3" s="220" customFormat="1" ht="12" customHeight="1" x14ac:dyDescent="0.2">
      <c r="A24" s="212" t="s">
        <v>94</v>
      </c>
      <c r="B24" s="5" t="s">
        <v>337</v>
      </c>
      <c r="C24" s="859"/>
    </row>
    <row r="25" spans="1:3" s="220" customFormat="1" ht="12" customHeight="1" thickBot="1" x14ac:dyDescent="0.25">
      <c r="A25" s="212" t="s">
        <v>95</v>
      </c>
      <c r="B25" s="5" t="s">
        <v>468</v>
      </c>
      <c r="C25" s="854"/>
    </row>
    <row r="26" spans="1:3" s="220" customFormat="1" ht="12" customHeight="1" thickBot="1" x14ac:dyDescent="0.25">
      <c r="A26" s="74" t="s">
        <v>18</v>
      </c>
      <c r="B26" s="54" t="s">
        <v>126</v>
      </c>
      <c r="C26" s="144"/>
    </row>
    <row r="27" spans="1:3" s="220" customFormat="1" ht="12" customHeight="1" thickBot="1" x14ac:dyDescent="0.25">
      <c r="A27" s="74" t="s">
        <v>19</v>
      </c>
      <c r="B27" s="54" t="s">
        <v>469</v>
      </c>
      <c r="C27" s="856">
        <f>+C28+C29+C30</f>
        <v>0</v>
      </c>
    </row>
    <row r="28" spans="1:3" s="220" customFormat="1" ht="12" customHeight="1" x14ac:dyDescent="0.2">
      <c r="A28" s="213" t="s">
        <v>197</v>
      </c>
      <c r="B28" s="214" t="s">
        <v>192</v>
      </c>
      <c r="C28" s="853"/>
    </row>
    <row r="29" spans="1:3" s="220" customFormat="1" ht="12" customHeight="1" x14ac:dyDescent="0.2">
      <c r="A29" s="213" t="s">
        <v>200</v>
      </c>
      <c r="B29" s="214" t="s">
        <v>336</v>
      </c>
      <c r="C29" s="124"/>
    </row>
    <row r="30" spans="1:3" s="220" customFormat="1" ht="12" customHeight="1" x14ac:dyDescent="0.2">
      <c r="A30" s="213" t="s">
        <v>201</v>
      </c>
      <c r="B30" s="215" t="s">
        <v>338</v>
      </c>
      <c r="C30" s="124"/>
    </row>
    <row r="31" spans="1:3" s="220" customFormat="1" ht="12" customHeight="1" thickBot="1" x14ac:dyDescent="0.25">
      <c r="A31" s="212" t="s">
        <v>202</v>
      </c>
      <c r="B31" s="57" t="s">
        <v>470</v>
      </c>
      <c r="C31" s="855"/>
    </row>
    <row r="32" spans="1:3" s="220" customFormat="1" ht="12" customHeight="1" thickBot="1" x14ac:dyDescent="0.25">
      <c r="A32" s="74" t="s">
        <v>20</v>
      </c>
      <c r="B32" s="54" t="s">
        <v>339</v>
      </c>
      <c r="C32" s="856">
        <f>+C33+C34+C35</f>
        <v>0</v>
      </c>
    </row>
    <row r="33" spans="1:3" s="220" customFormat="1" ht="12" customHeight="1" x14ac:dyDescent="0.2">
      <c r="A33" s="213" t="s">
        <v>79</v>
      </c>
      <c r="B33" s="214" t="s">
        <v>223</v>
      </c>
      <c r="C33" s="853"/>
    </row>
    <row r="34" spans="1:3" s="220" customFormat="1" ht="12" customHeight="1" x14ac:dyDescent="0.2">
      <c r="A34" s="213" t="s">
        <v>80</v>
      </c>
      <c r="B34" s="215" t="s">
        <v>224</v>
      </c>
      <c r="C34" s="127"/>
    </row>
    <row r="35" spans="1:3" s="220" customFormat="1" ht="12" customHeight="1" thickBot="1" x14ac:dyDescent="0.25">
      <c r="A35" s="212" t="s">
        <v>81</v>
      </c>
      <c r="B35" s="57" t="s">
        <v>225</v>
      </c>
      <c r="C35" s="855"/>
    </row>
    <row r="36" spans="1:3" s="168" customFormat="1" ht="12" customHeight="1" thickBot="1" x14ac:dyDescent="0.25">
      <c r="A36" s="74" t="s">
        <v>21</v>
      </c>
      <c r="B36" s="54" t="s">
        <v>311</v>
      </c>
      <c r="C36" s="144"/>
    </row>
    <row r="37" spans="1:3" s="168" customFormat="1" ht="12" customHeight="1" thickBot="1" x14ac:dyDescent="0.25">
      <c r="A37" s="74" t="s">
        <v>22</v>
      </c>
      <c r="B37" s="54" t="s">
        <v>340</v>
      </c>
      <c r="C37" s="160"/>
    </row>
    <row r="38" spans="1:3" s="168" customFormat="1" ht="12" customHeight="1" thickBot="1" x14ac:dyDescent="0.25">
      <c r="A38" s="71" t="s">
        <v>23</v>
      </c>
      <c r="B38" s="54" t="s">
        <v>341</v>
      </c>
      <c r="C38" s="857">
        <f>+C9+C21+C26+C27+C32+C36+C37</f>
        <v>0</v>
      </c>
    </row>
    <row r="39" spans="1:3" s="168" customFormat="1" ht="12" customHeight="1" thickBot="1" x14ac:dyDescent="0.25">
      <c r="A39" s="87" t="s">
        <v>24</v>
      </c>
      <c r="B39" s="54" t="s">
        <v>342</v>
      </c>
      <c r="C39" s="857">
        <f>+C40+C41+C42</f>
        <v>108914</v>
      </c>
    </row>
    <row r="40" spans="1:3" s="168" customFormat="1" ht="12" customHeight="1" x14ac:dyDescent="0.2">
      <c r="A40" s="213" t="s">
        <v>343</v>
      </c>
      <c r="B40" s="214" t="s">
        <v>168</v>
      </c>
      <c r="C40" s="853"/>
    </row>
    <row r="41" spans="1:3" s="168" customFormat="1" ht="12" customHeight="1" x14ac:dyDescent="0.2">
      <c r="A41" s="213" t="s">
        <v>344</v>
      </c>
      <c r="B41" s="215" t="s">
        <v>6</v>
      </c>
      <c r="C41" s="127"/>
    </row>
    <row r="42" spans="1:3" s="220" customFormat="1" ht="12" customHeight="1" thickBot="1" x14ac:dyDescent="0.25">
      <c r="A42" s="212" t="s">
        <v>345</v>
      </c>
      <c r="B42" s="57" t="s">
        <v>346</v>
      </c>
      <c r="C42" s="855">
        <v>108914</v>
      </c>
    </row>
    <row r="43" spans="1:3" s="220" customFormat="1" ht="15" customHeight="1" thickBot="1" x14ac:dyDescent="0.25">
      <c r="A43" s="87" t="s">
        <v>25</v>
      </c>
      <c r="B43" s="88" t="s">
        <v>347</v>
      </c>
      <c r="C43" s="163">
        <f>+C38+C39</f>
        <v>108914</v>
      </c>
    </row>
    <row r="44" spans="1:3" s="220" customFormat="1" ht="15" customHeight="1" x14ac:dyDescent="0.2">
      <c r="A44" s="89"/>
      <c r="B44" s="90"/>
      <c r="C44" s="161"/>
    </row>
    <row r="45" spans="1:3" ht="13.5" thickBot="1" x14ac:dyDescent="0.25">
      <c r="A45" s="91"/>
      <c r="B45" s="92"/>
      <c r="C45" s="162"/>
    </row>
    <row r="46" spans="1:3" s="219" customFormat="1" ht="16.5" customHeight="1" thickBot="1" x14ac:dyDescent="0.25">
      <c r="A46" s="93"/>
      <c r="B46" s="94" t="s">
        <v>53</v>
      </c>
      <c r="C46" s="163"/>
    </row>
    <row r="47" spans="1:3" s="221" customFormat="1" ht="12" customHeight="1" thickBot="1" x14ac:dyDescent="0.25">
      <c r="A47" s="74" t="s">
        <v>16</v>
      </c>
      <c r="B47" s="54" t="s">
        <v>348</v>
      </c>
      <c r="C47" s="856">
        <f>SUM(C48:C52)</f>
        <v>108914</v>
      </c>
    </row>
    <row r="48" spans="1:3" ht="12" customHeight="1" x14ac:dyDescent="0.2">
      <c r="A48" s="212" t="s">
        <v>86</v>
      </c>
      <c r="B48" s="6" t="s">
        <v>46</v>
      </c>
      <c r="C48" s="858"/>
    </row>
    <row r="49" spans="1:3" ht="12" customHeight="1" x14ac:dyDescent="0.2">
      <c r="A49" s="212" t="s">
        <v>87</v>
      </c>
      <c r="B49" s="5" t="s">
        <v>135</v>
      </c>
      <c r="C49" s="854">
        <v>7314</v>
      </c>
    </row>
    <row r="50" spans="1:3" ht="12" customHeight="1" x14ac:dyDescent="0.2">
      <c r="A50" s="212" t="s">
        <v>88</v>
      </c>
      <c r="B50" s="5" t="s">
        <v>111</v>
      </c>
      <c r="C50" s="854">
        <v>101600</v>
      </c>
    </row>
    <row r="51" spans="1:3" ht="12" customHeight="1" x14ac:dyDescent="0.2">
      <c r="A51" s="212" t="s">
        <v>89</v>
      </c>
      <c r="B51" s="5" t="s">
        <v>136</v>
      </c>
      <c r="C51" s="854"/>
    </row>
    <row r="52" spans="1:3" ht="12" customHeight="1" thickBot="1" x14ac:dyDescent="0.25">
      <c r="A52" s="212" t="s">
        <v>112</v>
      </c>
      <c r="B52" s="5" t="s">
        <v>137</v>
      </c>
      <c r="C52" s="854"/>
    </row>
    <row r="53" spans="1:3" ht="12" customHeight="1" thickBot="1" x14ac:dyDescent="0.25">
      <c r="A53" s="74" t="s">
        <v>17</v>
      </c>
      <c r="B53" s="54" t="s">
        <v>349</v>
      </c>
      <c r="C53" s="856">
        <f>SUM(C54:C56)</f>
        <v>0</v>
      </c>
    </row>
    <row r="54" spans="1:3" s="221" customFormat="1" ht="12" customHeight="1" x14ac:dyDescent="0.2">
      <c r="A54" s="212" t="s">
        <v>92</v>
      </c>
      <c r="B54" s="6" t="s">
        <v>159</v>
      </c>
      <c r="C54" s="858"/>
    </row>
    <row r="55" spans="1:3" ht="12" customHeight="1" x14ac:dyDescent="0.2">
      <c r="A55" s="212" t="s">
        <v>93</v>
      </c>
      <c r="B55" s="5" t="s">
        <v>139</v>
      </c>
      <c r="C55" s="854"/>
    </row>
    <row r="56" spans="1:3" ht="12" customHeight="1" x14ac:dyDescent="0.2">
      <c r="A56" s="212" t="s">
        <v>94</v>
      </c>
      <c r="B56" s="5" t="s">
        <v>54</v>
      </c>
      <c r="C56" s="854"/>
    </row>
    <row r="57" spans="1:3" ht="12" customHeight="1" thickBot="1" x14ac:dyDescent="0.25">
      <c r="A57" s="212" t="s">
        <v>95</v>
      </c>
      <c r="B57" s="5" t="s">
        <v>471</v>
      </c>
      <c r="C57" s="854"/>
    </row>
    <row r="58" spans="1:3" ht="15" customHeight="1" thickBot="1" x14ac:dyDescent="0.25">
      <c r="A58" s="74" t="s">
        <v>18</v>
      </c>
      <c r="B58" s="54" t="s">
        <v>12</v>
      </c>
      <c r="C58" s="144"/>
    </row>
    <row r="59" spans="1:3" ht="13.5" thickBot="1" x14ac:dyDescent="0.25">
      <c r="A59" s="74" t="s">
        <v>19</v>
      </c>
      <c r="B59" s="95" t="s">
        <v>472</v>
      </c>
      <c r="C59" s="164">
        <f>+C47+C53+C58</f>
        <v>108914</v>
      </c>
    </row>
    <row r="60" spans="1:3" ht="15" customHeight="1" thickBot="1" x14ac:dyDescent="0.25">
      <c r="C60" s="319"/>
    </row>
    <row r="61" spans="1:3" ht="14.25" customHeight="1" thickBot="1" x14ac:dyDescent="0.25">
      <c r="A61" s="97" t="s">
        <v>465</v>
      </c>
      <c r="B61" s="98"/>
      <c r="C61" s="416"/>
    </row>
  </sheetData>
  <sheetProtection formatCells="0"/>
  <mergeCells count="1">
    <mergeCell ref="A1:C1"/>
  </mergeCells>
  <printOptions horizontalCentered="1"/>
  <pageMargins left="0.7" right="0.7" top="0.75" bottom="0.75" header="0.3" footer="0.3"/>
  <pageSetup paperSize="9" scale="71" orientation="portrait" verticalDpi="300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7"/>
  <dimension ref="A1:D59"/>
  <sheetViews>
    <sheetView zoomScale="115" zoomScaleNormal="115" workbookViewId="0">
      <selection activeCell="B51" sqref="B51"/>
    </sheetView>
  </sheetViews>
  <sheetFormatPr defaultRowHeight="12.75" x14ac:dyDescent="0.2"/>
  <cols>
    <col min="1" max="1" width="13.83203125" style="96" customWidth="1"/>
    <col min="2" max="2" width="79.1640625" style="774" customWidth="1"/>
    <col min="3" max="3" width="25" style="320" customWidth="1"/>
    <col min="4" max="16384" width="9.33203125" style="774"/>
  </cols>
  <sheetData>
    <row r="1" spans="1:3" x14ac:dyDescent="0.2">
      <c r="A1" s="1482" t="str">
        <f>CONCATENATE("16. melléklet"," ",ALAPADATOK!A7," ",ALAPADATOK!B7," ",ALAPADATOK!C7," ",ALAPADATOK!D7," ",ALAPADATOK!E7," ",ALAPADATOK!F7," ",ALAPADATOK!G7," ",ALAPADATOK!H7)</f>
        <v>16. melléklet a 19 / 2021. ( XI.29. ) önkormányzati rendelethez</v>
      </c>
      <c r="B1" s="1482"/>
      <c r="C1" s="1482"/>
    </row>
    <row r="2" spans="1:3" s="77" customFormat="1" ht="21" customHeight="1" x14ac:dyDescent="0.2">
      <c r="A2" s="76"/>
      <c r="B2" s="78"/>
      <c r="C2" s="216"/>
    </row>
    <row r="3" spans="1:3" s="217" customFormat="1" ht="33.75" customHeight="1" thickBot="1" x14ac:dyDescent="0.25">
      <c r="A3" s="1442" t="s">
        <v>1038</v>
      </c>
      <c r="B3" s="1442"/>
      <c r="C3" s="1442"/>
    </row>
    <row r="4" spans="1:3" ht="13.5" thickBot="1" x14ac:dyDescent="0.25">
      <c r="A4" s="175" t="s">
        <v>154</v>
      </c>
      <c r="B4" s="81" t="s">
        <v>50</v>
      </c>
      <c r="C4" s="82" t="s">
        <v>1033</v>
      </c>
    </row>
    <row r="5" spans="1:3" s="219" customFormat="1" ht="12.95" customHeight="1" thickBot="1" x14ac:dyDescent="0.25">
      <c r="A5" s="71" t="s">
        <v>391</v>
      </c>
      <c r="B5" s="72" t="s">
        <v>392</v>
      </c>
      <c r="C5" s="73" t="s">
        <v>393</v>
      </c>
    </row>
    <row r="6" spans="1:3" s="219" customFormat="1" ht="15.95" customHeight="1" thickBot="1" x14ac:dyDescent="0.25">
      <c r="A6" s="83"/>
      <c r="B6" s="84" t="s">
        <v>52</v>
      </c>
      <c r="C6" s="85"/>
    </row>
    <row r="7" spans="1:3" s="168" customFormat="1" ht="12" customHeight="1" thickBot="1" x14ac:dyDescent="0.25">
      <c r="A7" s="71" t="s">
        <v>16</v>
      </c>
      <c r="B7" s="86" t="s">
        <v>467</v>
      </c>
      <c r="C7" s="856">
        <f>SUM(C8:C18)</f>
        <v>500000</v>
      </c>
    </row>
    <row r="8" spans="1:3" s="168" customFormat="1" ht="12" customHeight="1" x14ac:dyDescent="0.2">
      <c r="A8" s="211" t="s">
        <v>86</v>
      </c>
      <c r="B8" s="7" t="s">
        <v>209</v>
      </c>
      <c r="C8" s="158"/>
    </row>
    <row r="9" spans="1:3" s="168" customFormat="1" ht="12" customHeight="1" x14ac:dyDescent="0.2">
      <c r="A9" s="212" t="s">
        <v>87</v>
      </c>
      <c r="B9" s="5" t="s">
        <v>210</v>
      </c>
      <c r="C9" s="854"/>
    </row>
    <row r="10" spans="1:3" s="168" customFormat="1" ht="12" customHeight="1" x14ac:dyDescent="0.2">
      <c r="A10" s="212" t="s">
        <v>88</v>
      </c>
      <c r="B10" s="5" t="s">
        <v>211</v>
      </c>
      <c r="C10" s="859">
        <f>400000</f>
        <v>400000</v>
      </c>
    </row>
    <row r="11" spans="1:3" s="168" customFormat="1" ht="12" customHeight="1" x14ac:dyDescent="0.2">
      <c r="A11" s="212" t="s">
        <v>89</v>
      </c>
      <c r="B11" s="5" t="s">
        <v>212</v>
      </c>
      <c r="C11" s="854"/>
    </row>
    <row r="12" spans="1:3" s="168" customFormat="1" ht="12" customHeight="1" x14ac:dyDescent="0.2">
      <c r="A12" s="212" t="s">
        <v>112</v>
      </c>
      <c r="B12" s="5" t="s">
        <v>213</v>
      </c>
      <c r="C12" s="854"/>
    </row>
    <row r="13" spans="1:3" s="168" customFormat="1" ht="12" customHeight="1" x14ac:dyDescent="0.2">
      <c r="A13" s="212" t="s">
        <v>90</v>
      </c>
      <c r="B13" s="5" t="s">
        <v>333</v>
      </c>
      <c r="C13" s="854"/>
    </row>
    <row r="14" spans="1:3" s="168" customFormat="1" ht="12" customHeight="1" x14ac:dyDescent="0.2">
      <c r="A14" s="212" t="s">
        <v>91</v>
      </c>
      <c r="B14" s="4" t="s">
        <v>334</v>
      </c>
      <c r="C14" s="854"/>
    </row>
    <row r="15" spans="1:3" s="168" customFormat="1" ht="12" customHeight="1" x14ac:dyDescent="0.2">
      <c r="A15" s="212" t="s">
        <v>101</v>
      </c>
      <c r="B15" s="5" t="s">
        <v>216</v>
      </c>
      <c r="C15" s="127"/>
    </row>
    <row r="16" spans="1:3" s="220" customFormat="1" ht="12" customHeight="1" x14ac:dyDescent="0.2">
      <c r="A16" s="212" t="s">
        <v>102</v>
      </c>
      <c r="B16" s="5" t="s">
        <v>217</v>
      </c>
      <c r="C16" s="854"/>
    </row>
    <row r="17" spans="1:3" s="220" customFormat="1" ht="12" customHeight="1" x14ac:dyDescent="0.2">
      <c r="A17" s="212" t="s">
        <v>103</v>
      </c>
      <c r="B17" s="5" t="s">
        <v>397</v>
      </c>
      <c r="C17" s="414"/>
    </row>
    <row r="18" spans="1:3" s="220" customFormat="1" ht="12" customHeight="1" thickBot="1" x14ac:dyDescent="0.25">
      <c r="A18" s="212" t="s">
        <v>104</v>
      </c>
      <c r="B18" s="4" t="s">
        <v>218</v>
      </c>
      <c r="C18" s="414">
        <v>100000</v>
      </c>
    </row>
    <row r="19" spans="1:3" s="168" customFormat="1" ht="12" customHeight="1" thickBot="1" x14ac:dyDescent="0.25">
      <c r="A19" s="71" t="s">
        <v>17</v>
      </c>
      <c r="B19" s="86" t="s">
        <v>335</v>
      </c>
      <c r="C19" s="856">
        <f>SUM(C20:C22)</f>
        <v>0</v>
      </c>
    </row>
    <row r="20" spans="1:3" s="220" customFormat="1" ht="12" customHeight="1" x14ac:dyDescent="0.2">
      <c r="A20" s="212" t="s">
        <v>92</v>
      </c>
      <c r="B20" s="6" t="s">
        <v>187</v>
      </c>
      <c r="C20" s="124"/>
    </row>
    <row r="21" spans="1:3" s="220" customFormat="1" ht="12" customHeight="1" x14ac:dyDescent="0.2">
      <c r="A21" s="212" t="s">
        <v>93</v>
      </c>
      <c r="B21" s="5" t="s">
        <v>336</v>
      </c>
      <c r="C21" s="854"/>
    </row>
    <row r="22" spans="1:3" s="220" customFormat="1" ht="12" customHeight="1" x14ac:dyDescent="0.2">
      <c r="A22" s="212" t="s">
        <v>94</v>
      </c>
      <c r="B22" s="5" t="s">
        <v>337</v>
      </c>
      <c r="C22" s="859"/>
    </row>
    <row r="23" spans="1:3" s="220" customFormat="1" ht="12" customHeight="1" thickBot="1" x14ac:dyDescent="0.25">
      <c r="A23" s="212" t="s">
        <v>95</v>
      </c>
      <c r="B23" s="5" t="s">
        <v>468</v>
      </c>
      <c r="C23" s="854"/>
    </row>
    <row r="24" spans="1:3" s="220" customFormat="1" ht="12" customHeight="1" thickBot="1" x14ac:dyDescent="0.25">
      <c r="A24" s="74" t="s">
        <v>18</v>
      </c>
      <c r="B24" s="54" t="s">
        <v>126</v>
      </c>
      <c r="C24" s="144"/>
    </row>
    <row r="25" spans="1:3" s="220" customFormat="1" ht="12" customHeight="1" thickBot="1" x14ac:dyDescent="0.25">
      <c r="A25" s="74" t="s">
        <v>19</v>
      </c>
      <c r="B25" s="54" t="s">
        <v>469</v>
      </c>
      <c r="C25" s="856">
        <f>+C26+C27+C28</f>
        <v>0</v>
      </c>
    </row>
    <row r="26" spans="1:3" s="220" customFormat="1" ht="12" customHeight="1" x14ac:dyDescent="0.2">
      <c r="A26" s="213" t="s">
        <v>197</v>
      </c>
      <c r="B26" s="214" t="s">
        <v>192</v>
      </c>
      <c r="C26" s="853"/>
    </row>
    <row r="27" spans="1:3" s="220" customFormat="1" ht="12" customHeight="1" x14ac:dyDescent="0.2">
      <c r="A27" s="213" t="s">
        <v>200</v>
      </c>
      <c r="B27" s="214" t="s">
        <v>336</v>
      </c>
      <c r="C27" s="124"/>
    </row>
    <row r="28" spans="1:3" s="220" customFormat="1" ht="12" customHeight="1" x14ac:dyDescent="0.2">
      <c r="A28" s="213" t="s">
        <v>201</v>
      </c>
      <c r="B28" s="215" t="s">
        <v>338</v>
      </c>
      <c r="C28" s="124"/>
    </row>
    <row r="29" spans="1:3" s="220" customFormat="1" ht="12" customHeight="1" thickBot="1" x14ac:dyDescent="0.25">
      <c r="A29" s="212" t="s">
        <v>202</v>
      </c>
      <c r="B29" s="57" t="s">
        <v>470</v>
      </c>
      <c r="C29" s="855"/>
    </row>
    <row r="30" spans="1:3" s="220" customFormat="1" ht="12" customHeight="1" thickBot="1" x14ac:dyDescent="0.25">
      <c r="A30" s="74" t="s">
        <v>20</v>
      </c>
      <c r="B30" s="54" t="s">
        <v>339</v>
      </c>
      <c r="C30" s="856">
        <f>+C31+C32+C33</f>
        <v>0</v>
      </c>
    </row>
    <row r="31" spans="1:3" s="220" customFormat="1" ht="12" customHeight="1" x14ac:dyDescent="0.2">
      <c r="A31" s="213" t="s">
        <v>79</v>
      </c>
      <c r="B31" s="214" t="s">
        <v>223</v>
      </c>
      <c r="C31" s="853"/>
    </row>
    <row r="32" spans="1:3" s="220" customFormat="1" ht="12" customHeight="1" x14ac:dyDescent="0.2">
      <c r="A32" s="213" t="s">
        <v>80</v>
      </c>
      <c r="B32" s="215" t="s">
        <v>224</v>
      </c>
      <c r="C32" s="127"/>
    </row>
    <row r="33" spans="1:4" s="220" customFormat="1" ht="12" customHeight="1" thickBot="1" x14ac:dyDescent="0.25">
      <c r="A33" s="212" t="s">
        <v>81</v>
      </c>
      <c r="B33" s="57" t="s">
        <v>225</v>
      </c>
      <c r="C33" s="855"/>
    </row>
    <row r="34" spans="1:4" s="168" customFormat="1" ht="12" customHeight="1" thickBot="1" x14ac:dyDescent="0.25">
      <c r="A34" s="74" t="s">
        <v>21</v>
      </c>
      <c r="B34" s="54" t="s">
        <v>311</v>
      </c>
      <c r="C34" s="144"/>
    </row>
    <row r="35" spans="1:4" s="168" customFormat="1" ht="12" customHeight="1" thickBot="1" x14ac:dyDescent="0.25">
      <c r="A35" s="74" t="s">
        <v>22</v>
      </c>
      <c r="B35" s="54" t="s">
        <v>340</v>
      </c>
      <c r="C35" s="160"/>
    </row>
    <row r="36" spans="1:4" s="168" customFormat="1" ht="12" customHeight="1" thickBot="1" x14ac:dyDescent="0.25">
      <c r="A36" s="71" t="s">
        <v>23</v>
      </c>
      <c r="B36" s="54" t="s">
        <v>341</v>
      </c>
      <c r="C36" s="857">
        <f>+C7+C19+C24+C25+C30+C34+C35</f>
        <v>500000</v>
      </c>
    </row>
    <row r="37" spans="1:4" s="168" customFormat="1" ht="12" customHeight="1" thickBot="1" x14ac:dyDescent="0.25">
      <c r="A37" s="87" t="s">
        <v>24</v>
      </c>
      <c r="B37" s="54" t="s">
        <v>342</v>
      </c>
      <c r="C37" s="857">
        <f>+C38+C39+C40</f>
        <v>231201757</v>
      </c>
    </row>
    <row r="38" spans="1:4" s="168" customFormat="1" ht="12" customHeight="1" x14ac:dyDescent="0.2">
      <c r="A38" s="213" t="s">
        <v>343</v>
      </c>
      <c r="B38" s="214" t="s">
        <v>168</v>
      </c>
      <c r="C38" s="853"/>
      <c r="D38" s="263"/>
    </row>
    <row r="39" spans="1:4" s="168" customFormat="1" ht="12" customHeight="1" x14ac:dyDescent="0.2">
      <c r="A39" s="213" t="s">
        <v>344</v>
      </c>
      <c r="B39" s="215" t="s">
        <v>6</v>
      </c>
      <c r="C39" s="127"/>
    </row>
    <row r="40" spans="1:4" s="220" customFormat="1" ht="12" customHeight="1" thickBot="1" x14ac:dyDescent="0.25">
      <c r="A40" s="212" t="s">
        <v>345</v>
      </c>
      <c r="B40" s="57" t="s">
        <v>346</v>
      </c>
      <c r="C40" s="855">
        <f>224610266-3278940+9870431</f>
        <v>231201757</v>
      </c>
    </row>
    <row r="41" spans="1:4" s="220" customFormat="1" ht="15" customHeight="1" thickBot="1" x14ac:dyDescent="0.25">
      <c r="A41" s="87" t="s">
        <v>25</v>
      </c>
      <c r="B41" s="88" t="s">
        <v>347</v>
      </c>
      <c r="C41" s="163">
        <f>+C36+C37</f>
        <v>231701757</v>
      </c>
    </row>
    <row r="42" spans="1:4" s="220" customFormat="1" ht="15" customHeight="1" x14ac:dyDescent="0.2">
      <c r="A42" s="89"/>
      <c r="B42" s="90"/>
      <c r="C42" s="161"/>
    </row>
    <row r="43" spans="1:4" ht="13.5" thickBot="1" x14ac:dyDescent="0.25">
      <c r="A43" s="91"/>
      <c r="B43" s="92"/>
      <c r="C43" s="162"/>
    </row>
    <row r="44" spans="1:4" s="219" customFormat="1" ht="16.5" customHeight="1" thickBot="1" x14ac:dyDescent="0.25">
      <c r="A44" s="93"/>
      <c r="B44" s="1301" t="s">
        <v>53</v>
      </c>
      <c r="C44" s="163"/>
    </row>
    <row r="45" spans="1:4" s="221" customFormat="1" ht="12" customHeight="1" thickBot="1" x14ac:dyDescent="0.25">
      <c r="A45" s="74" t="s">
        <v>16</v>
      </c>
      <c r="B45" s="54" t="s">
        <v>348</v>
      </c>
      <c r="C45" s="856">
        <f>SUM(C46:C50)</f>
        <v>229724658</v>
      </c>
    </row>
    <row r="46" spans="1:4" ht="12" customHeight="1" x14ac:dyDescent="0.2">
      <c r="A46" s="212" t="s">
        <v>86</v>
      </c>
      <c r="B46" s="6" t="s">
        <v>46</v>
      </c>
      <c r="C46" s="853">
        <f>158870797-1748000+8563501</f>
        <v>165686298</v>
      </c>
    </row>
    <row r="47" spans="1:4" ht="12" customHeight="1" x14ac:dyDescent="0.2">
      <c r="A47" s="212" t="s">
        <v>87</v>
      </c>
      <c r="B47" s="5" t="s">
        <v>135</v>
      </c>
      <c r="C47" s="854">
        <f>27952710-270940+1306930</f>
        <v>28988700</v>
      </c>
    </row>
    <row r="48" spans="1:4" ht="12" customHeight="1" x14ac:dyDescent="0.2">
      <c r="A48" s="212" t="s">
        <v>88</v>
      </c>
      <c r="B48" s="5" t="s">
        <v>111</v>
      </c>
      <c r="C48" s="859">
        <f>35909660-1260000+400000</f>
        <v>35049660</v>
      </c>
    </row>
    <row r="49" spans="1:3" ht="12" customHeight="1" x14ac:dyDescent="0.2">
      <c r="A49" s="212" t="s">
        <v>89</v>
      </c>
      <c r="B49" s="5" t="s">
        <v>136</v>
      </c>
      <c r="C49" s="854"/>
    </row>
    <row r="50" spans="1:3" ht="12" customHeight="1" thickBot="1" x14ac:dyDescent="0.25">
      <c r="A50" s="212" t="s">
        <v>112</v>
      </c>
      <c r="B50" s="5" t="s">
        <v>137</v>
      </c>
      <c r="C50" s="854"/>
    </row>
    <row r="51" spans="1:3" ht="12" customHeight="1" thickBot="1" x14ac:dyDescent="0.25">
      <c r="A51" s="74" t="s">
        <v>17</v>
      </c>
      <c r="B51" s="54" t="s">
        <v>349</v>
      </c>
      <c r="C51" s="856">
        <f>SUM(C52:C54)</f>
        <v>1977099</v>
      </c>
    </row>
    <row r="52" spans="1:3" s="221" customFormat="1" ht="12" customHeight="1" x14ac:dyDescent="0.2">
      <c r="A52" s="212" t="s">
        <v>92</v>
      </c>
      <c r="B52" s="6" t="s">
        <v>159</v>
      </c>
      <c r="C52" s="853">
        <v>1977099</v>
      </c>
    </row>
    <row r="53" spans="1:3" ht="12" customHeight="1" x14ac:dyDescent="0.2">
      <c r="A53" s="212" t="s">
        <v>93</v>
      </c>
      <c r="B53" s="5" t="s">
        <v>139</v>
      </c>
      <c r="C53" s="854"/>
    </row>
    <row r="54" spans="1:3" ht="12" customHeight="1" x14ac:dyDescent="0.2">
      <c r="A54" s="212" t="s">
        <v>94</v>
      </c>
      <c r="B54" s="5" t="s">
        <v>54</v>
      </c>
      <c r="C54" s="854"/>
    </row>
    <row r="55" spans="1:3" ht="12" customHeight="1" thickBot="1" x14ac:dyDescent="0.25">
      <c r="A55" s="212" t="s">
        <v>95</v>
      </c>
      <c r="B55" s="5" t="s">
        <v>471</v>
      </c>
      <c r="C55" s="854"/>
    </row>
    <row r="56" spans="1:3" ht="15" customHeight="1" thickBot="1" x14ac:dyDescent="0.25">
      <c r="A56" s="74" t="s">
        <v>18</v>
      </c>
      <c r="B56" s="54" t="s">
        <v>12</v>
      </c>
      <c r="C56" s="144"/>
    </row>
    <row r="57" spans="1:3" ht="13.5" thickBot="1" x14ac:dyDescent="0.25">
      <c r="A57" s="74" t="s">
        <v>19</v>
      </c>
      <c r="B57" s="95" t="s">
        <v>472</v>
      </c>
      <c r="C57" s="164">
        <f>+C45+C51+C56</f>
        <v>231701757</v>
      </c>
    </row>
    <row r="58" spans="1:3" ht="15" customHeight="1" thickBot="1" x14ac:dyDescent="0.25">
      <c r="C58" s="319"/>
    </row>
    <row r="59" spans="1:3" ht="14.25" customHeight="1" thickBot="1" x14ac:dyDescent="0.25">
      <c r="A59" s="1477" t="s">
        <v>465</v>
      </c>
      <c r="B59" s="1478"/>
      <c r="C59" s="1338">
        <f>46.38-0.66666+3</f>
        <v>48.713340000000002</v>
      </c>
    </row>
  </sheetData>
  <sheetProtection formatCells="0"/>
  <mergeCells count="3">
    <mergeCell ref="A1:C1"/>
    <mergeCell ref="A59:B59"/>
    <mergeCell ref="A3:C3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8"/>
  <dimension ref="A1:G55"/>
  <sheetViews>
    <sheetView workbookViewId="0">
      <selection activeCell="K9" sqref="K9"/>
    </sheetView>
  </sheetViews>
  <sheetFormatPr defaultRowHeight="12.75" x14ac:dyDescent="0.2"/>
  <cols>
    <col min="1" max="1" width="13.83203125" style="96" customWidth="1"/>
    <col min="2" max="2" width="79.1640625" style="774" customWidth="1"/>
    <col min="3" max="3" width="25" style="333" customWidth="1"/>
    <col min="4" max="4" width="9.33203125" style="774" hidden="1" customWidth="1"/>
    <col min="5" max="5" width="11.83203125" style="797" hidden="1" customWidth="1"/>
    <col min="6" max="6" width="9.83203125" style="797" hidden="1" customWidth="1"/>
    <col min="7" max="7" width="8" style="774" hidden="1" customWidth="1"/>
    <col min="8" max="256" width="9.33203125" style="774"/>
    <col min="257" max="257" width="13.83203125" style="774" customWidth="1"/>
    <col min="258" max="258" width="79.1640625" style="774" customWidth="1"/>
    <col min="259" max="259" width="25" style="774" customWidth="1"/>
    <col min="260" max="512" width="9.33203125" style="774"/>
    <col min="513" max="513" width="13.83203125" style="774" customWidth="1"/>
    <col min="514" max="514" width="79.1640625" style="774" customWidth="1"/>
    <col min="515" max="515" width="25" style="774" customWidth="1"/>
    <col min="516" max="768" width="9.33203125" style="774"/>
    <col min="769" max="769" width="13.83203125" style="774" customWidth="1"/>
    <col min="770" max="770" width="79.1640625" style="774" customWidth="1"/>
    <col min="771" max="771" width="25" style="774" customWidth="1"/>
    <col min="772" max="1024" width="9.33203125" style="774"/>
    <col min="1025" max="1025" width="13.83203125" style="774" customWidth="1"/>
    <col min="1026" max="1026" width="79.1640625" style="774" customWidth="1"/>
    <col min="1027" max="1027" width="25" style="774" customWidth="1"/>
    <col min="1028" max="1280" width="9.33203125" style="774"/>
    <col min="1281" max="1281" width="13.83203125" style="774" customWidth="1"/>
    <col min="1282" max="1282" width="79.1640625" style="774" customWidth="1"/>
    <col min="1283" max="1283" width="25" style="774" customWidth="1"/>
    <col min="1284" max="1536" width="9.33203125" style="774"/>
    <col min="1537" max="1537" width="13.83203125" style="774" customWidth="1"/>
    <col min="1538" max="1538" width="79.1640625" style="774" customWidth="1"/>
    <col min="1539" max="1539" width="25" style="774" customWidth="1"/>
    <col min="1540" max="1792" width="9.33203125" style="774"/>
    <col min="1793" max="1793" width="13.83203125" style="774" customWidth="1"/>
    <col min="1794" max="1794" width="79.1640625" style="774" customWidth="1"/>
    <col min="1795" max="1795" width="25" style="774" customWidth="1"/>
    <col min="1796" max="2048" width="9.33203125" style="774"/>
    <col min="2049" max="2049" width="13.83203125" style="774" customWidth="1"/>
    <col min="2050" max="2050" width="79.1640625" style="774" customWidth="1"/>
    <col min="2051" max="2051" width="25" style="774" customWidth="1"/>
    <col min="2052" max="2304" width="9.33203125" style="774"/>
    <col min="2305" max="2305" width="13.83203125" style="774" customWidth="1"/>
    <col min="2306" max="2306" width="79.1640625" style="774" customWidth="1"/>
    <col min="2307" max="2307" width="25" style="774" customWidth="1"/>
    <col min="2308" max="2560" width="9.33203125" style="774"/>
    <col min="2561" max="2561" width="13.83203125" style="774" customWidth="1"/>
    <col min="2562" max="2562" width="79.1640625" style="774" customWidth="1"/>
    <col min="2563" max="2563" width="25" style="774" customWidth="1"/>
    <col min="2564" max="2816" width="9.33203125" style="774"/>
    <col min="2817" max="2817" width="13.83203125" style="774" customWidth="1"/>
    <col min="2818" max="2818" width="79.1640625" style="774" customWidth="1"/>
    <col min="2819" max="2819" width="25" style="774" customWidth="1"/>
    <col min="2820" max="3072" width="9.33203125" style="774"/>
    <col min="3073" max="3073" width="13.83203125" style="774" customWidth="1"/>
    <col min="3074" max="3074" width="79.1640625" style="774" customWidth="1"/>
    <col min="3075" max="3075" width="25" style="774" customWidth="1"/>
    <col min="3076" max="3328" width="9.33203125" style="774"/>
    <col min="3329" max="3329" width="13.83203125" style="774" customWidth="1"/>
    <col min="3330" max="3330" width="79.1640625" style="774" customWidth="1"/>
    <col min="3331" max="3331" width="25" style="774" customWidth="1"/>
    <col min="3332" max="3584" width="9.33203125" style="774"/>
    <col min="3585" max="3585" width="13.83203125" style="774" customWidth="1"/>
    <col min="3586" max="3586" width="79.1640625" style="774" customWidth="1"/>
    <col min="3587" max="3587" width="25" style="774" customWidth="1"/>
    <col min="3588" max="3840" width="9.33203125" style="774"/>
    <col min="3841" max="3841" width="13.83203125" style="774" customWidth="1"/>
    <col min="3842" max="3842" width="79.1640625" style="774" customWidth="1"/>
    <col min="3843" max="3843" width="25" style="774" customWidth="1"/>
    <col min="3844" max="4096" width="9.33203125" style="774"/>
    <col min="4097" max="4097" width="13.83203125" style="774" customWidth="1"/>
    <col min="4098" max="4098" width="79.1640625" style="774" customWidth="1"/>
    <col min="4099" max="4099" width="25" style="774" customWidth="1"/>
    <col min="4100" max="4352" width="9.33203125" style="774"/>
    <col min="4353" max="4353" width="13.83203125" style="774" customWidth="1"/>
    <col min="4354" max="4354" width="79.1640625" style="774" customWidth="1"/>
    <col min="4355" max="4355" width="25" style="774" customWidth="1"/>
    <col min="4356" max="4608" width="9.33203125" style="774"/>
    <col min="4609" max="4609" width="13.83203125" style="774" customWidth="1"/>
    <col min="4610" max="4610" width="79.1640625" style="774" customWidth="1"/>
    <col min="4611" max="4611" width="25" style="774" customWidth="1"/>
    <col min="4612" max="4864" width="9.33203125" style="774"/>
    <col min="4865" max="4865" width="13.83203125" style="774" customWidth="1"/>
    <col min="4866" max="4866" width="79.1640625" style="774" customWidth="1"/>
    <col min="4867" max="4867" width="25" style="774" customWidth="1"/>
    <col min="4868" max="5120" width="9.33203125" style="774"/>
    <col min="5121" max="5121" width="13.83203125" style="774" customWidth="1"/>
    <col min="5122" max="5122" width="79.1640625" style="774" customWidth="1"/>
    <col min="5123" max="5123" width="25" style="774" customWidth="1"/>
    <col min="5124" max="5376" width="9.33203125" style="774"/>
    <col min="5377" max="5377" width="13.83203125" style="774" customWidth="1"/>
    <col min="5378" max="5378" width="79.1640625" style="774" customWidth="1"/>
    <col min="5379" max="5379" width="25" style="774" customWidth="1"/>
    <col min="5380" max="5632" width="9.33203125" style="774"/>
    <col min="5633" max="5633" width="13.83203125" style="774" customWidth="1"/>
    <col min="5634" max="5634" width="79.1640625" style="774" customWidth="1"/>
    <col min="5635" max="5635" width="25" style="774" customWidth="1"/>
    <col min="5636" max="5888" width="9.33203125" style="774"/>
    <col min="5889" max="5889" width="13.83203125" style="774" customWidth="1"/>
    <col min="5890" max="5890" width="79.1640625" style="774" customWidth="1"/>
    <col min="5891" max="5891" width="25" style="774" customWidth="1"/>
    <col min="5892" max="6144" width="9.33203125" style="774"/>
    <col min="6145" max="6145" width="13.83203125" style="774" customWidth="1"/>
    <col min="6146" max="6146" width="79.1640625" style="774" customWidth="1"/>
    <col min="6147" max="6147" width="25" style="774" customWidth="1"/>
    <col min="6148" max="6400" width="9.33203125" style="774"/>
    <col min="6401" max="6401" width="13.83203125" style="774" customWidth="1"/>
    <col min="6402" max="6402" width="79.1640625" style="774" customWidth="1"/>
    <col min="6403" max="6403" width="25" style="774" customWidth="1"/>
    <col min="6404" max="6656" width="9.33203125" style="774"/>
    <col min="6657" max="6657" width="13.83203125" style="774" customWidth="1"/>
    <col min="6658" max="6658" width="79.1640625" style="774" customWidth="1"/>
    <col min="6659" max="6659" width="25" style="774" customWidth="1"/>
    <col min="6660" max="6912" width="9.33203125" style="774"/>
    <col min="6913" max="6913" width="13.83203125" style="774" customWidth="1"/>
    <col min="6914" max="6914" width="79.1640625" style="774" customWidth="1"/>
    <col min="6915" max="6915" width="25" style="774" customWidth="1"/>
    <col min="6916" max="7168" width="9.33203125" style="774"/>
    <col min="7169" max="7169" width="13.83203125" style="774" customWidth="1"/>
    <col min="7170" max="7170" width="79.1640625" style="774" customWidth="1"/>
    <col min="7171" max="7171" width="25" style="774" customWidth="1"/>
    <col min="7172" max="7424" width="9.33203125" style="774"/>
    <col min="7425" max="7425" width="13.83203125" style="774" customWidth="1"/>
    <col min="7426" max="7426" width="79.1640625" style="774" customWidth="1"/>
    <col min="7427" max="7427" width="25" style="774" customWidth="1"/>
    <col min="7428" max="7680" width="9.33203125" style="774"/>
    <col min="7681" max="7681" width="13.83203125" style="774" customWidth="1"/>
    <col min="7682" max="7682" width="79.1640625" style="774" customWidth="1"/>
    <col min="7683" max="7683" width="25" style="774" customWidth="1"/>
    <col min="7684" max="7936" width="9.33203125" style="774"/>
    <col min="7937" max="7937" width="13.83203125" style="774" customWidth="1"/>
    <col min="7938" max="7938" width="79.1640625" style="774" customWidth="1"/>
    <col min="7939" max="7939" width="25" style="774" customWidth="1"/>
    <col min="7940" max="8192" width="9.33203125" style="774"/>
    <col min="8193" max="8193" width="13.83203125" style="774" customWidth="1"/>
    <col min="8194" max="8194" width="79.1640625" style="774" customWidth="1"/>
    <col min="8195" max="8195" width="25" style="774" customWidth="1"/>
    <col min="8196" max="8448" width="9.33203125" style="774"/>
    <col min="8449" max="8449" width="13.83203125" style="774" customWidth="1"/>
    <col min="8450" max="8450" width="79.1640625" style="774" customWidth="1"/>
    <col min="8451" max="8451" width="25" style="774" customWidth="1"/>
    <col min="8452" max="8704" width="9.33203125" style="774"/>
    <col min="8705" max="8705" width="13.83203125" style="774" customWidth="1"/>
    <col min="8706" max="8706" width="79.1640625" style="774" customWidth="1"/>
    <col min="8707" max="8707" width="25" style="774" customWidth="1"/>
    <col min="8708" max="8960" width="9.33203125" style="774"/>
    <col min="8961" max="8961" width="13.83203125" style="774" customWidth="1"/>
    <col min="8962" max="8962" width="79.1640625" style="774" customWidth="1"/>
    <col min="8963" max="8963" width="25" style="774" customWidth="1"/>
    <col min="8964" max="9216" width="9.33203125" style="774"/>
    <col min="9217" max="9217" width="13.83203125" style="774" customWidth="1"/>
    <col min="9218" max="9218" width="79.1640625" style="774" customWidth="1"/>
    <col min="9219" max="9219" width="25" style="774" customWidth="1"/>
    <col min="9220" max="9472" width="9.33203125" style="774"/>
    <col min="9473" max="9473" width="13.83203125" style="774" customWidth="1"/>
    <col min="9474" max="9474" width="79.1640625" style="774" customWidth="1"/>
    <col min="9475" max="9475" width="25" style="774" customWidth="1"/>
    <col min="9476" max="9728" width="9.33203125" style="774"/>
    <col min="9729" max="9729" width="13.83203125" style="774" customWidth="1"/>
    <col min="9730" max="9730" width="79.1640625" style="774" customWidth="1"/>
    <col min="9731" max="9731" width="25" style="774" customWidth="1"/>
    <col min="9732" max="9984" width="9.33203125" style="774"/>
    <col min="9985" max="9985" width="13.83203125" style="774" customWidth="1"/>
    <col min="9986" max="9986" width="79.1640625" style="774" customWidth="1"/>
    <col min="9987" max="9987" width="25" style="774" customWidth="1"/>
    <col min="9988" max="10240" width="9.33203125" style="774"/>
    <col min="10241" max="10241" width="13.83203125" style="774" customWidth="1"/>
    <col min="10242" max="10242" width="79.1640625" style="774" customWidth="1"/>
    <col min="10243" max="10243" width="25" style="774" customWidth="1"/>
    <col min="10244" max="10496" width="9.33203125" style="774"/>
    <col min="10497" max="10497" width="13.83203125" style="774" customWidth="1"/>
    <col min="10498" max="10498" width="79.1640625" style="774" customWidth="1"/>
    <col min="10499" max="10499" width="25" style="774" customWidth="1"/>
    <col min="10500" max="10752" width="9.33203125" style="774"/>
    <col min="10753" max="10753" width="13.83203125" style="774" customWidth="1"/>
    <col min="10754" max="10754" width="79.1640625" style="774" customWidth="1"/>
    <col min="10755" max="10755" width="25" style="774" customWidth="1"/>
    <col min="10756" max="11008" width="9.33203125" style="774"/>
    <col min="11009" max="11009" width="13.83203125" style="774" customWidth="1"/>
    <col min="11010" max="11010" width="79.1640625" style="774" customWidth="1"/>
    <col min="11011" max="11011" width="25" style="774" customWidth="1"/>
    <col min="11012" max="11264" width="9.33203125" style="774"/>
    <col min="11265" max="11265" width="13.83203125" style="774" customWidth="1"/>
    <col min="11266" max="11266" width="79.1640625" style="774" customWidth="1"/>
    <col min="11267" max="11267" width="25" style="774" customWidth="1"/>
    <col min="11268" max="11520" width="9.33203125" style="774"/>
    <col min="11521" max="11521" width="13.83203125" style="774" customWidth="1"/>
    <col min="11522" max="11522" width="79.1640625" style="774" customWidth="1"/>
    <col min="11523" max="11523" width="25" style="774" customWidth="1"/>
    <col min="11524" max="11776" width="9.33203125" style="774"/>
    <col min="11777" max="11777" width="13.83203125" style="774" customWidth="1"/>
    <col min="11778" max="11778" width="79.1640625" style="774" customWidth="1"/>
    <col min="11779" max="11779" width="25" style="774" customWidth="1"/>
    <col min="11780" max="12032" width="9.33203125" style="774"/>
    <col min="12033" max="12033" width="13.83203125" style="774" customWidth="1"/>
    <col min="12034" max="12034" width="79.1640625" style="774" customWidth="1"/>
    <col min="12035" max="12035" width="25" style="774" customWidth="1"/>
    <col min="12036" max="12288" width="9.33203125" style="774"/>
    <col min="12289" max="12289" width="13.83203125" style="774" customWidth="1"/>
    <col min="12290" max="12290" width="79.1640625" style="774" customWidth="1"/>
    <col min="12291" max="12291" width="25" style="774" customWidth="1"/>
    <col min="12292" max="12544" width="9.33203125" style="774"/>
    <col min="12545" max="12545" width="13.83203125" style="774" customWidth="1"/>
    <col min="12546" max="12546" width="79.1640625" style="774" customWidth="1"/>
    <col min="12547" max="12547" width="25" style="774" customWidth="1"/>
    <col min="12548" max="12800" width="9.33203125" style="774"/>
    <col min="12801" max="12801" width="13.83203125" style="774" customWidth="1"/>
    <col min="12802" max="12802" width="79.1640625" style="774" customWidth="1"/>
    <col min="12803" max="12803" width="25" style="774" customWidth="1"/>
    <col min="12804" max="13056" width="9.33203125" style="774"/>
    <col min="13057" max="13057" width="13.83203125" style="774" customWidth="1"/>
    <col min="13058" max="13058" width="79.1640625" style="774" customWidth="1"/>
    <col min="13059" max="13059" width="25" style="774" customWidth="1"/>
    <col min="13060" max="13312" width="9.33203125" style="774"/>
    <col min="13313" max="13313" width="13.83203125" style="774" customWidth="1"/>
    <col min="13314" max="13314" width="79.1640625" style="774" customWidth="1"/>
    <col min="13315" max="13315" width="25" style="774" customWidth="1"/>
    <col min="13316" max="13568" width="9.33203125" style="774"/>
    <col min="13569" max="13569" width="13.83203125" style="774" customWidth="1"/>
    <col min="13570" max="13570" width="79.1640625" style="774" customWidth="1"/>
    <col min="13571" max="13571" width="25" style="774" customWidth="1"/>
    <col min="13572" max="13824" width="9.33203125" style="774"/>
    <col min="13825" max="13825" width="13.83203125" style="774" customWidth="1"/>
    <col min="13826" max="13826" width="79.1640625" style="774" customWidth="1"/>
    <col min="13827" max="13827" width="25" style="774" customWidth="1"/>
    <col min="13828" max="14080" width="9.33203125" style="774"/>
    <col min="14081" max="14081" width="13.83203125" style="774" customWidth="1"/>
    <col min="14082" max="14082" width="79.1640625" style="774" customWidth="1"/>
    <col min="14083" max="14083" width="25" style="774" customWidth="1"/>
    <col min="14084" max="14336" width="9.33203125" style="774"/>
    <col min="14337" max="14337" width="13.83203125" style="774" customWidth="1"/>
    <col min="14338" max="14338" width="79.1640625" style="774" customWidth="1"/>
    <col min="14339" max="14339" width="25" style="774" customWidth="1"/>
    <col min="14340" max="14592" width="9.33203125" style="774"/>
    <col min="14593" max="14593" width="13.83203125" style="774" customWidth="1"/>
    <col min="14594" max="14594" width="79.1640625" style="774" customWidth="1"/>
    <col min="14595" max="14595" width="25" style="774" customWidth="1"/>
    <col min="14596" max="14848" width="9.33203125" style="774"/>
    <col min="14849" max="14849" width="13.83203125" style="774" customWidth="1"/>
    <col min="14850" max="14850" width="79.1640625" style="774" customWidth="1"/>
    <col min="14851" max="14851" width="25" style="774" customWidth="1"/>
    <col min="14852" max="15104" width="9.33203125" style="774"/>
    <col min="15105" max="15105" width="13.83203125" style="774" customWidth="1"/>
    <col min="15106" max="15106" width="79.1640625" style="774" customWidth="1"/>
    <col min="15107" max="15107" width="25" style="774" customWidth="1"/>
    <col min="15108" max="15360" width="9.33203125" style="774"/>
    <col min="15361" max="15361" width="13.83203125" style="774" customWidth="1"/>
    <col min="15362" max="15362" width="79.1640625" style="774" customWidth="1"/>
    <col min="15363" max="15363" width="25" style="774" customWidth="1"/>
    <col min="15364" max="15616" width="9.33203125" style="774"/>
    <col min="15617" max="15617" width="13.83203125" style="774" customWidth="1"/>
    <col min="15618" max="15618" width="79.1640625" style="774" customWidth="1"/>
    <col min="15619" max="15619" width="25" style="774" customWidth="1"/>
    <col min="15620" max="15872" width="9.33203125" style="774"/>
    <col min="15873" max="15873" width="13.83203125" style="774" customWidth="1"/>
    <col min="15874" max="15874" width="79.1640625" style="774" customWidth="1"/>
    <col min="15875" max="15875" width="25" style="774" customWidth="1"/>
    <col min="15876" max="16128" width="9.33203125" style="774"/>
    <col min="16129" max="16129" width="13.83203125" style="774" customWidth="1"/>
    <col min="16130" max="16130" width="79.1640625" style="774" customWidth="1"/>
    <col min="16131" max="16131" width="25" style="774" customWidth="1"/>
    <col min="16132" max="16384" width="9.33203125" style="774"/>
  </cols>
  <sheetData>
    <row r="1" spans="1:6" x14ac:dyDescent="0.2">
      <c r="A1" s="1482" t="str">
        <f>CONCATENATE("12. melléklet"," ",ALAPADATOK!A7," ",ALAPADATOK!B7," ",ALAPADATOK!C7," ",ALAPADATOK!D7," ",ALAPADATOK!E7," ",ALAPADATOK!F7," ",ALAPADATOK!G7," ",ALAPADATOK!H7)</f>
        <v>12. melléklet a 19 / 2021. ( XI.29. ) önkormányzati rendelethez</v>
      </c>
      <c r="B1" s="1482"/>
      <c r="C1" s="1482"/>
    </row>
    <row r="2" spans="1:6" s="77" customFormat="1" ht="21" customHeight="1" x14ac:dyDescent="0.2">
      <c r="A2" s="76"/>
      <c r="B2" s="78"/>
      <c r="C2" s="326"/>
      <c r="E2" s="797"/>
      <c r="F2" s="797"/>
    </row>
    <row r="3" spans="1:6" s="217" customFormat="1" ht="33" customHeight="1" thickBot="1" x14ac:dyDescent="0.25">
      <c r="A3" s="1442" t="s">
        <v>1039</v>
      </c>
      <c r="B3" s="1442"/>
      <c r="C3" s="1442"/>
      <c r="E3" s="497"/>
      <c r="F3" s="497"/>
    </row>
    <row r="4" spans="1:6" ht="13.5" thickBot="1" x14ac:dyDescent="0.25">
      <c r="A4" s="175" t="s">
        <v>154</v>
      </c>
      <c r="B4" s="81" t="s">
        <v>50</v>
      </c>
      <c r="C4" s="330" t="s">
        <v>1033</v>
      </c>
    </row>
    <row r="5" spans="1:6" s="219" customFormat="1" ht="12.95" customHeight="1" thickBot="1" x14ac:dyDescent="0.25">
      <c r="A5" s="71" t="s">
        <v>391</v>
      </c>
      <c r="B5" s="72" t="s">
        <v>392</v>
      </c>
      <c r="C5" s="331" t="s">
        <v>393</v>
      </c>
      <c r="E5" s="498"/>
      <c r="F5" s="498"/>
    </row>
    <row r="6" spans="1:6" s="219" customFormat="1" ht="15.95" customHeight="1" thickBot="1" x14ac:dyDescent="0.25">
      <c r="A6" s="83"/>
      <c r="B6" s="84" t="s">
        <v>52</v>
      </c>
      <c r="C6" s="332"/>
      <c r="E6" s="498"/>
      <c r="F6" s="498"/>
    </row>
    <row r="7" spans="1:6" s="168" customFormat="1" ht="12" customHeight="1" thickBot="1" x14ac:dyDescent="0.25">
      <c r="A7" s="71" t="s">
        <v>16</v>
      </c>
      <c r="B7" s="86" t="s">
        <v>467</v>
      </c>
      <c r="C7" s="569">
        <f>SUM(C8:C18)</f>
        <v>8197206</v>
      </c>
      <c r="E7" s="499">
        <f>'9.3.1. sz. mell EOI'!C7+'9.3.2.sz.mell EOI'!C9</f>
        <v>8197206</v>
      </c>
      <c r="F7" s="499">
        <f>C7-E7</f>
        <v>0</v>
      </c>
    </row>
    <row r="8" spans="1:6" s="168" customFormat="1" ht="12" customHeight="1" x14ac:dyDescent="0.2">
      <c r="A8" s="211" t="s">
        <v>86</v>
      </c>
      <c r="B8" s="7" t="s">
        <v>209</v>
      </c>
      <c r="C8" s="570"/>
      <c r="E8" s="499">
        <f>'9.3.1. sz. mell EOI'!C8+'9.3.2.sz.mell EOI'!C10</f>
        <v>0</v>
      </c>
      <c r="F8" s="499">
        <f t="shared" ref="F8:F55" si="0">C8-E8</f>
        <v>0</v>
      </c>
    </row>
    <row r="9" spans="1:6" s="168" customFormat="1" ht="12" customHeight="1" x14ac:dyDescent="0.2">
      <c r="A9" s="212" t="s">
        <v>87</v>
      </c>
      <c r="B9" s="5" t="s">
        <v>210</v>
      </c>
      <c r="C9" s="571">
        <v>600000</v>
      </c>
      <c r="E9" s="499">
        <f>'9.3.1. sz. mell EOI'!C9+'9.3.2.sz.mell EOI'!C11</f>
        <v>600000</v>
      </c>
      <c r="F9" s="499">
        <f t="shared" si="0"/>
        <v>0</v>
      </c>
    </row>
    <row r="10" spans="1:6" s="168" customFormat="1" ht="12" customHeight="1" x14ac:dyDescent="0.2">
      <c r="A10" s="212" t="s">
        <v>88</v>
      </c>
      <c r="B10" s="5" t="s">
        <v>211</v>
      </c>
      <c r="C10" s="571">
        <v>4600000</v>
      </c>
      <c r="E10" s="499">
        <f>'9.3.1. sz. mell EOI'!C10+'9.3.2.sz.mell EOI'!C12</f>
        <v>4600000</v>
      </c>
      <c r="F10" s="499">
        <f t="shared" si="0"/>
        <v>0</v>
      </c>
    </row>
    <row r="11" spans="1:6" s="168" customFormat="1" ht="12" customHeight="1" x14ac:dyDescent="0.2">
      <c r="A11" s="212" t="s">
        <v>89</v>
      </c>
      <c r="B11" s="5" t="s">
        <v>212</v>
      </c>
      <c r="C11" s="571"/>
      <c r="E11" s="499">
        <f>'9.3.1. sz. mell EOI'!C11+'9.3.2.sz.mell EOI'!C13</f>
        <v>0</v>
      </c>
      <c r="F11" s="499">
        <f t="shared" si="0"/>
        <v>0</v>
      </c>
    </row>
    <row r="12" spans="1:6" s="168" customFormat="1" ht="12" customHeight="1" x14ac:dyDescent="0.2">
      <c r="A12" s="212" t="s">
        <v>112</v>
      </c>
      <c r="B12" s="5" t="s">
        <v>213</v>
      </c>
      <c r="C12" s="571">
        <v>1011380</v>
      </c>
      <c r="E12" s="499">
        <f>'9.3.1. sz. mell EOI'!C12+'9.3.2.sz.mell EOI'!C14</f>
        <v>1011380</v>
      </c>
      <c r="F12" s="499">
        <f t="shared" si="0"/>
        <v>0</v>
      </c>
    </row>
    <row r="13" spans="1:6" s="168" customFormat="1" ht="12" customHeight="1" x14ac:dyDescent="0.2">
      <c r="A13" s="212" t="s">
        <v>90</v>
      </c>
      <c r="B13" s="5" t="s">
        <v>333</v>
      </c>
      <c r="C13" s="571">
        <v>1677073</v>
      </c>
      <c r="E13" s="499">
        <f>'9.3.1. sz. mell EOI'!C13+'9.3.2.sz.mell EOI'!C15</f>
        <v>1677073</v>
      </c>
      <c r="F13" s="499">
        <f t="shared" si="0"/>
        <v>0</v>
      </c>
    </row>
    <row r="14" spans="1:6" s="168" customFormat="1" ht="12" customHeight="1" x14ac:dyDescent="0.2">
      <c r="A14" s="212" t="s">
        <v>91</v>
      </c>
      <c r="B14" s="4" t="s">
        <v>334</v>
      </c>
      <c r="C14" s="571">
        <v>305753</v>
      </c>
      <c r="E14" s="499">
        <f>'9.3.1. sz. mell EOI'!C14+'9.3.2.sz.mell EOI'!C16</f>
        <v>305753</v>
      </c>
      <c r="F14" s="499">
        <f t="shared" si="0"/>
        <v>0</v>
      </c>
    </row>
    <row r="15" spans="1:6" s="168" customFormat="1" ht="12" customHeight="1" x14ac:dyDescent="0.2">
      <c r="A15" s="212" t="s">
        <v>101</v>
      </c>
      <c r="B15" s="5" t="s">
        <v>216</v>
      </c>
      <c r="C15" s="572"/>
      <c r="E15" s="499">
        <f>'9.3.1. sz. mell EOI'!C15+'9.3.2.sz.mell EOI'!C17</f>
        <v>0</v>
      </c>
      <c r="F15" s="499">
        <f t="shared" si="0"/>
        <v>0</v>
      </c>
    </row>
    <row r="16" spans="1:6" s="220" customFormat="1" ht="12" customHeight="1" x14ac:dyDescent="0.2">
      <c r="A16" s="212" t="s">
        <v>102</v>
      </c>
      <c r="B16" s="5" t="s">
        <v>217</v>
      </c>
      <c r="C16" s="571"/>
      <c r="E16" s="499">
        <f>'9.3.1. sz. mell EOI'!C16+'9.3.2.sz.mell EOI'!C18</f>
        <v>0</v>
      </c>
      <c r="F16" s="499">
        <f t="shared" si="0"/>
        <v>0</v>
      </c>
    </row>
    <row r="17" spans="1:6" s="220" customFormat="1" ht="12" customHeight="1" x14ac:dyDescent="0.2">
      <c r="A17" s="212" t="s">
        <v>103</v>
      </c>
      <c r="B17" s="5" t="s">
        <v>397</v>
      </c>
      <c r="C17" s="573"/>
      <c r="E17" s="499">
        <f>'9.3.1. sz. mell EOI'!C17+'9.3.2.sz.mell EOI'!C19</f>
        <v>0</v>
      </c>
      <c r="F17" s="499">
        <f t="shared" si="0"/>
        <v>0</v>
      </c>
    </row>
    <row r="18" spans="1:6" s="220" customFormat="1" ht="12" customHeight="1" thickBot="1" x14ac:dyDescent="0.25">
      <c r="A18" s="212" t="s">
        <v>104</v>
      </c>
      <c r="B18" s="4" t="s">
        <v>218</v>
      </c>
      <c r="C18" s="573">
        <v>3000</v>
      </c>
      <c r="E18" s="499">
        <f>'9.3.1. sz. mell EOI'!C18+'9.3.2.sz.mell EOI'!C20</f>
        <v>3000</v>
      </c>
      <c r="F18" s="499">
        <f t="shared" si="0"/>
        <v>0</v>
      </c>
    </row>
    <row r="19" spans="1:6" s="168" customFormat="1" ht="12" customHeight="1" thickBot="1" x14ac:dyDescent="0.25">
      <c r="A19" s="71" t="s">
        <v>17</v>
      </c>
      <c r="B19" s="86" t="s">
        <v>335</v>
      </c>
      <c r="C19" s="569">
        <f>SUM(C20:C22)</f>
        <v>0</v>
      </c>
      <c r="E19" s="499">
        <f>'9.3.1. sz. mell EOI'!C19+'9.3.2.sz.mell EOI'!C21</f>
        <v>0</v>
      </c>
      <c r="F19" s="499">
        <f t="shared" si="0"/>
        <v>0</v>
      </c>
    </row>
    <row r="20" spans="1:6" s="220" customFormat="1" ht="12" customHeight="1" x14ac:dyDescent="0.2">
      <c r="A20" s="212" t="s">
        <v>92</v>
      </c>
      <c r="B20" s="6" t="s">
        <v>187</v>
      </c>
      <c r="C20" s="574"/>
      <c r="E20" s="499">
        <f>'9.3.1. sz. mell EOI'!C20+'9.3.2.sz.mell EOI'!C22</f>
        <v>0</v>
      </c>
      <c r="F20" s="499">
        <f t="shared" si="0"/>
        <v>0</v>
      </c>
    </row>
    <row r="21" spans="1:6" s="220" customFormat="1" ht="12" customHeight="1" x14ac:dyDescent="0.2">
      <c r="A21" s="212" t="s">
        <v>93</v>
      </c>
      <c r="B21" s="5" t="s">
        <v>336</v>
      </c>
      <c r="C21" s="571"/>
      <c r="E21" s="499">
        <f>'9.3.1. sz. mell EOI'!C21+'9.3.2.sz.mell EOI'!C23</f>
        <v>0</v>
      </c>
      <c r="F21" s="499">
        <f t="shared" si="0"/>
        <v>0</v>
      </c>
    </row>
    <row r="22" spans="1:6" s="220" customFormat="1" ht="12" customHeight="1" x14ac:dyDescent="0.2">
      <c r="A22" s="212" t="s">
        <v>94</v>
      </c>
      <c r="B22" s="5" t="s">
        <v>337</v>
      </c>
      <c r="C22" s="575"/>
      <c r="E22" s="499">
        <f>'9.3.1. sz. mell EOI'!C22+'9.3.2.sz.mell EOI'!C24</f>
        <v>0</v>
      </c>
      <c r="F22" s="499">
        <f t="shared" si="0"/>
        <v>0</v>
      </c>
    </row>
    <row r="23" spans="1:6" s="220" customFormat="1" ht="12" customHeight="1" thickBot="1" x14ac:dyDescent="0.25">
      <c r="A23" s="212" t="s">
        <v>95</v>
      </c>
      <c r="B23" s="5" t="s">
        <v>468</v>
      </c>
      <c r="C23" s="571"/>
      <c r="E23" s="499">
        <f>'9.3.1. sz. mell EOI'!C23+'9.3.2.sz.mell EOI'!C25</f>
        <v>0</v>
      </c>
      <c r="F23" s="499">
        <f t="shared" si="0"/>
        <v>0</v>
      </c>
    </row>
    <row r="24" spans="1:6" s="220" customFormat="1" ht="12" customHeight="1" thickBot="1" x14ac:dyDescent="0.25">
      <c r="A24" s="74" t="s">
        <v>18</v>
      </c>
      <c r="B24" s="54" t="s">
        <v>126</v>
      </c>
      <c r="C24" s="576"/>
      <c r="E24" s="499">
        <f>'9.3.1. sz. mell EOI'!C24+'9.3.2.sz.mell EOI'!C26</f>
        <v>0</v>
      </c>
      <c r="F24" s="499">
        <f t="shared" si="0"/>
        <v>0</v>
      </c>
    </row>
    <row r="25" spans="1:6" s="220" customFormat="1" ht="12" customHeight="1" thickBot="1" x14ac:dyDescent="0.25">
      <c r="A25" s="74" t="s">
        <v>19</v>
      </c>
      <c r="B25" s="54" t="s">
        <v>469</v>
      </c>
      <c r="C25" s="569">
        <f>+C26+C27</f>
        <v>0</v>
      </c>
      <c r="E25" s="499">
        <f>'9.3.1. sz. mell EOI'!C25+'9.3.2.sz.mell EOI'!C27</f>
        <v>0</v>
      </c>
      <c r="F25" s="499">
        <f t="shared" si="0"/>
        <v>0</v>
      </c>
    </row>
    <row r="26" spans="1:6" s="220" customFormat="1" ht="12" customHeight="1" x14ac:dyDescent="0.2">
      <c r="A26" s="213" t="s">
        <v>200</v>
      </c>
      <c r="B26" s="214" t="s">
        <v>336</v>
      </c>
      <c r="C26" s="574"/>
      <c r="E26" s="499">
        <f>'9.3.1. sz. mell EOI'!C27+'9.3.2.sz.mell EOI'!C29</f>
        <v>0</v>
      </c>
      <c r="F26" s="499">
        <f t="shared" si="0"/>
        <v>0</v>
      </c>
    </row>
    <row r="27" spans="1:6" s="220" customFormat="1" ht="12" customHeight="1" x14ac:dyDescent="0.2">
      <c r="A27" s="213" t="s">
        <v>201</v>
      </c>
      <c r="B27" s="215" t="s">
        <v>338</v>
      </c>
      <c r="C27" s="574"/>
      <c r="E27" s="499">
        <f>'9.3.1. sz. mell EOI'!C28+'9.3.2.sz.mell EOI'!C30</f>
        <v>0</v>
      </c>
      <c r="F27" s="499">
        <f t="shared" si="0"/>
        <v>0</v>
      </c>
    </row>
    <row r="28" spans="1:6" s="220" customFormat="1" ht="12" customHeight="1" thickBot="1" x14ac:dyDescent="0.25">
      <c r="A28" s="212" t="s">
        <v>202</v>
      </c>
      <c r="B28" s="57" t="s">
        <v>470</v>
      </c>
      <c r="C28" s="578"/>
      <c r="E28" s="499">
        <f>'9.3.1. sz. mell EOI'!C29+'9.3.2.sz.mell EOI'!C31</f>
        <v>0</v>
      </c>
      <c r="F28" s="499">
        <f t="shared" si="0"/>
        <v>0</v>
      </c>
    </row>
    <row r="29" spans="1:6" s="220" customFormat="1" ht="12" customHeight="1" thickBot="1" x14ac:dyDescent="0.25">
      <c r="A29" s="74" t="s">
        <v>20</v>
      </c>
      <c r="B29" s="54" t="s">
        <v>339</v>
      </c>
      <c r="C29" s="569">
        <f>+C30+C31+C32</f>
        <v>0</v>
      </c>
      <c r="E29" s="499">
        <f>'9.3.1. sz. mell EOI'!C30+'9.3.2.sz.mell EOI'!C32</f>
        <v>0</v>
      </c>
      <c r="F29" s="499">
        <f t="shared" si="0"/>
        <v>0</v>
      </c>
    </row>
    <row r="30" spans="1:6" s="220" customFormat="1" ht="12" customHeight="1" x14ac:dyDescent="0.2">
      <c r="A30" s="213" t="s">
        <v>79</v>
      </c>
      <c r="B30" s="214" t="s">
        <v>223</v>
      </c>
      <c r="C30" s="577"/>
      <c r="E30" s="499">
        <f>'9.3.1. sz. mell EOI'!C31+'9.3.2.sz.mell EOI'!C33</f>
        <v>0</v>
      </c>
      <c r="F30" s="499">
        <f t="shared" si="0"/>
        <v>0</v>
      </c>
    </row>
    <row r="31" spans="1:6" s="220" customFormat="1" ht="12" customHeight="1" x14ac:dyDescent="0.2">
      <c r="A31" s="213" t="s">
        <v>80</v>
      </c>
      <c r="B31" s="215" t="s">
        <v>224</v>
      </c>
      <c r="C31" s="572"/>
      <c r="E31" s="499">
        <f>'9.3.1. sz. mell EOI'!C32+'9.3.2.sz.mell EOI'!C34</f>
        <v>0</v>
      </c>
      <c r="F31" s="499">
        <f t="shared" si="0"/>
        <v>0</v>
      </c>
    </row>
    <row r="32" spans="1:6" s="168" customFormat="1" ht="12" customHeight="1" thickBot="1" x14ac:dyDescent="0.25">
      <c r="A32" s="212" t="s">
        <v>81</v>
      </c>
      <c r="B32" s="57" t="s">
        <v>225</v>
      </c>
      <c r="C32" s="578"/>
      <c r="E32" s="499">
        <f>'9.3.1. sz. mell EOI'!C33+'9.3.2.sz.mell EOI'!C35</f>
        <v>0</v>
      </c>
      <c r="F32" s="499">
        <f t="shared" si="0"/>
        <v>0</v>
      </c>
    </row>
    <row r="33" spans="1:6" s="168" customFormat="1" ht="12" customHeight="1" thickBot="1" x14ac:dyDescent="0.25">
      <c r="A33" s="74" t="s">
        <v>21</v>
      </c>
      <c r="B33" s="54" t="s">
        <v>311</v>
      </c>
      <c r="C33" s="144">
        <v>274000</v>
      </c>
      <c r="E33" s="499">
        <f>'9.3.1. sz. mell EOI'!C34+'9.3.2.sz.mell EOI'!C36</f>
        <v>274000</v>
      </c>
      <c r="F33" s="499">
        <f t="shared" si="0"/>
        <v>0</v>
      </c>
    </row>
    <row r="34" spans="1:6" s="168" customFormat="1" ht="12" customHeight="1" thickBot="1" x14ac:dyDescent="0.25">
      <c r="A34" s="74" t="s">
        <v>22</v>
      </c>
      <c r="B34" s="54" t="s">
        <v>340</v>
      </c>
      <c r="C34" s="579"/>
      <c r="E34" s="499">
        <f>'9.3.1. sz. mell EOI'!C35+'9.3.2.sz.mell EOI'!C37</f>
        <v>0</v>
      </c>
      <c r="F34" s="499">
        <f t="shared" si="0"/>
        <v>0</v>
      </c>
    </row>
    <row r="35" spans="1:6" s="168" customFormat="1" ht="12" customHeight="1" thickBot="1" x14ac:dyDescent="0.25">
      <c r="A35" s="71" t="s">
        <v>23</v>
      </c>
      <c r="B35" s="54" t="s">
        <v>341</v>
      </c>
      <c r="C35" s="580">
        <f>+C7+C19+C24+C25+C29+C33+C34</f>
        <v>8471206</v>
      </c>
      <c r="E35" s="499">
        <f>'9.3.1. sz. mell EOI'!C36+'9.3.2.sz.mell EOI'!C38</f>
        <v>8471206</v>
      </c>
      <c r="F35" s="499">
        <f t="shared" si="0"/>
        <v>0</v>
      </c>
    </row>
    <row r="36" spans="1:6" s="168" customFormat="1" ht="12" customHeight="1" thickBot="1" x14ac:dyDescent="0.25">
      <c r="A36" s="87" t="s">
        <v>24</v>
      </c>
      <c r="B36" s="54" t="s">
        <v>342</v>
      </c>
      <c r="C36" s="580">
        <f>+C37+C38+C39</f>
        <v>336795653</v>
      </c>
      <c r="E36" s="499">
        <f>'9.3.1. sz. mell EOI'!C37+'9.3.2.sz.mell EOI'!C39</f>
        <v>336795653</v>
      </c>
      <c r="F36" s="499">
        <f t="shared" si="0"/>
        <v>0</v>
      </c>
    </row>
    <row r="37" spans="1:6" s="168" customFormat="1" ht="12" customHeight="1" x14ac:dyDescent="0.2">
      <c r="A37" s="213" t="s">
        <v>343</v>
      </c>
      <c r="B37" s="214" t="s">
        <v>168</v>
      </c>
      <c r="C37" s="577">
        <v>1261346</v>
      </c>
      <c r="E37" s="499">
        <f>'9.3.1. sz. mell EOI'!C38+'9.3.2.sz.mell EOI'!C40</f>
        <v>1261346</v>
      </c>
      <c r="F37" s="499">
        <f t="shared" si="0"/>
        <v>0</v>
      </c>
    </row>
    <row r="38" spans="1:6" s="220" customFormat="1" ht="12" customHeight="1" x14ac:dyDescent="0.2">
      <c r="A38" s="213" t="s">
        <v>344</v>
      </c>
      <c r="B38" s="215" t="s">
        <v>6</v>
      </c>
      <c r="C38" s="572"/>
      <c r="E38" s="499">
        <f>'9.3.1. sz. mell EOI'!C39+'9.3.2.sz.mell EOI'!C41</f>
        <v>0</v>
      </c>
      <c r="F38" s="499">
        <f t="shared" si="0"/>
        <v>0</v>
      </c>
    </row>
    <row r="39" spans="1:6" s="220" customFormat="1" ht="15" customHeight="1" thickBot="1" x14ac:dyDescent="0.25">
      <c r="A39" s="212" t="s">
        <v>345</v>
      </c>
      <c r="B39" s="57" t="s">
        <v>346</v>
      </c>
      <c r="C39" s="1174">
        <f>335938966-2631637-1951101+2722139+1455940</f>
        <v>335534307</v>
      </c>
      <c r="E39" s="499">
        <f>'9.3.1. sz. mell EOI'!C40+'9.3.2.sz.mell EOI'!C42</f>
        <v>335534307</v>
      </c>
      <c r="F39" s="499">
        <f t="shared" si="0"/>
        <v>0</v>
      </c>
    </row>
    <row r="40" spans="1:6" s="220" customFormat="1" ht="15" customHeight="1" thickBot="1" x14ac:dyDescent="0.25">
      <c r="A40" s="87" t="s">
        <v>25</v>
      </c>
      <c r="B40" s="88" t="s">
        <v>347</v>
      </c>
      <c r="C40" s="581">
        <f>+C35+C36</f>
        <v>345266859</v>
      </c>
      <c r="E40" s="499">
        <f>'9.3.1. sz. mell EOI'!C41+'9.3.2.sz.mell EOI'!C43</f>
        <v>345266859</v>
      </c>
      <c r="F40" s="499">
        <f t="shared" si="0"/>
        <v>0</v>
      </c>
    </row>
    <row r="41" spans="1:6" s="221" customFormat="1" ht="12" customHeight="1" thickBot="1" x14ac:dyDescent="0.25">
      <c r="A41" s="93"/>
      <c r="B41" s="94" t="s">
        <v>53</v>
      </c>
      <c r="C41" s="581"/>
      <c r="E41" s="499">
        <f>'9.3.1. sz. mell EOI'!C42+'9.3.2.sz.mell EOI'!C46</f>
        <v>0</v>
      </c>
      <c r="F41" s="499">
        <f t="shared" si="0"/>
        <v>0</v>
      </c>
    </row>
    <row r="42" spans="1:6" ht="12" customHeight="1" thickBot="1" x14ac:dyDescent="0.25">
      <c r="A42" s="74" t="s">
        <v>16</v>
      </c>
      <c r="B42" s="54" t="s">
        <v>348</v>
      </c>
      <c r="C42" s="569">
        <f>SUM(C43:C47)</f>
        <v>344466859</v>
      </c>
      <c r="E42" s="499">
        <f>'9.3.1. sz. mell EOI'!C43+'9.3.2.sz.mell EOI'!C47</f>
        <v>344466859</v>
      </c>
      <c r="F42" s="499">
        <f t="shared" si="0"/>
        <v>0</v>
      </c>
    </row>
    <row r="43" spans="1:6" ht="12" customHeight="1" x14ac:dyDescent="0.2">
      <c r="A43" s="212" t="s">
        <v>86</v>
      </c>
      <c r="B43" s="6" t="s">
        <v>46</v>
      </c>
      <c r="C43" s="858">
        <f>218334179-1760664+18000+64010+2356830+263273+1260554</f>
        <v>220536182</v>
      </c>
      <c r="E43" s="499">
        <f>'9.3.1. sz. mell EOI'!C44+'9.3.2.sz.mell EOI'!C48</f>
        <v>220536182</v>
      </c>
      <c r="F43" s="499">
        <f t="shared" si="0"/>
        <v>0</v>
      </c>
    </row>
    <row r="44" spans="1:6" ht="12" customHeight="1" x14ac:dyDescent="0.2">
      <c r="A44" s="212" t="s">
        <v>87</v>
      </c>
      <c r="B44" s="5" t="s">
        <v>135</v>
      </c>
      <c r="C44" s="859">
        <f>38909967-272903+35990+365309+36727+195386</f>
        <v>39270476</v>
      </c>
      <c r="E44" s="499">
        <f>'9.3.1. sz. mell EOI'!C45+'9.3.2.sz.mell EOI'!C49</f>
        <v>39270476</v>
      </c>
      <c r="F44" s="499">
        <f t="shared" si="0"/>
        <v>0</v>
      </c>
    </row>
    <row r="45" spans="1:6" ht="12" customHeight="1" x14ac:dyDescent="0.2">
      <c r="A45" s="212" t="s">
        <v>88</v>
      </c>
      <c r="B45" s="5" t="s">
        <v>111</v>
      </c>
      <c r="C45" s="854">
        <f>87035872-280570+256000-1951101-100000-300000</f>
        <v>84660201</v>
      </c>
      <c r="E45" s="499">
        <f>'9.3.1. sz. mell EOI'!C46+'9.3.2.sz.mell EOI'!C50</f>
        <v>84660201</v>
      </c>
      <c r="F45" s="499">
        <f t="shared" si="0"/>
        <v>0</v>
      </c>
    </row>
    <row r="46" spans="1:6" ht="12" customHeight="1" x14ac:dyDescent="0.2">
      <c r="A46" s="212" t="s">
        <v>89</v>
      </c>
      <c r="B46" s="5" t="s">
        <v>136</v>
      </c>
      <c r="C46" s="571"/>
      <c r="E46" s="499">
        <f>'9.3.1. sz. mell EOI'!C47+'9.3.2.sz.mell EOI'!C51</f>
        <v>0</v>
      </c>
      <c r="F46" s="499">
        <f t="shared" si="0"/>
        <v>0</v>
      </c>
    </row>
    <row r="47" spans="1:6" ht="12" customHeight="1" thickBot="1" x14ac:dyDescent="0.25">
      <c r="A47" s="212" t="s">
        <v>112</v>
      </c>
      <c r="B47" s="5" t="s">
        <v>137</v>
      </c>
      <c r="C47" s="571"/>
      <c r="E47" s="499">
        <f>'9.3.1. sz. mell EOI'!C48+'9.3.2.sz.mell EOI'!C52</f>
        <v>0</v>
      </c>
      <c r="F47" s="499">
        <f t="shared" si="0"/>
        <v>0</v>
      </c>
    </row>
    <row r="48" spans="1:6" s="221" customFormat="1" ht="12" customHeight="1" thickBot="1" x14ac:dyDescent="0.25">
      <c r="A48" s="74" t="s">
        <v>17</v>
      </c>
      <c r="B48" s="54" t="s">
        <v>349</v>
      </c>
      <c r="C48" s="569">
        <f>SUM(C49:C51)</f>
        <v>800000</v>
      </c>
      <c r="E48" s="499">
        <f>'9.3.1. sz. mell EOI'!C49+'9.3.2.sz.mell EOI'!C53</f>
        <v>800000</v>
      </c>
      <c r="F48" s="499">
        <f t="shared" si="0"/>
        <v>0</v>
      </c>
    </row>
    <row r="49" spans="1:6" ht="12" customHeight="1" x14ac:dyDescent="0.2">
      <c r="A49" s="212" t="s">
        <v>92</v>
      </c>
      <c r="B49" s="6" t="s">
        <v>159</v>
      </c>
      <c r="C49" s="577">
        <v>800000</v>
      </c>
      <c r="E49" s="499">
        <f>'9.3.1. sz. mell EOI'!C50+'9.3.2.sz.mell EOI'!C54</f>
        <v>800000</v>
      </c>
      <c r="F49" s="499">
        <f t="shared" si="0"/>
        <v>0</v>
      </c>
    </row>
    <row r="50" spans="1:6" ht="12" customHeight="1" x14ac:dyDescent="0.2">
      <c r="A50" s="212" t="s">
        <v>93</v>
      </c>
      <c r="B50" s="5" t="s">
        <v>139</v>
      </c>
      <c r="C50" s="571">
        <f>317500-317500</f>
        <v>0</v>
      </c>
      <c r="E50" s="499">
        <f>'9.3.1. sz. mell EOI'!C51+'9.3.2.sz.mell EOI'!C55</f>
        <v>0</v>
      </c>
      <c r="F50" s="499">
        <f t="shared" si="0"/>
        <v>0</v>
      </c>
    </row>
    <row r="51" spans="1:6" ht="12" customHeight="1" x14ac:dyDescent="0.2">
      <c r="A51" s="212" t="s">
        <v>94</v>
      </c>
      <c r="B51" s="5" t="s">
        <v>54</v>
      </c>
      <c r="C51" s="571"/>
      <c r="E51" s="499">
        <f>'9.3.1. sz. mell EOI'!C52+'9.3.2.sz.mell EOI'!C56</f>
        <v>0</v>
      </c>
      <c r="F51" s="499">
        <f t="shared" si="0"/>
        <v>0</v>
      </c>
    </row>
    <row r="52" spans="1:6" ht="15" customHeight="1" thickBot="1" x14ac:dyDescent="0.25">
      <c r="A52" s="212" t="s">
        <v>95</v>
      </c>
      <c r="B52" s="5" t="s">
        <v>471</v>
      </c>
      <c r="C52" s="571"/>
      <c r="E52" s="499">
        <f>'9.3.1. sz. mell EOI'!C53+'9.3.2.sz.mell EOI'!C57</f>
        <v>0</v>
      </c>
      <c r="F52" s="499">
        <f t="shared" si="0"/>
        <v>0</v>
      </c>
    </row>
    <row r="53" spans="1:6" ht="13.5" thickBot="1" x14ac:dyDescent="0.25">
      <c r="A53" s="74" t="s">
        <v>18</v>
      </c>
      <c r="B53" s="54" t="s">
        <v>12</v>
      </c>
      <c r="C53" s="576"/>
      <c r="E53" s="499">
        <f>'9.3.1. sz. mell EOI'!C54+'9.3.2.sz.mell EOI'!C58</f>
        <v>0</v>
      </c>
      <c r="F53" s="499">
        <f t="shared" si="0"/>
        <v>0</v>
      </c>
    </row>
    <row r="54" spans="1:6" ht="15" customHeight="1" thickBot="1" x14ac:dyDescent="0.25">
      <c r="A54" s="74" t="s">
        <v>19</v>
      </c>
      <c r="B54" s="95" t="s">
        <v>472</v>
      </c>
      <c r="C54" s="584">
        <f>+C42+C48+C53</f>
        <v>345266859</v>
      </c>
      <c r="E54" s="499">
        <f>'9.3.1. sz. mell EOI'!C55+'9.3.2.sz.mell EOI'!C59</f>
        <v>345266859</v>
      </c>
      <c r="F54" s="499">
        <f t="shared" si="0"/>
        <v>0</v>
      </c>
    </row>
    <row r="55" spans="1:6" ht="13.5" thickBot="1" x14ac:dyDescent="0.25">
      <c r="A55" s="1477" t="s">
        <v>465</v>
      </c>
      <c r="B55" s="1478"/>
      <c r="C55" s="416">
        <f>54-0.67</f>
        <v>53.33</v>
      </c>
      <c r="E55" s="499">
        <f>'9.3.1. sz. mell EOI'!C56+'9.3.2.sz.mell EOI'!C61</f>
        <v>53.33</v>
      </c>
      <c r="F55" s="499">
        <f t="shared" si="0"/>
        <v>0</v>
      </c>
    </row>
  </sheetData>
  <sheetProtection formatCells="0"/>
  <mergeCells count="3">
    <mergeCell ref="A1:C1"/>
    <mergeCell ref="A55:B55"/>
    <mergeCell ref="A3:C3"/>
  </mergeCells>
  <printOptions horizontalCentered="1"/>
  <pageMargins left="0.7" right="0.7" top="0.75" bottom="0.75" header="0.3" footer="0.3"/>
  <pageSetup paperSize="9" scale="71" orientation="portrait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3"/>
  <dimension ref="A1:I165"/>
  <sheetViews>
    <sheetView zoomScale="115" zoomScaleNormal="115" zoomScaleSheetLayoutView="100" workbookViewId="0">
      <selection activeCell="D1" sqref="D1:F1048576"/>
    </sheetView>
  </sheetViews>
  <sheetFormatPr defaultRowHeight="15.75" x14ac:dyDescent="0.25"/>
  <cols>
    <col min="1" max="1" width="9.5" style="170" customWidth="1"/>
    <col min="2" max="2" width="91.6640625" style="170" customWidth="1"/>
    <col min="3" max="3" width="21.1640625" style="296" customWidth="1"/>
    <col min="4" max="4" width="19.33203125" style="181" hidden="1" customWidth="1"/>
    <col min="5" max="5" width="15.83203125" style="181" hidden="1" customWidth="1"/>
    <col min="6" max="6" width="21.83203125" style="181" hidden="1" customWidth="1"/>
    <col min="7" max="9" width="9.33203125" style="181" customWidth="1"/>
    <col min="10" max="16384" width="9.33203125" style="181"/>
  </cols>
  <sheetData>
    <row r="1" spans="1:6" s="671" customFormat="1" x14ac:dyDescent="0.25">
      <c r="A1" s="1433" t="str">
        <f>CONCATENATE("2. melléklet"," ",ALAPADATOK!A7," ",ALAPADATOK!B7," ",ALAPADATOK!C7," ",ALAPADATOK!D7," ",ALAPADATOK!E7," ",ALAPADATOK!F7," ",ALAPADATOK!G7," ",ALAPADATOK!H7)</f>
        <v>2. melléklet a 19 / 2021. ( XI.29. ) önkormányzati rendelethez</v>
      </c>
      <c r="B1" s="1433"/>
      <c r="C1" s="1433"/>
    </row>
    <row r="2" spans="1:6" s="815" customFormat="1" x14ac:dyDescent="0.25">
      <c r="A2" s="692"/>
      <c r="B2" s="692"/>
      <c r="C2" s="692"/>
    </row>
    <row r="3" spans="1:6" s="671" customFormat="1" x14ac:dyDescent="0.25">
      <c r="A3" s="1432" t="str">
        <f>CONCATENATE(ALAPADATOK!A3)</f>
        <v>Tiszavasvári Város Önkormányzat</v>
      </c>
      <c r="B3" s="1432"/>
      <c r="C3" s="1432"/>
    </row>
    <row r="4" spans="1:6" s="671" customFormat="1" x14ac:dyDescent="0.25">
      <c r="A4" s="1431" t="str">
        <f>CONCATENATE(ALAPADATOK!D7," ÉVI KÖLTSÉGVETÉS")</f>
        <v>2021. ÉVI KÖLTSÉGVETÉS</v>
      </c>
      <c r="B4" s="1431"/>
      <c r="C4" s="1431"/>
    </row>
    <row r="5" spans="1:6" s="671" customFormat="1" x14ac:dyDescent="0.25">
      <c r="A5" s="1431" t="s">
        <v>715</v>
      </c>
      <c r="B5" s="1431"/>
      <c r="C5" s="1431"/>
    </row>
    <row r="6" spans="1:6" s="671" customFormat="1" x14ac:dyDescent="0.25">
      <c r="A6" s="670"/>
      <c r="B6" s="670"/>
      <c r="C6" s="296"/>
    </row>
    <row r="7" spans="1:6" ht="15.95" customHeight="1" x14ac:dyDescent="0.25">
      <c r="A7" s="1435" t="s">
        <v>13</v>
      </c>
      <c r="B7" s="1435"/>
      <c r="C7" s="1435"/>
      <c r="D7" s="813"/>
      <c r="E7" s="813"/>
      <c r="F7" s="813"/>
    </row>
    <row r="8" spans="1:6" ht="15.95" customHeight="1" thickBot="1" x14ac:dyDescent="0.3">
      <c r="A8" s="1434" t="s">
        <v>115</v>
      </c>
      <c r="B8" s="1434"/>
      <c r="C8" s="121" t="s">
        <v>494</v>
      </c>
      <c r="D8" s="813"/>
      <c r="E8" s="813"/>
      <c r="F8" s="813"/>
    </row>
    <row r="9" spans="1:6" ht="38.1" customHeight="1" thickBot="1" x14ac:dyDescent="0.3">
      <c r="A9" s="20" t="s">
        <v>64</v>
      </c>
      <c r="B9" s="21" t="s">
        <v>15</v>
      </c>
      <c r="C9" s="29" t="s">
        <v>796</v>
      </c>
      <c r="D9" s="813" t="s">
        <v>499</v>
      </c>
      <c r="E9" s="813" t="s">
        <v>500</v>
      </c>
      <c r="F9" s="813" t="s">
        <v>501</v>
      </c>
    </row>
    <row r="10" spans="1:6" s="182" customFormat="1" ht="12" customHeight="1" thickBot="1" x14ac:dyDescent="0.25">
      <c r="A10" s="176" t="s">
        <v>391</v>
      </c>
      <c r="B10" s="177" t="s">
        <v>392</v>
      </c>
      <c r="C10" s="178" t="s">
        <v>393</v>
      </c>
    </row>
    <row r="11" spans="1:6" s="183" customFormat="1" ht="12" customHeight="1" thickBot="1" x14ac:dyDescent="0.25">
      <c r="A11" s="17" t="s">
        <v>16</v>
      </c>
      <c r="B11" s="18" t="s">
        <v>181</v>
      </c>
      <c r="C11" s="112">
        <f t="shared" ref="C11:C75" si="0">SUM(D11:F11)</f>
        <v>1344268417</v>
      </c>
      <c r="D11" s="267">
        <f>+D12+D13+D14+D17+D18+D19</f>
        <v>1344268417</v>
      </c>
      <c r="E11" s="112">
        <f>+E12+E13+E14+E17+E18+E19</f>
        <v>0</v>
      </c>
      <c r="F11" s="112">
        <f>+F12+F13+F14+F17+F18+F19</f>
        <v>0</v>
      </c>
    </row>
    <row r="12" spans="1:6" s="183" customFormat="1" ht="12" customHeight="1" x14ac:dyDescent="0.2">
      <c r="A12" s="12" t="s">
        <v>86</v>
      </c>
      <c r="B12" s="184" t="s">
        <v>182</v>
      </c>
      <c r="C12" s="289">
        <f t="shared" si="0"/>
        <v>296878177</v>
      </c>
      <c r="D12" s="866">
        <f>295696597+1181580</f>
        <v>296878177</v>
      </c>
      <c r="E12" s="222"/>
      <c r="F12" s="222"/>
    </row>
    <row r="13" spans="1:6" s="183" customFormat="1" ht="12" customHeight="1" x14ac:dyDescent="0.2">
      <c r="A13" s="11" t="s">
        <v>87</v>
      </c>
      <c r="B13" s="185" t="s">
        <v>183</v>
      </c>
      <c r="C13" s="290">
        <f t="shared" si="0"/>
        <v>263054630</v>
      </c>
      <c r="D13" s="864">
        <f>254023920+8379000+651710</f>
        <v>263054630</v>
      </c>
      <c r="E13" s="863"/>
      <c r="F13" s="863"/>
    </row>
    <row r="14" spans="1:6" s="183" customFormat="1" ht="12" customHeight="1" x14ac:dyDescent="0.2">
      <c r="A14" s="11" t="s">
        <v>88</v>
      </c>
      <c r="B14" s="185" t="s">
        <v>766</v>
      </c>
      <c r="C14" s="290">
        <f t="shared" si="0"/>
        <v>537975110</v>
      </c>
      <c r="D14" s="864">
        <f>SUM(D15:D16)</f>
        <v>537975110</v>
      </c>
      <c r="E14" s="863"/>
      <c r="F14" s="863"/>
    </row>
    <row r="15" spans="1:6" s="183" customFormat="1" ht="12" customHeight="1" x14ac:dyDescent="0.2">
      <c r="A15" s="11" t="s">
        <v>764</v>
      </c>
      <c r="B15" s="185" t="s">
        <v>767</v>
      </c>
      <c r="C15" s="290">
        <f t="shared" si="0"/>
        <v>334577435</v>
      </c>
      <c r="D15" s="864">
        <f>323323762+10429183+824490</f>
        <v>334577435</v>
      </c>
      <c r="E15" s="863"/>
      <c r="F15" s="863"/>
    </row>
    <row r="16" spans="1:6" s="183" customFormat="1" ht="12" customHeight="1" x14ac:dyDescent="0.2">
      <c r="A16" s="11" t="s">
        <v>765</v>
      </c>
      <c r="B16" s="185" t="s">
        <v>768</v>
      </c>
      <c r="C16" s="290">
        <f t="shared" si="0"/>
        <v>203397675</v>
      </c>
      <c r="D16" s="863">
        <f>126258794+1334340+75804541</f>
        <v>203397675</v>
      </c>
      <c r="E16" s="863"/>
      <c r="F16" s="863"/>
    </row>
    <row r="17" spans="1:8" s="183" customFormat="1" ht="12" customHeight="1" x14ac:dyDescent="0.2">
      <c r="A17" s="11" t="s">
        <v>89</v>
      </c>
      <c r="B17" s="185" t="s">
        <v>185</v>
      </c>
      <c r="C17" s="290">
        <f t="shared" si="0"/>
        <v>42308416</v>
      </c>
      <c r="D17" s="864">
        <f>40888120+1420296</f>
        <v>42308416</v>
      </c>
      <c r="E17" s="863"/>
      <c r="F17" s="863"/>
    </row>
    <row r="18" spans="1:8" s="183" customFormat="1" ht="12" customHeight="1" x14ac:dyDescent="0.2">
      <c r="A18" s="11" t="s">
        <v>112</v>
      </c>
      <c r="B18" s="108" t="s">
        <v>394</v>
      </c>
      <c r="C18" s="290">
        <f t="shared" si="0"/>
        <v>202586020</v>
      </c>
      <c r="D18" s="864">
        <f>234271694+107725-21793399-60000000+50000000</f>
        <v>202586020</v>
      </c>
      <c r="E18" s="863"/>
      <c r="F18" s="863"/>
    </row>
    <row r="19" spans="1:8" s="183" customFormat="1" ht="12" customHeight="1" thickBot="1" x14ac:dyDescent="0.25">
      <c r="A19" s="13" t="s">
        <v>90</v>
      </c>
      <c r="B19" s="109" t="s">
        <v>395</v>
      </c>
      <c r="C19" s="849">
        <f t="shared" si="0"/>
        <v>1466064</v>
      </c>
      <c r="D19" s="101">
        <v>1466064</v>
      </c>
      <c r="E19" s="113"/>
      <c r="F19" s="113"/>
    </row>
    <row r="20" spans="1:8" s="183" customFormat="1" ht="12" customHeight="1" thickBot="1" x14ac:dyDescent="0.25">
      <c r="A20" s="17" t="s">
        <v>17</v>
      </c>
      <c r="B20" s="107" t="s">
        <v>186</v>
      </c>
      <c r="C20" s="112">
        <f t="shared" si="0"/>
        <v>90208366</v>
      </c>
      <c r="D20" s="267">
        <f>+D21+D22+D23+D24+D25</f>
        <v>90208366</v>
      </c>
      <c r="E20" s="112">
        <f>+E21+E22+E23+E24+E25</f>
        <v>0</v>
      </c>
      <c r="F20" s="112">
        <f>+F21+F22+F23+F24+F25</f>
        <v>0</v>
      </c>
    </row>
    <row r="21" spans="1:8" s="183" customFormat="1" ht="12" customHeight="1" x14ac:dyDescent="0.2">
      <c r="A21" s="12" t="s">
        <v>92</v>
      </c>
      <c r="B21" s="184" t="s">
        <v>187</v>
      </c>
      <c r="C21" s="179">
        <f t="shared" si="0"/>
        <v>0</v>
      </c>
      <c r="D21" s="269"/>
      <c r="E21" s="114"/>
      <c r="F21" s="114"/>
    </row>
    <row r="22" spans="1:8" s="183" customFormat="1" ht="12" customHeight="1" x14ac:dyDescent="0.2">
      <c r="A22" s="11" t="s">
        <v>93</v>
      </c>
      <c r="B22" s="185" t="s">
        <v>188</v>
      </c>
      <c r="C22" s="293">
        <f t="shared" si="0"/>
        <v>0</v>
      </c>
      <c r="D22" s="101"/>
      <c r="E22" s="113"/>
      <c r="F22" s="113"/>
    </row>
    <row r="23" spans="1:8" s="183" customFormat="1" ht="12" customHeight="1" x14ac:dyDescent="0.2">
      <c r="A23" s="11" t="s">
        <v>94</v>
      </c>
      <c r="B23" s="185" t="s">
        <v>354</v>
      </c>
      <c r="C23" s="293">
        <f t="shared" si="0"/>
        <v>0</v>
      </c>
      <c r="D23" s="101"/>
      <c r="E23" s="113"/>
      <c r="F23" s="113"/>
    </row>
    <row r="24" spans="1:8" s="183" customFormat="1" ht="12" customHeight="1" x14ac:dyDescent="0.2">
      <c r="A24" s="11" t="s">
        <v>95</v>
      </c>
      <c r="B24" s="185" t="s">
        <v>355</v>
      </c>
      <c r="C24" s="293">
        <f t="shared" si="0"/>
        <v>0</v>
      </c>
      <c r="D24" s="101"/>
      <c r="E24" s="113"/>
      <c r="F24" s="113"/>
    </row>
    <row r="25" spans="1:8" s="183" customFormat="1" ht="12" customHeight="1" x14ac:dyDescent="0.2">
      <c r="A25" s="11" t="s">
        <v>96</v>
      </c>
      <c r="B25" s="185" t="s">
        <v>189</v>
      </c>
      <c r="C25" s="290">
        <f t="shared" si="0"/>
        <v>90208366</v>
      </c>
      <c r="D25" s="864">
        <f>124208366+16000000-50000000</f>
        <v>90208366</v>
      </c>
      <c r="E25" s="863"/>
      <c r="F25" s="863"/>
    </row>
    <row r="26" spans="1:8" s="183" customFormat="1" ht="12" customHeight="1" thickBot="1" x14ac:dyDescent="0.25">
      <c r="A26" s="13" t="s">
        <v>105</v>
      </c>
      <c r="B26" s="109" t="s">
        <v>190</v>
      </c>
      <c r="C26" s="849">
        <f t="shared" si="0"/>
        <v>48288366</v>
      </c>
      <c r="D26" s="102">
        <f>17520150+30768216</f>
        <v>48288366</v>
      </c>
      <c r="E26" s="173"/>
      <c r="F26" s="173"/>
    </row>
    <row r="27" spans="1:8" s="183" customFormat="1" ht="12" customHeight="1" thickBot="1" x14ac:dyDescent="0.25">
      <c r="A27" s="17" t="s">
        <v>18</v>
      </c>
      <c r="B27" s="18" t="s">
        <v>191</v>
      </c>
      <c r="C27" s="112">
        <f t="shared" si="0"/>
        <v>1799991511</v>
      </c>
      <c r="D27" s="267">
        <f>+D28+D29+D30+D31+D32</f>
        <v>1799991511</v>
      </c>
      <c r="E27" s="112">
        <f>+E28+E29+E30+E31+E32</f>
        <v>0</v>
      </c>
      <c r="F27" s="112">
        <f>+F28+F29+F30+F31+F32</f>
        <v>0</v>
      </c>
    </row>
    <row r="28" spans="1:8" s="183" customFormat="1" ht="12" customHeight="1" x14ac:dyDescent="0.2">
      <c r="A28" s="12" t="s">
        <v>75</v>
      </c>
      <c r="B28" s="184" t="s">
        <v>192</v>
      </c>
      <c r="C28" s="1176">
        <f t="shared" si="0"/>
        <v>1772500100</v>
      </c>
      <c r="D28" s="866">
        <f>1205000000+13500100+554000000</f>
        <v>1772500100</v>
      </c>
      <c r="E28" s="507"/>
      <c r="F28" s="507"/>
    </row>
    <row r="29" spans="1:8" s="183" customFormat="1" ht="12" customHeight="1" x14ac:dyDescent="0.2">
      <c r="A29" s="11" t="s">
        <v>76</v>
      </c>
      <c r="B29" s="185" t="s">
        <v>193</v>
      </c>
      <c r="C29" s="290">
        <f t="shared" si="0"/>
        <v>0</v>
      </c>
      <c r="D29" s="864"/>
      <c r="E29" s="863"/>
      <c r="F29" s="863"/>
    </row>
    <row r="30" spans="1:8" s="183" customFormat="1" ht="12" customHeight="1" x14ac:dyDescent="0.2">
      <c r="A30" s="11" t="s">
        <v>77</v>
      </c>
      <c r="B30" s="185" t="s">
        <v>356</v>
      </c>
      <c r="C30" s="290">
        <f t="shared" si="0"/>
        <v>0</v>
      </c>
      <c r="D30" s="864"/>
      <c r="E30" s="863"/>
      <c r="F30" s="863"/>
      <c r="H30" s="945"/>
    </row>
    <row r="31" spans="1:8" s="183" customFormat="1" ht="12" customHeight="1" x14ac:dyDescent="0.2">
      <c r="A31" s="11" t="s">
        <v>78</v>
      </c>
      <c r="B31" s="185" t="s">
        <v>357</v>
      </c>
      <c r="C31" s="290">
        <f t="shared" si="0"/>
        <v>0</v>
      </c>
      <c r="D31" s="864"/>
      <c r="E31" s="863"/>
      <c r="F31" s="863"/>
    </row>
    <row r="32" spans="1:8" s="183" customFormat="1" ht="12" customHeight="1" x14ac:dyDescent="0.2">
      <c r="A32" s="11" t="s">
        <v>123</v>
      </c>
      <c r="B32" s="185" t="s">
        <v>194</v>
      </c>
      <c r="C32" s="290">
        <f t="shared" si="0"/>
        <v>27491411</v>
      </c>
      <c r="D32" s="864">
        <f>27379073+112338</f>
        <v>27491411</v>
      </c>
      <c r="E32" s="863"/>
      <c r="F32" s="863"/>
    </row>
    <row r="33" spans="1:6" s="183" customFormat="1" ht="12" customHeight="1" thickBot="1" x14ac:dyDescent="0.25">
      <c r="A33" s="13" t="s">
        <v>124</v>
      </c>
      <c r="B33" s="186" t="s">
        <v>195</v>
      </c>
      <c r="C33" s="849">
        <f t="shared" si="0"/>
        <v>27379073</v>
      </c>
      <c r="D33" s="865">
        <f>21590900+1499571+3482179+806423</f>
        <v>27379073</v>
      </c>
      <c r="E33" s="173"/>
      <c r="F33" s="173"/>
    </row>
    <row r="34" spans="1:6" s="183" customFormat="1" ht="12" customHeight="1" thickBot="1" x14ac:dyDescent="0.25">
      <c r="A34" s="17" t="s">
        <v>125</v>
      </c>
      <c r="B34" s="18" t="s">
        <v>196</v>
      </c>
      <c r="C34" s="112">
        <f t="shared" si="0"/>
        <v>398600000</v>
      </c>
      <c r="D34" s="270">
        <f>+D35+D39+D40</f>
        <v>398600000</v>
      </c>
      <c r="E34" s="270">
        <f t="shared" ref="E34:F34" si="1">+E35+E39+E40</f>
        <v>0</v>
      </c>
      <c r="F34" s="270">
        <f t="shared" si="1"/>
        <v>0</v>
      </c>
    </row>
    <row r="35" spans="1:6" s="183" customFormat="1" ht="12" customHeight="1" x14ac:dyDescent="0.2">
      <c r="A35" s="12" t="s">
        <v>197</v>
      </c>
      <c r="B35" s="184" t="s">
        <v>579</v>
      </c>
      <c r="C35" s="179">
        <f t="shared" si="0"/>
        <v>385080000</v>
      </c>
      <c r="D35" s="284">
        <f>SUM(D36:D37)</f>
        <v>385080000</v>
      </c>
      <c r="E35" s="284">
        <f>SUM(E36:E37)</f>
        <v>0</v>
      </c>
      <c r="F35" s="284">
        <f>SUM(F36:F37)</f>
        <v>0</v>
      </c>
    </row>
    <row r="36" spans="1:6" s="183" customFormat="1" ht="12" customHeight="1" x14ac:dyDescent="0.2">
      <c r="A36" s="11" t="s">
        <v>198</v>
      </c>
      <c r="B36" s="185" t="s">
        <v>203</v>
      </c>
      <c r="C36" s="290">
        <f t="shared" si="0"/>
        <v>88280000</v>
      </c>
      <c r="D36" s="101">
        <f>82000000+6280000</f>
        <v>88280000</v>
      </c>
      <c r="E36" s="113"/>
      <c r="F36" s="113"/>
    </row>
    <row r="37" spans="1:6" s="183" customFormat="1" ht="12" customHeight="1" x14ac:dyDescent="0.2">
      <c r="A37" s="11" t="s">
        <v>199</v>
      </c>
      <c r="B37" s="242" t="s">
        <v>578</v>
      </c>
      <c r="C37" s="290">
        <f t="shared" si="0"/>
        <v>296800000</v>
      </c>
      <c r="D37" s="101">
        <f>296800000</f>
        <v>296800000</v>
      </c>
      <c r="E37" s="113"/>
      <c r="F37" s="113"/>
    </row>
    <row r="38" spans="1:6" s="183" customFormat="1" ht="12" customHeight="1" x14ac:dyDescent="0.2">
      <c r="A38" s="11" t="s">
        <v>200</v>
      </c>
      <c r="B38" s="185" t="s">
        <v>479</v>
      </c>
      <c r="C38" s="290">
        <f t="shared" si="0"/>
        <v>0</v>
      </c>
      <c r="D38" s="864"/>
      <c r="E38" s="863"/>
      <c r="F38" s="863"/>
    </row>
    <row r="39" spans="1:6" s="183" customFormat="1" ht="12" customHeight="1" x14ac:dyDescent="0.2">
      <c r="A39" s="11" t="s">
        <v>202</v>
      </c>
      <c r="B39" s="185" t="s">
        <v>205</v>
      </c>
      <c r="C39" s="290">
        <f t="shared" si="0"/>
        <v>0</v>
      </c>
      <c r="D39" s="101"/>
      <c r="E39" s="113"/>
      <c r="F39" s="113"/>
    </row>
    <row r="40" spans="1:6" s="183" customFormat="1" ht="12" customHeight="1" thickBot="1" x14ac:dyDescent="0.25">
      <c r="A40" s="13" t="s">
        <v>481</v>
      </c>
      <c r="B40" s="186" t="s">
        <v>206</v>
      </c>
      <c r="C40" s="294">
        <f t="shared" si="0"/>
        <v>13520000</v>
      </c>
      <c r="D40" s="865">
        <f>7000000+6520000</f>
        <v>13520000</v>
      </c>
      <c r="E40" s="173"/>
      <c r="F40" s="173"/>
    </row>
    <row r="41" spans="1:6" s="183" customFormat="1" ht="12" customHeight="1" thickBot="1" x14ac:dyDescent="0.25">
      <c r="A41" s="17" t="s">
        <v>20</v>
      </c>
      <c r="B41" s="18" t="s">
        <v>396</v>
      </c>
      <c r="C41" s="112">
        <f t="shared" si="0"/>
        <v>150679220</v>
      </c>
      <c r="D41" s="267">
        <f>SUM(D42:D52)</f>
        <v>40646096</v>
      </c>
      <c r="E41" s="112">
        <f>SUM(E42:E52)</f>
        <v>9988614</v>
      </c>
      <c r="F41" s="112">
        <f>SUM(F42:F52)</f>
        <v>100044510</v>
      </c>
    </row>
    <row r="42" spans="1:6" s="183" customFormat="1" ht="12" customHeight="1" x14ac:dyDescent="0.2">
      <c r="A42" s="12" t="s">
        <v>79</v>
      </c>
      <c r="B42" s="184" t="s">
        <v>209</v>
      </c>
      <c r="C42" s="179">
        <f t="shared" si="0"/>
        <v>0</v>
      </c>
      <c r="D42" s="866"/>
      <c r="E42" s="222"/>
      <c r="F42" s="222"/>
    </row>
    <row r="43" spans="1:6" s="183" customFormat="1" ht="12" customHeight="1" x14ac:dyDescent="0.2">
      <c r="A43" s="11" t="s">
        <v>80</v>
      </c>
      <c r="B43" s="185" t="s">
        <v>210</v>
      </c>
      <c r="C43" s="290">
        <f t="shared" si="0"/>
        <v>63694880</v>
      </c>
      <c r="D43" s="864">
        <f>15786984-3004139</f>
        <v>12782845</v>
      </c>
      <c r="E43" s="863">
        <v>5076402</v>
      </c>
      <c r="F43" s="222">
        <f>25515233+10387400+600000+9333000</f>
        <v>45835633</v>
      </c>
    </row>
    <row r="44" spans="1:6" s="183" customFormat="1" ht="12" customHeight="1" x14ac:dyDescent="0.2">
      <c r="A44" s="11" t="s">
        <v>81</v>
      </c>
      <c r="B44" s="185" t="s">
        <v>211</v>
      </c>
      <c r="C44" s="290">
        <f t="shared" si="0"/>
        <v>18833899</v>
      </c>
      <c r="D44" s="864">
        <f>9686744+10000+383507</f>
        <v>10080251</v>
      </c>
      <c r="E44" s="863">
        <v>2788648</v>
      </c>
      <c r="F44" s="222">
        <f>1270000+5000+4600000+90000</f>
        <v>5965000</v>
      </c>
    </row>
    <row r="45" spans="1:6" s="183" customFormat="1" ht="12" customHeight="1" x14ac:dyDescent="0.2">
      <c r="A45" s="11" t="s">
        <v>127</v>
      </c>
      <c r="B45" s="185" t="s">
        <v>212</v>
      </c>
      <c r="C45" s="290">
        <f t="shared" si="0"/>
        <v>6822173</v>
      </c>
      <c r="D45" s="864">
        <f>3743473+3078700</f>
        <v>6822173</v>
      </c>
      <c r="E45" s="863"/>
      <c r="F45" s="222"/>
    </row>
    <row r="46" spans="1:6" s="183" customFormat="1" ht="12" customHeight="1" x14ac:dyDescent="0.2">
      <c r="A46" s="11" t="s">
        <v>128</v>
      </c>
      <c r="B46" s="185" t="s">
        <v>213</v>
      </c>
      <c r="C46" s="290">
        <f t="shared" si="0"/>
        <v>25869784</v>
      </c>
      <c r="D46" s="864"/>
      <c r="E46" s="863"/>
      <c r="F46" s="222">
        <f>1175672+23682732+1011380</f>
        <v>25869784</v>
      </c>
    </row>
    <row r="47" spans="1:6" s="183" customFormat="1" ht="12" customHeight="1" x14ac:dyDescent="0.2">
      <c r="A47" s="11" t="s">
        <v>129</v>
      </c>
      <c r="B47" s="185" t="s">
        <v>214</v>
      </c>
      <c r="C47" s="290">
        <f t="shared" si="0"/>
        <v>22540862</v>
      </c>
      <c r="D47" s="864">
        <f>8159787+322263</f>
        <v>8482050</v>
      </c>
      <c r="E47" s="863">
        <v>2123564</v>
      </c>
      <c r="F47" s="222">
        <f>6457815+1280450+1677073+2519910</f>
        <v>11935248</v>
      </c>
    </row>
    <row r="48" spans="1:6" s="183" customFormat="1" ht="12" customHeight="1" x14ac:dyDescent="0.2">
      <c r="A48" s="11" t="s">
        <v>130</v>
      </c>
      <c r="B48" s="185" t="s">
        <v>215</v>
      </c>
      <c r="C48" s="293">
        <f t="shared" si="0"/>
        <v>10435845</v>
      </c>
      <c r="D48" s="864"/>
      <c r="E48" s="863"/>
      <c r="F48" s="222">
        <f>9450092+680000+305753</f>
        <v>10435845</v>
      </c>
    </row>
    <row r="49" spans="1:6" s="183" customFormat="1" ht="12" customHeight="1" x14ac:dyDescent="0.2">
      <c r="A49" s="11" t="s">
        <v>131</v>
      </c>
      <c r="B49" s="185" t="s">
        <v>485</v>
      </c>
      <c r="C49" s="293">
        <f t="shared" si="0"/>
        <v>0</v>
      </c>
      <c r="D49" s="864"/>
      <c r="E49" s="863"/>
      <c r="F49" s="222"/>
    </row>
    <row r="50" spans="1:6" s="183" customFormat="1" ht="12" customHeight="1" x14ac:dyDescent="0.2">
      <c r="A50" s="11" t="s">
        <v>207</v>
      </c>
      <c r="B50" s="185" t="s">
        <v>217</v>
      </c>
      <c r="C50" s="293">
        <f t="shared" si="0"/>
        <v>0</v>
      </c>
      <c r="D50" s="864"/>
      <c r="E50" s="863"/>
      <c r="F50" s="222"/>
    </row>
    <row r="51" spans="1:6" s="183" customFormat="1" ht="12" customHeight="1" x14ac:dyDescent="0.2">
      <c r="A51" s="13" t="s">
        <v>208</v>
      </c>
      <c r="B51" s="186" t="s">
        <v>397</v>
      </c>
      <c r="C51" s="293">
        <f t="shared" si="0"/>
        <v>1000000</v>
      </c>
      <c r="D51" s="865">
        <v>1000000</v>
      </c>
      <c r="E51" s="173"/>
      <c r="F51" s="222"/>
    </row>
    <row r="52" spans="1:6" s="183" customFormat="1" ht="12" customHeight="1" thickBot="1" x14ac:dyDescent="0.25">
      <c r="A52" s="13" t="s">
        <v>398</v>
      </c>
      <c r="B52" s="109" t="s">
        <v>218</v>
      </c>
      <c r="C52" s="849">
        <f t="shared" si="0"/>
        <v>1481777</v>
      </c>
      <c r="D52" s="865">
        <f>1414062+4715+60000</f>
        <v>1478777</v>
      </c>
      <c r="E52" s="173"/>
      <c r="F52" s="222">
        <v>3000</v>
      </c>
    </row>
    <row r="53" spans="1:6" s="183" customFormat="1" ht="12" customHeight="1" thickBot="1" x14ac:dyDescent="0.25">
      <c r="A53" s="17" t="s">
        <v>21</v>
      </c>
      <c r="B53" s="18" t="s">
        <v>219</v>
      </c>
      <c r="C53" s="112">
        <f t="shared" si="0"/>
        <v>63000000</v>
      </c>
      <c r="D53" s="267">
        <f>SUM(D54:D58)</f>
        <v>63000000</v>
      </c>
      <c r="E53" s="112">
        <f>SUM(E54:E58)</f>
        <v>0</v>
      </c>
      <c r="F53" s="112">
        <f>SUM(F54:F58)</f>
        <v>0</v>
      </c>
    </row>
    <row r="54" spans="1:6" s="183" customFormat="1" ht="12" customHeight="1" x14ac:dyDescent="0.2">
      <c r="A54" s="12" t="s">
        <v>82</v>
      </c>
      <c r="B54" s="184" t="s">
        <v>223</v>
      </c>
      <c r="C54" s="179">
        <f t="shared" si="0"/>
        <v>0</v>
      </c>
      <c r="D54" s="866"/>
      <c r="E54" s="222"/>
      <c r="F54" s="222"/>
    </row>
    <row r="55" spans="1:6" s="183" customFormat="1" ht="12" customHeight="1" x14ac:dyDescent="0.2">
      <c r="A55" s="11" t="s">
        <v>83</v>
      </c>
      <c r="B55" s="185" t="s">
        <v>224</v>
      </c>
      <c r="C55" s="293">
        <f>SUM(D55:F55)</f>
        <v>63000000</v>
      </c>
      <c r="D55" s="864">
        <v>63000000</v>
      </c>
      <c r="E55" s="863"/>
      <c r="F55" s="863"/>
    </row>
    <row r="56" spans="1:6" s="183" customFormat="1" ht="12" customHeight="1" x14ac:dyDescent="0.2">
      <c r="A56" s="11" t="s">
        <v>220</v>
      </c>
      <c r="B56" s="185" t="s">
        <v>225</v>
      </c>
      <c r="C56" s="293">
        <f t="shared" si="0"/>
        <v>0</v>
      </c>
      <c r="D56" s="864"/>
      <c r="E56" s="863"/>
      <c r="F56" s="863"/>
    </row>
    <row r="57" spans="1:6" s="183" customFormat="1" ht="12" customHeight="1" x14ac:dyDescent="0.2">
      <c r="A57" s="11" t="s">
        <v>221</v>
      </c>
      <c r="B57" s="185" t="s">
        <v>226</v>
      </c>
      <c r="C57" s="293">
        <f t="shared" si="0"/>
        <v>0</v>
      </c>
      <c r="D57" s="864"/>
      <c r="E57" s="863"/>
      <c r="F57" s="863"/>
    </row>
    <row r="58" spans="1:6" s="183" customFormat="1" ht="12" customHeight="1" thickBot="1" x14ac:dyDescent="0.25">
      <c r="A58" s="13" t="s">
        <v>222</v>
      </c>
      <c r="B58" s="109" t="s">
        <v>227</v>
      </c>
      <c r="C58" s="294">
        <f t="shared" si="0"/>
        <v>0</v>
      </c>
      <c r="D58" s="865"/>
      <c r="E58" s="173"/>
      <c r="F58" s="173"/>
    </row>
    <row r="59" spans="1:6" s="183" customFormat="1" ht="12" customHeight="1" thickBot="1" x14ac:dyDescent="0.25">
      <c r="A59" s="17" t="s">
        <v>132</v>
      </c>
      <c r="B59" s="18" t="s">
        <v>228</v>
      </c>
      <c r="C59" s="112">
        <f t="shared" si="0"/>
        <v>11274000</v>
      </c>
      <c r="D59" s="267">
        <f>SUM(D60:D62)</f>
        <v>11274000</v>
      </c>
      <c r="E59" s="112">
        <f>SUM(E60:E62)</f>
        <v>0</v>
      </c>
      <c r="F59" s="112">
        <f>SUM(F60:F62)</f>
        <v>0</v>
      </c>
    </row>
    <row r="60" spans="1:6" s="183" customFormat="1" ht="12" customHeight="1" x14ac:dyDescent="0.2">
      <c r="A60" s="12" t="s">
        <v>84</v>
      </c>
      <c r="B60" s="184" t="s">
        <v>229</v>
      </c>
      <c r="C60" s="289">
        <f t="shared" si="0"/>
        <v>1000000</v>
      </c>
      <c r="D60" s="269">
        <v>1000000</v>
      </c>
      <c r="E60" s="114"/>
      <c r="F60" s="114"/>
    </row>
    <row r="61" spans="1:6" s="183" customFormat="1" ht="12" customHeight="1" x14ac:dyDescent="0.2">
      <c r="A61" s="11" t="s">
        <v>85</v>
      </c>
      <c r="B61" s="185" t="s">
        <v>358</v>
      </c>
      <c r="C61" s="290">
        <f t="shared" si="0"/>
        <v>0</v>
      </c>
      <c r="D61" s="864"/>
      <c r="E61" s="863"/>
      <c r="F61" s="863"/>
    </row>
    <row r="62" spans="1:6" s="183" customFormat="1" ht="12" customHeight="1" x14ac:dyDescent="0.2">
      <c r="A62" s="11" t="s">
        <v>232</v>
      </c>
      <c r="B62" s="185" t="s">
        <v>230</v>
      </c>
      <c r="C62" s="290">
        <f t="shared" si="0"/>
        <v>10274000</v>
      </c>
      <c r="D62" s="864">
        <f>1000000-726000+10000000</f>
        <v>10274000</v>
      </c>
      <c r="E62" s="863"/>
      <c r="F62" s="863"/>
    </row>
    <row r="63" spans="1:6" s="183" customFormat="1" ht="12" customHeight="1" thickBot="1" x14ac:dyDescent="0.25">
      <c r="A63" s="13" t="s">
        <v>233</v>
      </c>
      <c r="B63" s="109" t="s">
        <v>231</v>
      </c>
      <c r="C63" s="849">
        <f t="shared" si="0"/>
        <v>0</v>
      </c>
      <c r="D63" s="102"/>
      <c r="E63" s="115"/>
      <c r="F63" s="115"/>
    </row>
    <row r="64" spans="1:6" s="183" customFormat="1" ht="12" customHeight="1" thickBot="1" x14ac:dyDescent="0.25">
      <c r="A64" s="17" t="s">
        <v>23</v>
      </c>
      <c r="B64" s="107" t="s">
        <v>234</v>
      </c>
      <c r="C64" s="295">
        <f t="shared" si="0"/>
        <v>250000</v>
      </c>
      <c r="D64" s="267">
        <f>SUM(D65:D67)</f>
        <v>250000</v>
      </c>
      <c r="E64" s="112">
        <f>SUM(E65:E67)</f>
        <v>0</v>
      </c>
      <c r="F64" s="112">
        <f>SUM(F65:F67)</f>
        <v>0</v>
      </c>
    </row>
    <row r="65" spans="1:6" s="183" customFormat="1" ht="12" customHeight="1" x14ac:dyDescent="0.2">
      <c r="A65" s="12" t="s">
        <v>133</v>
      </c>
      <c r="B65" s="184" t="s">
        <v>236</v>
      </c>
      <c r="C65" s="179">
        <f t="shared" si="0"/>
        <v>0</v>
      </c>
      <c r="D65" s="864"/>
      <c r="E65" s="863"/>
      <c r="F65" s="863"/>
    </row>
    <row r="66" spans="1:6" s="183" customFormat="1" ht="12" customHeight="1" x14ac:dyDescent="0.2">
      <c r="A66" s="11" t="s">
        <v>134</v>
      </c>
      <c r="B66" s="185" t="s">
        <v>359</v>
      </c>
      <c r="C66" s="293">
        <f t="shared" si="0"/>
        <v>0</v>
      </c>
      <c r="D66" s="864"/>
      <c r="E66" s="863"/>
      <c r="F66" s="863"/>
    </row>
    <row r="67" spans="1:6" s="183" customFormat="1" ht="12" customHeight="1" x14ac:dyDescent="0.2">
      <c r="A67" s="11" t="s">
        <v>160</v>
      </c>
      <c r="B67" s="185" t="s">
        <v>237</v>
      </c>
      <c r="C67" s="290">
        <f t="shared" si="0"/>
        <v>250000</v>
      </c>
      <c r="D67" s="864">
        <f>200000+50000</f>
        <v>250000</v>
      </c>
      <c r="E67" s="863"/>
      <c r="F67" s="863"/>
    </row>
    <row r="68" spans="1:6" s="183" customFormat="1" ht="12" customHeight="1" thickBot="1" x14ac:dyDescent="0.25">
      <c r="A68" s="13" t="s">
        <v>235</v>
      </c>
      <c r="B68" s="109" t="s">
        <v>238</v>
      </c>
      <c r="C68" s="294">
        <f t="shared" si="0"/>
        <v>0</v>
      </c>
      <c r="D68" s="864"/>
      <c r="E68" s="863"/>
      <c r="F68" s="863"/>
    </row>
    <row r="69" spans="1:6" s="183" customFormat="1" ht="12" customHeight="1" thickBot="1" x14ac:dyDescent="0.25">
      <c r="A69" s="243" t="s">
        <v>399</v>
      </c>
      <c r="B69" s="18" t="s">
        <v>239</v>
      </c>
      <c r="C69" s="112">
        <f t="shared" si="0"/>
        <v>3858271514</v>
      </c>
      <c r="D69" s="270">
        <f>+D11+D20+D27+D34+D41+D53+D59+D64</f>
        <v>3748238390</v>
      </c>
      <c r="E69" s="117">
        <f>+E11+E20+E27+E34+E41+E53+E59+E64</f>
        <v>9988614</v>
      </c>
      <c r="F69" s="117">
        <f>+F11+F20+F27+F34+F41+F53+F59+F64</f>
        <v>100044510</v>
      </c>
    </row>
    <row r="70" spans="1:6" s="183" customFormat="1" ht="12" customHeight="1" thickBot="1" x14ac:dyDescent="0.25">
      <c r="A70" s="244" t="s">
        <v>240</v>
      </c>
      <c r="B70" s="107" t="s">
        <v>241</v>
      </c>
      <c r="C70" s="295">
        <f t="shared" si="0"/>
        <v>1035562529</v>
      </c>
      <c r="D70" s="267">
        <f>SUM(D71:D73)</f>
        <v>1035562529</v>
      </c>
      <c r="E70" s="112">
        <f>SUM(E71:E73)</f>
        <v>0</v>
      </c>
      <c r="F70" s="112">
        <f>SUM(F71:F73)</f>
        <v>0</v>
      </c>
    </row>
    <row r="71" spans="1:6" s="183" customFormat="1" ht="12" customHeight="1" x14ac:dyDescent="0.2">
      <c r="A71" s="12" t="s">
        <v>272</v>
      </c>
      <c r="B71" s="184" t="s">
        <v>242</v>
      </c>
      <c r="C71" s="289">
        <f t="shared" si="0"/>
        <v>185562529</v>
      </c>
      <c r="D71" s="864">
        <f>11503705+7058824+167000000</f>
        <v>185562529</v>
      </c>
      <c r="E71" s="863"/>
      <c r="F71" s="863"/>
    </row>
    <row r="72" spans="1:6" s="183" customFormat="1" ht="12" customHeight="1" x14ac:dyDescent="0.2">
      <c r="A72" s="11" t="s">
        <v>281</v>
      </c>
      <c r="B72" s="185" t="s">
        <v>243</v>
      </c>
      <c r="C72" s="290">
        <f t="shared" si="0"/>
        <v>850000000</v>
      </c>
      <c r="D72" s="864">
        <v>850000000</v>
      </c>
      <c r="E72" s="863"/>
      <c r="F72" s="863"/>
    </row>
    <row r="73" spans="1:6" s="183" customFormat="1" ht="12" customHeight="1" thickBot="1" x14ac:dyDescent="0.25">
      <c r="A73" s="13" t="s">
        <v>282</v>
      </c>
      <c r="B73" s="245" t="s">
        <v>400</v>
      </c>
      <c r="C73" s="294">
        <f t="shared" si="0"/>
        <v>0</v>
      </c>
      <c r="D73" s="864"/>
      <c r="E73" s="863"/>
      <c r="F73" s="863"/>
    </row>
    <row r="74" spans="1:6" s="183" customFormat="1" ht="12" customHeight="1" thickBot="1" x14ac:dyDescent="0.25">
      <c r="A74" s="244" t="s">
        <v>245</v>
      </c>
      <c r="B74" s="107" t="s">
        <v>246</v>
      </c>
      <c r="C74" s="295">
        <f t="shared" si="0"/>
        <v>0</v>
      </c>
      <c r="D74" s="267">
        <f>SUM(D75:D78)</f>
        <v>0</v>
      </c>
      <c r="E74" s="112">
        <f>SUM(E75:E78)</f>
        <v>0</v>
      </c>
      <c r="F74" s="112">
        <f>SUM(F75:F78)</f>
        <v>0</v>
      </c>
    </row>
    <row r="75" spans="1:6" s="183" customFormat="1" ht="12" customHeight="1" x14ac:dyDescent="0.2">
      <c r="A75" s="12" t="s">
        <v>113</v>
      </c>
      <c r="B75" s="184" t="s">
        <v>247</v>
      </c>
      <c r="C75" s="179">
        <f t="shared" si="0"/>
        <v>0</v>
      </c>
      <c r="D75" s="864"/>
      <c r="E75" s="863"/>
      <c r="F75" s="863"/>
    </row>
    <row r="76" spans="1:6" s="183" customFormat="1" ht="12" customHeight="1" x14ac:dyDescent="0.2">
      <c r="A76" s="11" t="s">
        <v>114</v>
      </c>
      <c r="B76" s="185" t="s">
        <v>807</v>
      </c>
      <c r="C76" s="293">
        <f t="shared" ref="C76:C94" si="2">SUM(D76:F76)</f>
        <v>0</v>
      </c>
      <c r="D76" s="864"/>
      <c r="E76" s="863"/>
      <c r="F76" s="863"/>
    </row>
    <row r="77" spans="1:6" s="183" customFormat="1" ht="12" customHeight="1" x14ac:dyDescent="0.2">
      <c r="A77" s="11" t="s">
        <v>273</v>
      </c>
      <c r="B77" s="185" t="s">
        <v>249</v>
      </c>
      <c r="C77" s="293">
        <f t="shared" si="2"/>
        <v>0</v>
      </c>
      <c r="D77" s="864"/>
      <c r="E77" s="863"/>
      <c r="F77" s="863"/>
    </row>
    <row r="78" spans="1:6" s="183" customFormat="1" ht="12" customHeight="1" thickBot="1" x14ac:dyDescent="0.25">
      <c r="A78" s="13" t="s">
        <v>274</v>
      </c>
      <c r="B78" s="109" t="s">
        <v>808</v>
      </c>
      <c r="C78" s="294">
        <f t="shared" si="2"/>
        <v>0</v>
      </c>
      <c r="D78" s="864"/>
      <c r="E78" s="863"/>
      <c r="F78" s="863"/>
    </row>
    <row r="79" spans="1:6" s="183" customFormat="1" ht="12" customHeight="1" thickBot="1" x14ac:dyDescent="0.25">
      <c r="A79" s="244" t="s">
        <v>251</v>
      </c>
      <c r="B79" s="107" t="s">
        <v>252</v>
      </c>
      <c r="C79" s="112">
        <f t="shared" si="2"/>
        <v>854236197</v>
      </c>
      <c r="D79" s="267">
        <f>SUM(D80:D81)</f>
        <v>847491815</v>
      </c>
      <c r="E79" s="112">
        <f>SUM(E80:E81)</f>
        <v>216699</v>
      </c>
      <c r="F79" s="112">
        <f>SUM(F80:F81)</f>
        <v>6527683</v>
      </c>
    </row>
    <row r="80" spans="1:6" s="183" customFormat="1" ht="12" customHeight="1" x14ac:dyDescent="0.2">
      <c r="A80" s="12" t="s">
        <v>275</v>
      </c>
      <c r="B80" s="184" t="s">
        <v>253</v>
      </c>
      <c r="C80" s="289">
        <f t="shared" si="2"/>
        <v>854236197</v>
      </c>
      <c r="D80" s="864">
        <v>847491815</v>
      </c>
      <c r="E80" s="863">
        <v>216699</v>
      </c>
      <c r="F80" s="863">
        <f>284491+913769+284096+1261346+3783981</f>
        <v>6527683</v>
      </c>
    </row>
    <row r="81" spans="1:6" s="183" customFormat="1" ht="12" customHeight="1" thickBot="1" x14ac:dyDescent="0.25">
      <c r="A81" s="13" t="s">
        <v>276</v>
      </c>
      <c r="B81" s="109" t="s">
        <v>254</v>
      </c>
      <c r="C81" s="294">
        <f t="shared" si="2"/>
        <v>0</v>
      </c>
      <c r="D81" s="864"/>
      <c r="E81" s="863"/>
      <c r="F81" s="863"/>
    </row>
    <row r="82" spans="1:6" s="183" customFormat="1" ht="12" customHeight="1" thickBot="1" x14ac:dyDescent="0.25">
      <c r="A82" s="244" t="s">
        <v>255</v>
      </c>
      <c r="B82" s="107" t="s">
        <v>256</v>
      </c>
      <c r="C82" s="295">
        <f t="shared" si="2"/>
        <v>48966750</v>
      </c>
      <c r="D82" s="267">
        <f>SUM(D83:D85)</f>
        <v>48966750</v>
      </c>
      <c r="E82" s="112">
        <f>SUM(E83:E85)</f>
        <v>0</v>
      </c>
      <c r="F82" s="112">
        <f>SUM(F83:F85)</f>
        <v>0</v>
      </c>
    </row>
    <row r="83" spans="1:6" s="183" customFormat="1" ht="12" customHeight="1" x14ac:dyDescent="0.2">
      <c r="A83" s="12" t="s">
        <v>277</v>
      </c>
      <c r="B83" s="184" t="s">
        <v>257</v>
      </c>
      <c r="C83" s="289">
        <f t="shared" si="2"/>
        <v>48966750</v>
      </c>
      <c r="D83" s="864">
        <v>48966750</v>
      </c>
      <c r="E83" s="863"/>
      <c r="F83" s="863"/>
    </row>
    <row r="84" spans="1:6" s="183" customFormat="1" ht="12" customHeight="1" x14ac:dyDescent="0.2">
      <c r="A84" s="11" t="s">
        <v>278</v>
      </c>
      <c r="B84" s="185" t="s">
        <v>258</v>
      </c>
      <c r="C84" s="293">
        <f t="shared" si="2"/>
        <v>0</v>
      </c>
      <c r="D84" s="864"/>
      <c r="E84" s="863"/>
      <c r="F84" s="863"/>
    </row>
    <row r="85" spans="1:6" s="183" customFormat="1" ht="12" customHeight="1" thickBot="1" x14ac:dyDescent="0.25">
      <c r="A85" s="13" t="s">
        <v>279</v>
      </c>
      <c r="B85" s="109" t="s">
        <v>809</v>
      </c>
      <c r="C85" s="294">
        <f t="shared" si="2"/>
        <v>0</v>
      </c>
      <c r="D85" s="864"/>
      <c r="E85" s="863"/>
      <c r="F85" s="863"/>
    </row>
    <row r="86" spans="1:6" s="183" customFormat="1" ht="12" customHeight="1" thickBot="1" x14ac:dyDescent="0.25">
      <c r="A86" s="244" t="s">
        <v>260</v>
      </c>
      <c r="B86" s="107" t="s">
        <v>280</v>
      </c>
      <c r="C86" s="295">
        <f t="shared" si="2"/>
        <v>0</v>
      </c>
      <c r="D86" s="267">
        <f>SUM(D87:D90)</f>
        <v>0</v>
      </c>
      <c r="E86" s="112">
        <f>SUM(E87:E90)</f>
        <v>0</v>
      </c>
      <c r="F86" s="112">
        <f>SUM(F87:F90)</f>
        <v>0</v>
      </c>
    </row>
    <row r="87" spans="1:6" s="183" customFormat="1" ht="12" customHeight="1" x14ac:dyDescent="0.2">
      <c r="A87" s="188" t="s">
        <v>261</v>
      </c>
      <c r="B87" s="184" t="s">
        <v>262</v>
      </c>
      <c r="C87" s="179">
        <f t="shared" si="2"/>
        <v>0</v>
      </c>
      <c r="D87" s="864"/>
      <c r="E87" s="863"/>
      <c r="F87" s="863"/>
    </row>
    <row r="88" spans="1:6" s="183" customFormat="1" ht="12" customHeight="1" x14ac:dyDescent="0.2">
      <c r="A88" s="189" t="s">
        <v>263</v>
      </c>
      <c r="B88" s="185" t="s">
        <v>264</v>
      </c>
      <c r="C88" s="293">
        <f t="shared" si="2"/>
        <v>0</v>
      </c>
      <c r="D88" s="864"/>
      <c r="E88" s="863"/>
      <c r="F88" s="863"/>
    </row>
    <row r="89" spans="1:6" s="183" customFormat="1" ht="12" customHeight="1" x14ac:dyDescent="0.2">
      <c r="A89" s="189" t="s">
        <v>265</v>
      </c>
      <c r="B89" s="185" t="s">
        <v>266</v>
      </c>
      <c r="C89" s="293">
        <f t="shared" si="2"/>
        <v>0</v>
      </c>
      <c r="D89" s="864"/>
      <c r="E89" s="863"/>
      <c r="F89" s="863"/>
    </row>
    <row r="90" spans="1:6" s="183" customFormat="1" ht="12" customHeight="1" thickBot="1" x14ac:dyDescent="0.25">
      <c r="A90" s="190" t="s">
        <v>267</v>
      </c>
      <c r="B90" s="109" t="s">
        <v>268</v>
      </c>
      <c r="C90" s="294">
        <f t="shared" si="2"/>
        <v>0</v>
      </c>
      <c r="D90" s="864"/>
      <c r="E90" s="863"/>
      <c r="F90" s="863"/>
    </row>
    <row r="91" spans="1:6" s="183" customFormat="1" ht="12" customHeight="1" thickBot="1" x14ac:dyDescent="0.25">
      <c r="A91" s="244" t="s">
        <v>269</v>
      </c>
      <c r="B91" s="107" t="s">
        <v>401</v>
      </c>
      <c r="C91" s="325">
        <f t="shared" si="2"/>
        <v>0</v>
      </c>
      <c r="D91" s="272"/>
      <c r="E91" s="223"/>
      <c r="F91" s="223"/>
    </row>
    <row r="92" spans="1:6" s="183" customFormat="1" ht="13.5" customHeight="1" thickBot="1" x14ac:dyDescent="0.25">
      <c r="A92" s="244" t="s">
        <v>271</v>
      </c>
      <c r="B92" s="107" t="s">
        <v>270</v>
      </c>
      <c r="C92" s="295">
        <f t="shared" si="2"/>
        <v>0</v>
      </c>
      <c r="D92" s="272"/>
      <c r="E92" s="223"/>
      <c r="F92" s="223"/>
    </row>
    <row r="93" spans="1:6" s="183" customFormat="1" ht="15.75" customHeight="1" thickBot="1" x14ac:dyDescent="0.25">
      <c r="A93" s="244" t="s">
        <v>283</v>
      </c>
      <c r="B93" s="191" t="s">
        <v>402</v>
      </c>
      <c r="C93" s="112">
        <f t="shared" si="2"/>
        <v>1938765476</v>
      </c>
      <c r="D93" s="270">
        <f>+D70+D74+D79+D82+D86+D92+D91</f>
        <v>1932021094</v>
      </c>
      <c r="E93" s="117">
        <f>+E70+E74+E79+E82+E86+E92+E91</f>
        <v>216699</v>
      </c>
      <c r="F93" s="117">
        <f>+F70+F74+F79+F82+F86+F92+F91</f>
        <v>6527683</v>
      </c>
    </row>
    <row r="94" spans="1:6" s="183" customFormat="1" ht="16.5" customHeight="1" thickBot="1" x14ac:dyDescent="0.25">
      <c r="A94" s="246" t="s">
        <v>403</v>
      </c>
      <c r="B94" s="192" t="s">
        <v>404</v>
      </c>
      <c r="C94" s="250">
        <f t="shared" si="2"/>
        <v>5797036990</v>
      </c>
      <c r="D94" s="270">
        <f>+D69+D93</f>
        <v>5680259484</v>
      </c>
      <c r="E94" s="117">
        <f>+E69+E93</f>
        <v>10205313</v>
      </c>
      <c r="F94" s="117">
        <f>+F69+F93</f>
        <v>106572193</v>
      </c>
    </row>
    <row r="95" spans="1:6" ht="16.5" customHeight="1" x14ac:dyDescent="0.25">
      <c r="A95" s="1435" t="s">
        <v>44</v>
      </c>
      <c r="B95" s="1435"/>
      <c r="C95" s="1435"/>
      <c r="D95" s="170"/>
      <c r="E95" s="170"/>
      <c r="F95" s="813"/>
    </row>
    <row r="96" spans="1:6" s="193" customFormat="1" ht="16.5" customHeight="1" thickBot="1" x14ac:dyDescent="0.3">
      <c r="A96" s="1436" t="s">
        <v>116</v>
      </c>
      <c r="B96" s="1436"/>
      <c r="C96" s="56" t="s">
        <v>494</v>
      </c>
      <c r="D96" s="509"/>
      <c r="E96" s="509"/>
      <c r="F96" s="509"/>
    </row>
    <row r="97" spans="1:6" ht="38.1" customHeight="1" thickBot="1" x14ac:dyDescent="0.3">
      <c r="A97" s="20" t="s">
        <v>64</v>
      </c>
      <c r="B97" s="21" t="s">
        <v>45</v>
      </c>
      <c r="C97" s="29" t="str">
        <f>+C9</f>
        <v>2021. évi előirányzat</v>
      </c>
      <c r="D97" s="170" t="s">
        <v>499</v>
      </c>
      <c r="E97" s="170" t="s">
        <v>500</v>
      </c>
      <c r="F97" s="813" t="s">
        <v>501</v>
      </c>
    </row>
    <row r="98" spans="1:6" s="182" customFormat="1" ht="12" customHeight="1" thickBot="1" x14ac:dyDescent="0.25">
      <c r="A98" s="25" t="s">
        <v>391</v>
      </c>
      <c r="B98" s="26" t="s">
        <v>392</v>
      </c>
      <c r="C98" s="178" t="s">
        <v>393</v>
      </c>
    </row>
    <row r="99" spans="1:6" ht="12" customHeight="1" thickBot="1" x14ac:dyDescent="0.3">
      <c r="A99" s="19" t="s">
        <v>16</v>
      </c>
      <c r="B99" s="23" t="s">
        <v>442</v>
      </c>
      <c r="C99" s="112">
        <f t="shared" ref="C99:C159" si="3">SUM(D99:F99)</f>
        <v>1885161547</v>
      </c>
      <c r="D99" s="275">
        <f>+D100+D101+D102+D103+D104+D117</f>
        <v>874432460</v>
      </c>
      <c r="E99" s="111">
        <f>+E100+E101+E102+E103+E104+E117</f>
        <v>13591509</v>
      </c>
      <c r="F99" s="280">
        <f>F100+F101+F102+F103+F104+F117</f>
        <v>997137578</v>
      </c>
    </row>
    <row r="100" spans="1:6" ht="12" customHeight="1" x14ac:dyDescent="0.25">
      <c r="A100" s="14" t="s">
        <v>86</v>
      </c>
      <c r="B100" s="7" t="s">
        <v>46</v>
      </c>
      <c r="C100" s="1176">
        <f t="shared" si="3"/>
        <v>595808769</v>
      </c>
      <c r="D100" s="285">
        <f>44363489-6630792+1037700-20730155-8272054+839690+4660788</f>
        <v>15268666</v>
      </c>
      <c r="E100" s="261">
        <v>7226713</v>
      </c>
      <c r="F100" s="261">
        <f>82248525+71998629+56250808+218334179+144481249</f>
        <v>573313390</v>
      </c>
    </row>
    <row r="101" spans="1:6" ht="12" customHeight="1" x14ac:dyDescent="0.25">
      <c r="A101" s="11" t="s">
        <v>87</v>
      </c>
      <c r="B101" s="5" t="s">
        <v>135</v>
      </c>
      <c r="C101" s="845">
        <f t="shared" si="3"/>
        <v>99379137</v>
      </c>
      <c r="D101" s="256">
        <f>6548579-1030563+160844-3141046-1562315+102025+722422</f>
        <v>1799946</v>
      </c>
      <c r="E101" s="116">
        <v>1117901</v>
      </c>
      <c r="F101" s="863">
        <f>13031917+11651828+8981266+38909967+23886312</f>
        <v>96461290</v>
      </c>
    </row>
    <row r="102" spans="1:6" ht="12" customHeight="1" x14ac:dyDescent="0.25">
      <c r="A102" s="11" t="s">
        <v>88</v>
      </c>
      <c r="B102" s="5" t="s">
        <v>111</v>
      </c>
      <c r="C102" s="845">
        <f t="shared" si="3"/>
        <v>816800211</v>
      </c>
      <c r="D102" s="259">
        <f>317246579+107725-3431322+10000-5100000+131465820+5923613+18944478+19059848</f>
        <v>484226741</v>
      </c>
      <c r="E102" s="173">
        <v>5246895</v>
      </c>
      <c r="F102" s="863">
        <f>16220856+149872937+49098647+87035872+25134586-36323</f>
        <v>327326575</v>
      </c>
    </row>
    <row r="103" spans="1:6" ht="12" customHeight="1" x14ac:dyDescent="0.25">
      <c r="A103" s="11" t="s">
        <v>89</v>
      </c>
      <c r="B103" s="5" t="s">
        <v>136</v>
      </c>
      <c r="C103" s="845">
        <f t="shared" si="3"/>
        <v>53500000</v>
      </c>
      <c r="D103" s="259">
        <f>56500000-3000000</f>
        <v>53500000</v>
      </c>
      <c r="E103" s="173"/>
      <c r="F103" s="173"/>
    </row>
    <row r="104" spans="1:6" ht="12" customHeight="1" x14ac:dyDescent="0.25">
      <c r="A104" s="11" t="s">
        <v>100</v>
      </c>
      <c r="B104" s="4" t="s">
        <v>137</v>
      </c>
      <c r="C104" s="290">
        <f t="shared" si="3"/>
        <v>234584837</v>
      </c>
      <c r="D104" s="259">
        <f>SUM(D105:D116)</f>
        <v>234548514</v>
      </c>
      <c r="E104" s="259">
        <f>SUM(E105:E116)</f>
        <v>0</v>
      </c>
      <c r="F104" s="865">
        <f>SUM(F105:F116)</f>
        <v>36323</v>
      </c>
    </row>
    <row r="105" spans="1:6" ht="12" customHeight="1" x14ac:dyDescent="0.25">
      <c r="A105" s="11" t="s">
        <v>90</v>
      </c>
      <c r="B105" s="5" t="s">
        <v>405</v>
      </c>
      <c r="C105" s="290">
        <f t="shared" si="3"/>
        <v>17242997</v>
      </c>
      <c r="D105" s="259">
        <f>140000+15636933+1466064</f>
        <v>17242997</v>
      </c>
      <c r="E105" s="173"/>
      <c r="F105" s="173"/>
    </row>
    <row r="106" spans="1:6" ht="12" customHeight="1" x14ac:dyDescent="0.25">
      <c r="A106" s="11" t="s">
        <v>91</v>
      </c>
      <c r="B106" s="60" t="s">
        <v>406</v>
      </c>
      <c r="C106" s="293">
        <f t="shared" si="3"/>
        <v>0</v>
      </c>
      <c r="D106" s="259"/>
      <c r="E106" s="173"/>
      <c r="F106" s="173"/>
    </row>
    <row r="107" spans="1:6" ht="12" customHeight="1" x14ac:dyDescent="0.25">
      <c r="A107" s="11" t="s">
        <v>101</v>
      </c>
      <c r="B107" s="60" t="s">
        <v>407</v>
      </c>
      <c r="C107" s="290">
        <f t="shared" si="3"/>
        <v>24566831</v>
      </c>
      <c r="D107" s="259">
        <f>24566831</f>
        <v>24566831</v>
      </c>
      <c r="E107" s="173"/>
      <c r="F107" s="173"/>
    </row>
    <row r="108" spans="1:6" ht="12" customHeight="1" x14ac:dyDescent="0.25">
      <c r="A108" s="11" t="s">
        <v>102</v>
      </c>
      <c r="B108" s="58" t="s">
        <v>286</v>
      </c>
      <c r="C108" s="293">
        <f t="shared" si="3"/>
        <v>0</v>
      </c>
      <c r="D108" s="259"/>
      <c r="E108" s="173"/>
      <c r="F108" s="173"/>
    </row>
    <row r="109" spans="1:6" ht="12" customHeight="1" x14ac:dyDescent="0.25">
      <c r="A109" s="11" t="s">
        <v>103</v>
      </c>
      <c r="B109" s="59" t="s">
        <v>287</v>
      </c>
      <c r="C109" s="293">
        <f t="shared" si="3"/>
        <v>0</v>
      </c>
      <c r="D109" s="259"/>
      <c r="E109" s="173"/>
      <c r="F109" s="173"/>
    </row>
    <row r="110" spans="1:6" ht="12" customHeight="1" x14ac:dyDescent="0.25">
      <c r="A110" s="11" t="s">
        <v>104</v>
      </c>
      <c r="B110" s="59" t="s">
        <v>288</v>
      </c>
      <c r="C110" s="293">
        <f t="shared" si="3"/>
        <v>0</v>
      </c>
      <c r="D110" s="259"/>
      <c r="E110" s="173"/>
      <c r="F110" s="173"/>
    </row>
    <row r="111" spans="1:6" ht="12" customHeight="1" x14ac:dyDescent="0.25">
      <c r="A111" s="11" t="s">
        <v>106</v>
      </c>
      <c r="B111" s="58" t="s">
        <v>289</v>
      </c>
      <c r="C111" s="290">
        <f t="shared" si="3"/>
        <v>672323</v>
      </c>
      <c r="D111" s="259">
        <v>636000</v>
      </c>
      <c r="E111" s="173"/>
      <c r="F111" s="173">
        <v>36323</v>
      </c>
    </row>
    <row r="112" spans="1:6" ht="12" customHeight="1" x14ac:dyDescent="0.25">
      <c r="A112" s="11" t="s">
        <v>138</v>
      </c>
      <c r="B112" s="58" t="s">
        <v>290</v>
      </c>
      <c r="C112" s="293">
        <f t="shared" si="3"/>
        <v>0</v>
      </c>
      <c r="D112" s="510"/>
      <c r="E112" s="173"/>
      <c r="F112" s="173"/>
    </row>
    <row r="113" spans="1:6" ht="12" customHeight="1" x14ac:dyDescent="0.25">
      <c r="A113" s="11" t="s">
        <v>284</v>
      </c>
      <c r="B113" s="59" t="s">
        <v>291</v>
      </c>
      <c r="C113" s="293">
        <f t="shared" si="3"/>
        <v>0</v>
      </c>
      <c r="D113" s="259"/>
      <c r="E113" s="173"/>
      <c r="F113" s="173"/>
    </row>
    <row r="114" spans="1:6" ht="12" customHeight="1" x14ac:dyDescent="0.25">
      <c r="A114" s="10" t="s">
        <v>285</v>
      </c>
      <c r="B114" s="60" t="s">
        <v>292</v>
      </c>
      <c r="C114" s="293">
        <f t="shared" si="3"/>
        <v>0</v>
      </c>
      <c r="D114" s="259"/>
      <c r="E114" s="173"/>
      <c r="F114" s="173"/>
    </row>
    <row r="115" spans="1:6" ht="12" customHeight="1" x14ac:dyDescent="0.25">
      <c r="A115" s="11" t="s">
        <v>408</v>
      </c>
      <c r="B115" s="60" t="s">
        <v>293</v>
      </c>
      <c r="C115" s="293">
        <f t="shared" si="3"/>
        <v>0</v>
      </c>
      <c r="D115" s="259"/>
      <c r="E115" s="173"/>
      <c r="F115" s="173"/>
    </row>
    <row r="116" spans="1:6" ht="12" customHeight="1" x14ac:dyDescent="0.25">
      <c r="A116" s="13" t="s">
        <v>409</v>
      </c>
      <c r="B116" s="60" t="s">
        <v>294</v>
      </c>
      <c r="C116" s="290">
        <f t="shared" si="3"/>
        <v>192102686</v>
      </c>
      <c r="D116" s="256">
        <f>165591867+14963117-2244235+10664415+690537+2436985</f>
        <v>192102686</v>
      </c>
      <c r="E116" s="116"/>
      <c r="F116" s="173"/>
    </row>
    <row r="117" spans="1:6" ht="12" customHeight="1" x14ac:dyDescent="0.25">
      <c r="A117" s="11" t="s">
        <v>410</v>
      </c>
      <c r="B117" s="5" t="s">
        <v>47</v>
      </c>
      <c r="C117" s="290">
        <f t="shared" si="3"/>
        <v>85088593</v>
      </c>
      <c r="D117" s="256">
        <f>SUM(D118:D119)</f>
        <v>85088593</v>
      </c>
      <c r="E117" s="116"/>
      <c r="F117" s="863"/>
    </row>
    <row r="118" spans="1:6" ht="12" customHeight="1" x14ac:dyDescent="0.25">
      <c r="A118" s="11" t="s">
        <v>411</v>
      </c>
      <c r="B118" s="5" t="s">
        <v>412</v>
      </c>
      <c r="C118" s="845">
        <f t="shared" si="3"/>
        <v>4244765</v>
      </c>
      <c r="D118" s="865">
        <f>10000000-8622933+2854876-254000-2206257+540000+13433386-939589-2276958-8283760</f>
        <v>4244765</v>
      </c>
      <c r="E118" s="173"/>
      <c r="F118" s="863"/>
    </row>
    <row r="119" spans="1:6" ht="12" customHeight="1" thickBot="1" x14ac:dyDescent="0.3">
      <c r="A119" s="15" t="s">
        <v>413</v>
      </c>
      <c r="B119" s="247" t="s">
        <v>414</v>
      </c>
      <c r="C119" s="290">
        <f t="shared" si="3"/>
        <v>80843828</v>
      </c>
      <c r="D119" s="286">
        <f>99315612+4715+7058824-10000000-346499-540000-13770424-160000-718400</f>
        <v>80843828</v>
      </c>
      <c r="E119" s="265"/>
      <c r="F119" s="265"/>
    </row>
    <row r="120" spans="1:6" ht="12" customHeight="1" thickBot="1" x14ac:dyDescent="0.3">
      <c r="A120" s="248" t="s">
        <v>17</v>
      </c>
      <c r="B120" s="249" t="s">
        <v>295</v>
      </c>
      <c r="C120" s="112">
        <f t="shared" si="3"/>
        <v>2617359078</v>
      </c>
      <c r="D120" s="267">
        <f>+D121+D123+D125</f>
        <v>2611932666</v>
      </c>
      <c r="E120" s="112">
        <f>+E121+E123+E125</f>
        <v>788100</v>
      </c>
      <c r="F120" s="250">
        <f>+F121+F123+F125</f>
        <v>4638312</v>
      </c>
    </row>
    <row r="121" spans="1:6" ht="18.75" customHeight="1" x14ac:dyDescent="0.25">
      <c r="A121" s="12" t="s">
        <v>92</v>
      </c>
      <c r="B121" s="5" t="s">
        <v>159</v>
      </c>
      <c r="C121" s="1176">
        <f>SUM(D121:F121)</f>
        <v>725814442</v>
      </c>
      <c r="D121" s="271">
        <f>438159730+200000+50000+1201000+254000+2425-141638515+16426488+163950980+242099422</f>
        <v>720705530</v>
      </c>
      <c r="E121" s="222">
        <v>788100</v>
      </c>
      <c r="F121" s="222">
        <f>25000+3139962+800000+355850</f>
        <v>4320812</v>
      </c>
    </row>
    <row r="122" spans="1:6" ht="12" customHeight="1" x14ac:dyDescent="0.25">
      <c r="A122" s="12" t="s">
        <v>93</v>
      </c>
      <c r="B122" s="9" t="s">
        <v>299</v>
      </c>
      <c r="C122" s="289">
        <f t="shared" si="3"/>
        <v>259141516</v>
      </c>
      <c r="D122" s="866">
        <f>401925076+2425-142138515+401550-1049020</f>
        <v>259141516</v>
      </c>
      <c r="E122" s="222"/>
      <c r="F122" s="222"/>
    </row>
    <row r="123" spans="1:6" ht="12" customHeight="1" x14ac:dyDescent="0.25">
      <c r="A123" s="12" t="s">
        <v>94</v>
      </c>
      <c r="B123" s="9" t="s">
        <v>139</v>
      </c>
      <c r="C123" s="1176">
        <f t="shared" si="3"/>
        <v>1885632830</v>
      </c>
      <c r="D123" s="256">
        <f>357345208-317500+537576+1243527941-11598175+295820280</f>
        <v>1885315330</v>
      </c>
      <c r="E123" s="116"/>
      <c r="F123" s="863">
        <v>317500</v>
      </c>
    </row>
    <row r="124" spans="1:6" ht="12" customHeight="1" x14ac:dyDescent="0.25">
      <c r="A124" s="12" t="s">
        <v>95</v>
      </c>
      <c r="B124" s="9" t="s">
        <v>300</v>
      </c>
      <c r="C124" s="289">
        <f t="shared" si="3"/>
        <v>390701940</v>
      </c>
      <c r="D124" s="256">
        <f>80032238+2424+210655116-2424+101702816-1688230</f>
        <v>390701940</v>
      </c>
      <c r="E124" s="508"/>
      <c r="F124" s="864"/>
    </row>
    <row r="125" spans="1:6" ht="12" customHeight="1" x14ac:dyDescent="0.25">
      <c r="A125" s="12" t="s">
        <v>96</v>
      </c>
      <c r="B125" s="109" t="s">
        <v>161</v>
      </c>
      <c r="C125" s="179">
        <f t="shared" si="3"/>
        <v>5911806</v>
      </c>
      <c r="D125" s="259">
        <f>SUM(D126:D133)</f>
        <v>5911806</v>
      </c>
      <c r="E125" s="256"/>
      <c r="F125" s="864"/>
    </row>
    <row r="126" spans="1:6" ht="12" customHeight="1" x14ac:dyDescent="0.25">
      <c r="A126" s="12" t="s">
        <v>105</v>
      </c>
      <c r="B126" s="108" t="s">
        <v>360</v>
      </c>
      <c r="C126" s="179">
        <f t="shared" si="3"/>
        <v>0</v>
      </c>
      <c r="D126" s="101"/>
      <c r="E126" s="101"/>
      <c r="F126" s="864"/>
    </row>
    <row r="127" spans="1:6" ht="12" customHeight="1" x14ac:dyDescent="0.25">
      <c r="A127" s="12" t="s">
        <v>107</v>
      </c>
      <c r="B127" s="180" t="s">
        <v>305</v>
      </c>
      <c r="C127" s="179">
        <f t="shared" si="3"/>
        <v>0</v>
      </c>
      <c r="D127" s="101"/>
      <c r="E127" s="101"/>
      <c r="F127" s="864"/>
    </row>
    <row r="128" spans="1:6" x14ac:dyDescent="0.25">
      <c r="A128" s="12" t="s">
        <v>140</v>
      </c>
      <c r="B128" s="59" t="s">
        <v>288</v>
      </c>
      <c r="C128" s="179">
        <f t="shared" si="3"/>
        <v>0</v>
      </c>
      <c r="D128" s="101"/>
      <c r="E128" s="101"/>
      <c r="F128" s="864"/>
    </row>
    <row r="129" spans="1:6" ht="12" customHeight="1" x14ac:dyDescent="0.25">
      <c r="A129" s="12" t="s">
        <v>141</v>
      </c>
      <c r="B129" s="59" t="s">
        <v>304</v>
      </c>
      <c r="C129" s="179">
        <f t="shared" si="3"/>
        <v>0</v>
      </c>
      <c r="D129" s="101"/>
      <c r="E129" s="101"/>
      <c r="F129" s="864"/>
    </row>
    <row r="130" spans="1:6" ht="12" customHeight="1" x14ac:dyDescent="0.25">
      <c r="A130" s="12" t="s">
        <v>142</v>
      </c>
      <c r="B130" s="59" t="s">
        <v>303</v>
      </c>
      <c r="C130" s="179">
        <f t="shared" si="3"/>
        <v>0</v>
      </c>
      <c r="D130" s="101"/>
      <c r="E130" s="101"/>
      <c r="F130" s="864"/>
    </row>
    <row r="131" spans="1:6" ht="12" customHeight="1" x14ac:dyDescent="0.25">
      <c r="A131" s="12" t="s">
        <v>296</v>
      </c>
      <c r="B131" s="59" t="s">
        <v>291</v>
      </c>
      <c r="C131" s="179">
        <f t="shared" si="3"/>
        <v>0</v>
      </c>
      <c r="D131" s="101"/>
      <c r="E131" s="101"/>
      <c r="F131" s="864"/>
    </row>
    <row r="132" spans="1:6" ht="12" customHeight="1" x14ac:dyDescent="0.25">
      <c r="A132" s="12" t="s">
        <v>297</v>
      </c>
      <c r="B132" s="59" t="s">
        <v>302</v>
      </c>
      <c r="C132" s="179">
        <f t="shared" si="3"/>
        <v>0</v>
      </c>
      <c r="D132" s="101"/>
      <c r="E132" s="101"/>
      <c r="F132" s="864"/>
    </row>
    <row r="133" spans="1:6" ht="16.5" thickBot="1" x14ac:dyDescent="0.3">
      <c r="A133" s="10" t="s">
        <v>298</v>
      </c>
      <c r="B133" s="59" t="s">
        <v>301</v>
      </c>
      <c r="C133" s="289">
        <f t="shared" si="3"/>
        <v>5911806</v>
      </c>
      <c r="D133" s="102">
        <v>5911806</v>
      </c>
      <c r="E133" s="259"/>
      <c r="F133" s="865"/>
    </row>
    <row r="134" spans="1:6" ht="12" customHeight="1" thickBot="1" x14ac:dyDescent="0.3">
      <c r="A134" s="17" t="s">
        <v>18</v>
      </c>
      <c r="B134" s="54" t="s">
        <v>415</v>
      </c>
      <c r="C134" s="112">
        <f t="shared" si="3"/>
        <v>4502520625</v>
      </c>
      <c r="D134" s="267">
        <f>+D99+D120</f>
        <v>3486365126</v>
      </c>
      <c r="E134" s="112">
        <f>+E99+E120</f>
        <v>14379609</v>
      </c>
      <c r="F134" s="112">
        <f>+F99+F120</f>
        <v>1001775890</v>
      </c>
    </row>
    <row r="135" spans="1:6" ht="12" customHeight="1" thickBot="1" x14ac:dyDescent="0.3">
      <c r="A135" s="17" t="s">
        <v>19</v>
      </c>
      <c r="B135" s="54" t="s">
        <v>416</v>
      </c>
      <c r="C135" s="295">
        <f t="shared" si="3"/>
        <v>873325747</v>
      </c>
      <c r="D135" s="267">
        <f>+D136+D137+D138</f>
        <v>873325747</v>
      </c>
      <c r="E135" s="112">
        <f>+E136+E137+E138</f>
        <v>0</v>
      </c>
      <c r="F135" s="112">
        <f>+F136+F137+F138</f>
        <v>0</v>
      </c>
    </row>
    <row r="136" spans="1:6" ht="12" customHeight="1" x14ac:dyDescent="0.25">
      <c r="A136" s="12" t="s">
        <v>197</v>
      </c>
      <c r="B136" s="9" t="s">
        <v>417</v>
      </c>
      <c r="C136" s="179">
        <f t="shared" si="3"/>
        <v>23325747</v>
      </c>
      <c r="D136" s="256">
        <v>23325747</v>
      </c>
      <c r="E136" s="256"/>
      <c r="F136" s="864"/>
    </row>
    <row r="137" spans="1:6" ht="12" customHeight="1" x14ac:dyDescent="0.25">
      <c r="A137" s="12" t="s">
        <v>200</v>
      </c>
      <c r="B137" s="9" t="s">
        <v>418</v>
      </c>
      <c r="C137" s="290">
        <f t="shared" si="3"/>
        <v>850000000</v>
      </c>
      <c r="D137" s="101">
        <v>850000000</v>
      </c>
      <c r="E137" s="101"/>
      <c r="F137" s="101"/>
    </row>
    <row r="138" spans="1:6" ht="12" customHeight="1" thickBot="1" x14ac:dyDescent="0.3">
      <c r="A138" s="10" t="s">
        <v>201</v>
      </c>
      <c r="B138" s="9" t="s">
        <v>419</v>
      </c>
      <c r="C138" s="294">
        <f t="shared" si="3"/>
        <v>0</v>
      </c>
      <c r="D138" s="101"/>
      <c r="E138" s="101"/>
      <c r="F138" s="101"/>
    </row>
    <row r="139" spans="1:6" ht="12" customHeight="1" thickBot="1" x14ac:dyDescent="0.3">
      <c r="A139" s="17" t="s">
        <v>20</v>
      </c>
      <c r="B139" s="54" t="s">
        <v>420</v>
      </c>
      <c r="C139" s="295">
        <f t="shared" si="3"/>
        <v>0</v>
      </c>
      <c r="D139" s="267">
        <f>+D140+D141+D142+D143+D144+D145</f>
        <v>0</v>
      </c>
      <c r="E139" s="112">
        <f>+E140+E141+E142+E143+E144+E145</f>
        <v>0</v>
      </c>
      <c r="F139" s="112">
        <f>SUM(F140:F145)</f>
        <v>0</v>
      </c>
    </row>
    <row r="140" spans="1:6" ht="12" customHeight="1" x14ac:dyDescent="0.25">
      <c r="A140" s="12" t="s">
        <v>79</v>
      </c>
      <c r="B140" s="6" t="s">
        <v>421</v>
      </c>
      <c r="C140" s="179">
        <f t="shared" si="3"/>
        <v>0</v>
      </c>
      <c r="D140" s="101"/>
      <c r="E140" s="101"/>
      <c r="F140" s="101"/>
    </row>
    <row r="141" spans="1:6" ht="12" customHeight="1" x14ac:dyDescent="0.25">
      <c r="A141" s="12" t="s">
        <v>80</v>
      </c>
      <c r="B141" s="6" t="s">
        <v>422</v>
      </c>
      <c r="C141" s="293">
        <f t="shared" si="3"/>
        <v>0</v>
      </c>
      <c r="D141" s="101"/>
      <c r="E141" s="101"/>
      <c r="F141" s="101"/>
    </row>
    <row r="142" spans="1:6" ht="12" customHeight="1" x14ac:dyDescent="0.25">
      <c r="A142" s="12" t="s">
        <v>81</v>
      </c>
      <c r="B142" s="6" t="s">
        <v>423</v>
      </c>
      <c r="C142" s="293">
        <f t="shared" si="3"/>
        <v>0</v>
      </c>
      <c r="D142" s="101"/>
      <c r="E142" s="101"/>
      <c r="F142" s="101"/>
    </row>
    <row r="143" spans="1:6" ht="12" customHeight="1" x14ac:dyDescent="0.25">
      <c r="A143" s="12" t="s">
        <v>127</v>
      </c>
      <c r="B143" s="6" t="s">
        <v>424</v>
      </c>
      <c r="C143" s="293">
        <f t="shared" si="3"/>
        <v>0</v>
      </c>
      <c r="D143" s="101"/>
      <c r="E143" s="101"/>
      <c r="F143" s="101"/>
    </row>
    <row r="144" spans="1:6" ht="12" customHeight="1" x14ac:dyDescent="0.25">
      <c r="A144" s="12" t="s">
        <v>128</v>
      </c>
      <c r="B144" s="6" t="s">
        <v>425</v>
      </c>
      <c r="C144" s="293">
        <f t="shared" si="3"/>
        <v>0</v>
      </c>
      <c r="D144" s="101"/>
      <c r="E144" s="101"/>
      <c r="F144" s="101"/>
    </row>
    <row r="145" spans="1:9" ht="12" customHeight="1" thickBot="1" x14ac:dyDescent="0.3">
      <c r="A145" s="10" t="s">
        <v>129</v>
      </c>
      <c r="B145" s="6" t="s">
        <v>426</v>
      </c>
      <c r="C145" s="294">
        <f t="shared" si="3"/>
        <v>0</v>
      </c>
      <c r="D145" s="101"/>
      <c r="E145" s="101"/>
      <c r="F145" s="101"/>
    </row>
    <row r="146" spans="1:9" ht="12" customHeight="1" thickBot="1" x14ac:dyDescent="0.3">
      <c r="A146" s="17" t="s">
        <v>21</v>
      </c>
      <c r="B146" s="54" t="s">
        <v>427</v>
      </c>
      <c r="C146" s="112">
        <f t="shared" si="3"/>
        <v>48966750</v>
      </c>
      <c r="D146" s="270">
        <f>+D147+D148+D149+D150</f>
        <v>48966750</v>
      </c>
      <c r="E146" s="117">
        <f>+E147+E148+E149+E150</f>
        <v>0</v>
      </c>
      <c r="F146" s="117">
        <f>+F147+F148+F149+F150</f>
        <v>0</v>
      </c>
    </row>
    <row r="147" spans="1:9" ht="12" customHeight="1" x14ac:dyDescent="0.25">
      <c r="A147" s="12" t="s">
        <v>82</v>
      </c>
      <c r="B147" s="6" t="s">
        <v>306</v>
      </c>
      <c r="C147" s="179">
        <f t="shared" si="3"/>
        <v>0</v>
      </c>
      <c r="D147" s="101"/>
      <c r="E147" s="101"/>
      <c r="F147" s="101"/>
    </row>
    <row r="148" spans="1:9" ht="12" customHeight="1" x14ac:dyDescent="0.25">
      <c r="A148" s="12" t="s">
        <v>83</v>
      </c>
      <c r="B148" s="6" t="s">
        <v>307</v>
      </c>
      <c r="C148" s="290">
        <f t="shared" si="3"/>
        <v>48966750</v>
      </c>
      <c r="D148" s="101">
        <v>48966750</v>
      </c>
      <c r="E148" s="101"/>
      <c r="F148" s="101"/>
    </row>
    <row r="149" spans="1:9" ht="12" customHeight="1" x14ac:dyDescent="0.25">
      <c r="A149" s="12" t="s">
        <v>220</v>
      </c>
      <c r="B149" s="6" t="s">
        <v>428</v>
      </c>
      <c r="C149" s="293">
        <f t="shared" si="3"/>
        <v>0</v>
      </c>
      <c r="D149" s="101"/>
      <c r="E149" s="101"/>
      <c r="F149" s="101"/>
    </row>
    <row r="150" spans="1:9" ht="12" customHeight="1" thickBot="1" x14ac:dyDescent="0.3">
      <c r="A150" s="10" t="s">
        <v>221</v>
      </c>
      <c r="B150" s="4" t="s">
        <v>325</v>
      </c>
      <c r="C150" s="294">
        <f t="shared" si="3"/>
        <v>0</v>
      </c>
      <c r="D150" s="101"/>
      <c r="E150" s="101"/>
      <c r="F150" s="101"/>
    </row>
    <row r="151" spans="1:9" ht="12" customHeight="1" thickBot="1" x14ac:dyDescent="0.3">
      <c r="A151" s="17" t="s">
        <v>22</v>
      </c>
      <c r="B151" s="54" t="s">
        <v>429</v>
      </c>
      <c r="C151" s="295">
        <f t="shared" si="3"/>
        <v>0</v>
      </c>
      <c r="D151" s="277">
        <f>+D152+D153+D154+D155+D156</f>
        <v>0</v>
      </c>
      <c r="E151" s="120">
        <f>+E152+E153+E154+E155+E156</f>
        <v>0</v>
      </c>
      <c r="F151" s="1133">
        <f>SUM(F152:F156)</f>
        <v>0</v>
      </c>
    </row>
    <row r="152" spans="1:9" ht="12" customHeight="1" x14ac:dyDescent="0.25">
      <c r="A152" s="12" t="s">
        <v>84</v>
      </c>
      <c r="B152" s="6" t="s">
        <v>430</v>
      </c>
      <c r="C152" s="179">
        <f t="shared" si="3"/>
        <v>0</v>
      </c>
      <c r="D152" s="101"/>
      <c r="E152" s="101"/>
      <c r="F152" s="101"/>
    </row>
    <row r="153" spans="1:9" ht="12" customHeight="1" x14ac:dyDescent="0.25">
      <c r="A153" s="12" t="s">
        <v>85</v>
      </c>
      <c r="B153" s="6" t="s">
        <v>431</v>
      </c>
      <c r="C153" s="293">
        <f t="shared" si="3"/>
        <v>0</v>
      </c>
      <c r="D153" s="101"/>
      <c r="E153" s="101"/>
      <c r="F153" s="101"/>
    </row>
    <row r="154" spans="1:9" ht="12" customHeight="1" x14ac:dyDescent="0.25">
      <c r="A154" s="12" t="s">
        <v>232</v>
      </c>
      <c r="B154" s="6" t="s">
        <v>432</v>
      </c>
      <c r="C154" s="293">
        <f t="shared" si="3"/>
        <v>0</v>
      </c>
      <c r="D154" s="101"/>
      <c r="E154" s="101"/>
      <c r="F154" s="101"/>
    </row>
    <row r="155" spans="1:9" ht="12" customHeight="1" x14ac:dyDescent="0.25">
      <c r="A155" s="12" t="s">
        <v>233</v>
      </c>
      <c r="B155" s="6" t="s">
        <v>433</v>
      </c>
      <c r="C155" s="293">
        <f t="shared" si="3"/>
        <v>0</v>
      </c>
      <c r="D155" s="101"/>
      <c r="E155" s="101"/>
      <c r="F155" s="101"/>
    </row>
    <row r="156" spans="1:9" ht="12" customHeight="1" thickBot="1" x14ac:dyDescent="0.3">
      <c r="A156" s="12" t="s">
        <v>434</v>
      </c>
      <c r="B156" s="6" t="s">
        <v>435</v>
      </c>
      <c r="C156" s="294">
        <f t="shared" si="3"/>
        <v>0</v>
      </c>
      <c r="D156" s="102"/>
      <c r="E156" s="102"/>
      <c r="F156" s="101"/>
    </row>
    <row r="157" spans="1:9" ht="12" customHeight="1" thickBot="1" x14ac:dyDescent="0.3">
      <c r="A157" s="17" t="s">
        <v>23</v>
      </c>
      <c r="B157" s="54" t="s">
        <v>436</v>
      </c>
      <c r="C157" s="112">
        <f t="shared" si="3"/>
        <v>0</v>
      </c>
      <c r="D157" s="277"/>
      <c r="E157" s="120"/>
      <c r="F157" s="1134"/>
    </row>
    <row r="158" spans="1:9" ht="12" customHeight="1" thickBot="1" x14ac:dyDescent="0.3">
      <c r="A158" s="17" t="s">
        <v>24</v>
      </c>
      <c r="B158" s="54" t="s">
        <v>437</v>
      </c>
      <c r="C158" s="111">
        <f t="shared" si="3"/>
        <v>0</v>
      </c>
      <c r="D158" s="277"/>
      <c r="E158" s="120"/>
      <c r="F158" s="1134"/>
    </row>
    <row r="159" spans="1:9" ht="15" customHeight="1" thickBot="1" x14ac:dyDescent="0.3">
      <c r="A159" s="17" t="s">
        <v>25</v>
      </c>
      <c r="B159" s="54" t="s">
        <v>438</v>
      </c>
      <c r="C159" s="111">
        <f t="shared" si="3"/>
        <v>922292497</v>
      </c>
      <c r="D159" s="278">
        <f>+D135+D139+D146+D151+D157+D158</f>
        <v>922292497</v>
      </c>
      <c r="E159" s="194">
        <f>+E135+E139+E146+E151+E157+E158</f>
        <v>0</v>
      </c>
      <c r="F159" s="1135">
        <f>+F135+F139+F146+F151+F157+F158</f>
        <v>0</v>
      </c>
      <c r="G159" s="195"/>
      <c r="H159" s="195"/>
      <c r="I159" s="195"/>
    </row>
    <row r="160" spans="1:9" s="183" customFormat="1" ht="12.95" customHeight="1" thickBot="1" x14ac:dyDescent="0.25">
      <c r="A160" s="110" t="s">
        <v>26</v>
      </c>
      <c r="B160" s="169" t="s">
        <v>439</v>
      </c>
      <c r="C160" s="112">
        <f>SUM(D160:F160)</f>
        <v>5424813122</v>
      </c>
      <c r="D160" s="278">
        <f>+D134+D159</f>
        <v>4408657623</v>
      </c>
      <c r="E160" s="194">
        <f>+E134+E159</f>
        <v>14379609</v>
      </c>
      <c r="F160" s="1135">
        <f>+F134+F159</f>
        <v>1001775890</v>
      </c>
    </row>
    <row r="161" spans="1:6" x14ac:dyDescent="0.25">
      <c r="A161" s="1431" t="s">
        <v>308</v>
      </c>
      <c r="B161" s="1431"/>
      <c r="C161" s="1431"/>
    </row>
    <row r="162" spans="1:6" ht="9.75" customHeight="1" thickBot="1" x14ac:dyDescent="0.3">
      <c r="A162" s="1434" t="s">
        <v>117</v>
      </c>
      <c r="B162" s="1434"/>
      <c r="C162" s="121" t="s">
        <v>494</v>
      </c>
    </row>
    <row r="163" spans="1:6" ht="21" customHeight="1" thickBot="1" x14ac:dyDescent="0.3">
      <c r="A163" s="17">
        <v>1</v>
      </c>
      <c r="B163" s="22" t="s">
        <v>440</v>
      </c>
      <c r="C163" s="112">
        <f>+C69-C134</f>
        <v>-644249111</v>
      </c>
    </row>
    <row r="164" spans="1:6" ht="21.75" thickBot="1" x14ac:dyDescent="0.3">
      <c r="A164" s="17" t="s">
        <v>17</v>
      </c>
      <c r="B164" s="22" t="s">
        <v>762</v>
      </c>
      <c r="C164" s="112">
        <f>+C93-C159</f>
        <v>1016472979</v>
      </c>
    </row>
    <row r="165" spans="1:6" x14ac:dyDescent="0.25">
      <c r="F165" s="297"/>
    </row>
  </sheetData>
  <mergeCells count="10">
    <mergeCell ref="A3:C3"/>
    <mergeCell ref="A4:C4"/>
    <mergeCell ref="A5:C5"/>
    <mergeCell ref="A1:C1"/>
    <mergeCell ref="A162:B162"/>
    <mergeCell ref="A7:C7"/>
    <mergeCell ref="A8:B8"/>
    <mergeCell ref="A95:C95"/>
    <mergeCell ref="A96:B96"/>
    <mergeCell ref="A161:C161"/>
  </mergeCells>
  <printOptions horizontalCentered="1"/>
  <pageMargins left="0.6692913385826772" right="0.6692913385826772" top="0.86614173228346458" bottom="0.86614173228346458" header="0" footer="0"/>
  <pageSetup paperSize="9" scale="77" fitToHeight="0" orientation="portrait" r:id="rId1"/>
  <headerFooter alignWithMargins="0"/>
  <rowBreaks count="1" manualBreakCount="1">
    <brk id="94" max="5" man="1"/>
  </rowBreak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9"/>
  <dimension ref="A1:F56"/>
  <sheetViews>
    <sheetView workbookViewId="0">
      <selection activeCell="D6" sqref="D6"/>
    </sheetView>
  </sheetViews>
  <sheetFormatPr defaultRowHeight="12.75" x14ac:dyDescent="0.2"/>
  <cols>
    <col min="1" max="1" width="13.83203125" style="96" customWidth="1"/>
    <col min="2" max="2" width="79.1640625" style="774" customWidth="1"/>
    <col min="3" max="3" width="25" style="333" customWidth="1"/>
    <col min="4" max="256" width="9.33203125" style="774"/>
    <col min="257" max="257" width="13.83203125" style="774" customWidth="1"/>
    <col min="258" max="258" width="79.1640625" style="774" customWidth="1"/>
    <col min="259" max="259" width="25" style="774" customWidth="1"/>
    <col min="260" max="512" width="9.33203125" style="774"/>
    <col min="513" max="513" width="13.83203125" style="774" customWidth="1"/>
    <col min="514" max="514" width="79.1640625" style="774" customWidth="1"/>
    <col min="515" max="515" width="25" style="774" customWidth="1"/>
    <col min="516" max="768" width="9.33203125" style="774"/>
    <col min="769" max="769" width="13.83203125" style="774" customWidth="1"/>
    <col min="770" max="770" width="79.1640625" style="774" customWidth="1"/>
    <col min="771" max="771" width="25" style="774" customWidth="1"/>
    <col min="772" max="1024" width="9.33203125" style="774"/>
    <col min="1025" max="1025" width="13.83203125" style="774" customWidth="1"/>
    <col min="1026" max="1026" width="79.1640625" style="774" customWidth="1"/>
    <col min="1027" max="1027" width="25" style="774" customWidth="1"/>
    <col min="1028" max="1280" width="9.33203125" style="774"/>
    <col min="1281" max="1281" width="13.83203125" style="774" customWidth="1"/>
    <col min="1282" max="1282" width="79.1640625" style="774" customWidth="1"/>
    <col min="1283" max="1283" width="25" style="774" customWidth="1"/>
    <col min="1284" max="1536" width="9.33203125" style="774"/>
    <col min="1537" max="1537" width="13.83203125" style="774" customWidth="1"/>
    <col min="1538" max="1538" width="79.1640625" style="774" customWidth="1"/>
    <col min="1539" max="1539" width="25" style="774" customWidth="1"/>
    <col min="1540" max="1792" width="9.33203125" style="774"/>
    <col min="1793" max="1793" width="13.83203125" style="774" customWidth="1"/>
    <col min="1794" max="1794" width="79.1640625" style="774" customWidth="1"/>
    <col min="1795" max="1795" width="25" style="774" customWidth="1"/>
    <col min="1796" max="2048" width="9.33203125" style="774"/>
    <col min="2049" max="2049" width="13.83203125" style="774" customWidth="1"/>
    <col min="2050" max="2050" width="79.1640625" style="774" customWidth="1"/>
    <col min="2051" max="2051" width="25" style="774" customWidth="1"/>
    <col min="2052" max="2304" width="9.33203125" style="774"/>
    <col min="2305" max="2305" width="13.83203125" style="774" customWidth="1"/>
    <col min="2306" max="2306" width="79.1640625" style="774" customWidth="1"/>
    <col min="2307" max="2307" width="25" style="774" customWidth="1"/>
    <col min="2308" max="2560" width="9.33203125" style="774"/>
    <col min="2561" max="2561" width="13.83203125" style="774" customWidth="1"/>
    <col min="2562" max="2562" width="79.1640625" style="774" customWidth="1"/>
    <col min="2563" max="2563" width="25" style="774" customWidth="1"/>
    <col min="2564" max="2816" width="9.33203125" style="774"/>
    <col min="2817" max="2817" width="13.83203125" style="774" customWidth="1"/>
    <col min="2818" max="2818" width="79.1640625" style="774" customWidth="1"/>
    <col min="2819" max="2819" width="25" style="774" customWidth="1"/>
    <col min="2820" max="3072" width="9.33203125" style="774"/>
    <col min="3073" max="3073" width="13.83203125" style="774" customWidth="1"/>
    <col min="3074" max="3074" width="79.1640625" style="774" customWidth="1"/>
    <col min="3075" max="3075" width="25" style="774" customWidth="1"/>
    <col min="3076" max="3328" width="9.33203125" style="774"/>
    <col min="3329" max="3329" width="13.83203125" style="774" customWidth="1"/>
    <col min="3330" max="3330" width="79.1640625" style="774" customWidth="1"/>
    <col min="3331" max="3331" width="25" style="774" customWidth="1"/>
    <col min="3332" max="3584" width="9.33203125" style="774"/>
    <col min="3585" max="3585" width="13.83203125" style="774" customWidth="1"/>
    <col min="3586" max="3586" width="79.1640625" style="774" customWidth="1"/>
    <col min="3587" max="3587" width="25" style="774" customWidth="1"/>
    <col min="3588" max="3840" width="9.33203125" style="774"/>
    <col min="3841" max="3841" width="13.83203125" style="774" customWidth="1"/>
    <col min="3842" max="3842" width="79.1640625" style="774" customWidth="1"/>
    <col min="3843" max="3843" width="25" style="774" customWidth="1"/>
    <col min="3844" max="4096" width="9.33203125" style="774"/>
    <col min="4097" max="4097" width="13.83203125" style="774" customWidth="1"/>
    <col min="4098" max="4098" width="79.1640625" style="774" customWidth="1"/>
    <col min="4099" max="4099" width="25" style="774" customWidth="1"/>
    <col min="4100" max="4352" width="9.33203125" style="774"/>
    <col min="4353" max="4353" width="13.83203125" style="774" customWidth="1"/>
    <col min="4354" max="4354" width="79.1640625" style="774" customWidth="1"/>
    <col min="4355" max="4355" width="25" style="774" customWidth="1"/>
    <col min="4356" max="4608" width="9.33203125" style="774"/>
    <col min="4609" max="4609" width="13.83203125" style="774" customWidth="1"/>
    <col min="4610" max="4610" width="79.1640625" style="774" customWidth="1"/>
    <col min="4611" max="4611" width="25" style="774" customWidth="1"/>
    <col min="4612" max="4864" width="9.33203125" style="774"/>
    <col min="4865" max="4865" width="13.83203125" style="774" customWidth="1"/>
    <col min="4866" max="4866" width="79.1640625" style="774" customWidth="1"/>
    <col min="4867" max="4867" width="25" style="774" customWidth="1"/>
    <col min="4868" max="5120" width="9.33203125" style="774"/>
    <col min="5121" max="5121" width="13.83203125" style="774" customWidth="1"/>
    <col min="5122" max="5122" width="79.1640625" style="774" customWidth="1"/>
    <col min="5123" max="5123" width="25" style="774" customWidth="1"/>
    <col min="5124" max="5376" width="9.33203125" style="774"/>
    <col min="5377" max="5377" width="13.83203125" style="774" customWidth="1"/>
    <col min="5378" max="5378" width="79.1640625" style="774" customWidth="1"/>
    <col min="5379" max="5379" width="25" style="774" customWidth="1"/>
    <col min="5380" max="5632" width="9.33203125" style="774"/>
    <col min="5633" max="5633" width="13.83203125" style="774" customWidth="1"/>
    <col min="5634" max="5634" width="79.1640625" style="774" customWidth="1"/>
    <col min="5635" max="5635" width="25" style="774" customWidth="1"/>
    <col min="5636" max="5888" width="9.33203125" style="774"/>
    <col min="5889" max="5889" width="13.83203125" style="774" customWidth="1"/>
    <col min="5890" max="5890" width="79.1640625" style="774" customWidth="1"/>
    <col min="5891" max="5891" width="25" style="774" customWidth="1"/>
    <col min="5892" max="6144" width="9.33203125" style="774"/>
    <col min="6145" max="6145" width="13.83203125" style="774" customWidth="1"/>
    <col min="6146" max="6146" width="79.1640625" style="774" customWidth="1"/>
    <col min="6147" max="6147" width="25" style="774" customWidth="1"/>
    <col min="6148" max="6400" width="9.33203125" style="774"/>
    <col min="6401" max="6401" width="13.83203125" style="774" customWidth="1"/>
    <col min="6402" max="6402" width="79.1640625" style="774" customWidth="1"/>
    <col min="6403" max="6403" width="25" style="774" customWidth="1"/>
    <col min="6404" max="6656" width="9.33203125" style="774"/>
    <col min="6657" max="6657" width="13.83203125" style="774" customWidth="1"/>
    <col min="6658" max="6658" width="79.1640625" style="774" customWidth="1"/>
    <col min="6659" max="6659" width="25" style="774" customWidth="1"/>
    <col min="6660" max="6912" width="9.33203125" style="774"/>
    <col min="6913" max="6913" width="13.83203125" style="774" customWidth="1"/>
    <col min="6914" max="6914" width="79.1640625" style="774" customWidth="1"/>
    <col min="6915" max="6915" width="25" style="774" customWidth="1"/>
    <col min="6916" max="7168" width="9.33203125" style="774"/>
    <col min="7169" max="7169" width="13.83203125" style="774" customWidth="1"/>
    <col min="7170" max="7170" width="79.1640625" style="774" customWidth="1"/>
    <col min="7171" max="7171" width="25" style="774" customWidth="1"/>
    <col min="7172" max="7424" width="9.33203125" style="774"/>
    <col min="7425" max="7425" width="13.83203125" style="774" customWidth="1"/>
    <col min="7426" max="7426" width="79.1640625" style="774" customWidth="1"/>
    <col min="7427" max="7427" width="25" style="774" customWidth="1"/>
    <col min="7428" max="7680" width="9.33203125" style="774"/>
    <col min="7681" max="7681" width="13.83203125" style="774" customWidth="1"/>
    <col min="7682" max="7682" width="79.1640625" style="774" customWidth="1"/>
    <col min="7683" max="7683" width="25" style="774" customWidth="1"/>
    <col min="7684" max="7936" width="9.33203125" style="774"/>
    <col min="7937" max="7937" width="13.83203125" style="774" customWidth="1"/>
    <col min="7938" max="7938" width="79.1640625" style="774" customWidth="1"/>
    <col min="7939" max="7939" width="25" style="774" customWidth="1"/>
    <col min="7940" max="8192" width="9.33203125" style="774"/>
    <col min="8193" max="8193" width="13.83203125" style="774" customWidth="1"/>
    <col min="8194" max="8194" width="79.1640625" style="774" customWidth="1"/>
    <col min="8195" max="8195" width="25" style="774" customWidth="1"/>
    <col min="8196" max="8448" width="9.33203125" style="774"/>
    <col min="8449" max="8449" width="13.83203125" style="774" customWidth="1"/>
    <col min="8450" max="8450" width="79.1640625" style="774" customWidth="1"/>
    <col min="8451" max="8451" width="25" style="774" customWidth="1"/>
    <col min="8452" max="8704" width="9.33203125" style="774"/>
    <col min="8705" max="8705" width="13.83203125" style="774" customWidth="1"/>
    <col min="8706" max="8706" width="79.1640625" style="774" customWidth="1"/>
    <col min="8707" max="8707" width="25" style="774" customWidth="1"/>
    <col min="8708" max="8960" width="9.33203125" style="774"/>
    <col min="8961" max="8961" width="13.83203125" style="774" customWidth="1"/>
    <col min="8962" max="8962" width="79.1640625" style="774" customWidth="1"/>
    <col min="8963" max="8963" width="25" style="774" customWidth="1"/>
    <col min="8964" max="9216" width="9.33203125" style="774"/>
    <col min="9217" max="9217" width="13.83203125" style="774" customWidth="1"/>
    <col min="9218" max="9218" width="79.1640625" style="774" customWidth="1"/>
    <col min="9219" max="9219" width="25" style="774" customWidth="1"/>
    <col min="9220" max="9472" width="9.33203125" style="774"/>
    <col min="9473" max="9473" width="13.83203125" style="774" customWidth="1"/>
    <col min="9474" max="9474" width="79.1640625" style="774" customWidth="1"/>
    <col min="9475" max="9475" width="25" style="774" customWidth="1"/>
    <col min="9476" max="9728" width="9.33203125" style="774"/>
    <col min="9729" max="9729" width="13.83203125" style="774" customWidth="1"/>
    <col min="9730" max="9730" width="79.1640625" style="774" customWidth="1"/>
    <col min="9731" max="9731" width="25" style="774" customWidth="1"/>
    <col min="9732" max="9984" width="9.33203125" style="774"/>
    <col min="9985" max="9985" width="13.83203125" style="774" customWidth="1"/>
    <col min="9986" max="9986" width="79.1640625" style="774" customWidth="1"/>
    <col min="9987" max="9987" width="25" style="774" customWidth="1"/>
    <col min="9988" max="10240" width="9.33203125" style="774"/>
    <col min="10241" max="10241" width="13.83203125" style="774" customWidth="1"/>
    <col min="10242" max="10242" width="79.1640625" style="774" customWidth="1"/>
    <col min="10243" max="10243" width="25" style="774" customWidth="1"/>
    <col min="10244" max="10496" width="9.33203125" style="774"/>
    <col min="10497" max="10497" width="13.83203125" style="774" customWidth="1"/>
    <col min="10498" max="10498" width="79.1640625" style="774" customWidth="1"/>
    <col min="10499" max="10499" width="25" style="774" customWidth="1"/>
    <col min="10500" max="10752" width="9.33203125" style="774"/>
    <col min="10753" max="10753" width="13.83203125" style="774" customWidth="1"/>
    <col min="10754" max="10754" width="79.1640625" style="774" customWidth="1"/>
    <col min="10755" max="10755" width="25" style="774" customWidth="1"/>
    <col min="10756" max="11008" width="9.33203125" style="774"/>
    <col min="11009" max="11009" width="13.83203125" style="774" customWidth="1"/>
    <col min="11010" max="11010" width="79.1640625" style="774" customWidth="1"/>
    <col min="11011" max="11011" width="25" style="774" customWidth="1"/>
    <col min="11012" max="11264" width="9.33203125" style="774"/>
    <col min="11265" max="11265" width="13.83203125" style="774" customWidth="1"/>
    <col min="11266" max="11266" width="79.1640625" style="774" customWidth="1"/>
    <col min="11267" max="11267" width="25" style="774" customWidth="1"/>
    <col min="11268" max="11520" width="9.33203125" style="774"/>
    <col min="11521" max="11521" width="13.83203125" style="774" customWidth="1"/>
    <col min="11522" max="11522" width="79.1640625" style="774" customWidth="1"/>
    <col min="11523" max="11523" width="25" style="774" customWidth="1"/>
    <col min="11524" max="11776" width="9.33203125" style="774"/>
    <col min="11777" max="11777" width="13.83203125" style="774" customWidth="1"/>
    <col min="11778" max="11778" width="79.1640625" style="774" customWidth="1"/>
    <col min="11779" max="11779" width="25" style="774" customWidth="1"/>
    <col min="11780" max="12032" width="9.33203125" style="774"/>
    <col min="12033" max="12033" width="13.83203125" style="774" customWidth="1"/>
    <col min="12034" max="12034" width="79.1640625" style="774" customWidth="1"/>
    <col min="12035" max="12035" width="25" style="774" customWidth="1"/>
    <col min="12036" max="12288" width="9.33203125" style="774"/>
    <col min="12289" max="12289" width="13.83203125" style="774" customWidth="1"/>
    <col min="12290" max="12290" width="79.1640625" style="774" customWidth="1"/>
    <col min="12291" max="12291" width="25" style="774" customWidth="1"/>
    <col min="12292" max="12544" width="9.33203125" style="774"/>
    <col min="12545" max="12545" width="13.83203125" style="774" customWidth="1"/>
    <col min="12546" max="12546" width="79.1640625" style="774" customWidth="1"/>
    <col min="12547" max="12547" width="25" style="774" customWidth="1"/>
    <col min="12548" max="12800" width="9.33203125" style="774"/>
    <col min="12801" max="12801" width="13.83203125" style="774" customWidth="1"/>
    <col min="12802" max="12802" width="79.1640625" style="774" customWidth="1"/>
    <col min="12803" max="12803" width="25" style="774" customWidth="1"/>
    <col min="12804" max="13056" width="9.33203125" style="774"/>
    <col min="13057" max="13057" width="13.83203125" style="774" customWidth="1"/>
    <col min="13058" max="13058" width="79.1640625" style="774" customWidth="1"/>
    <col min="13059" max="13059" width="25" style="774" customWidth="1"/>
    <col min="13060" max="13312" width="9.33203125" style="774"/>
    <col min="13313" max="13313" width="13.83203125" style="774" customWidth="1"/>
    <col min="13314" max="13314" width="79.1640625" style="774" customWidth="1"/>
    <col min="13315" max="13315" width="25" style="774" customWidth="1"/>
    <col min="13316" max="13568" width="9.33203125" style="774"/>
    <col min="13569" max="13569" width="13.83203125" style="774" customWidth="1"/>
    <col min="13570" max="13570" width="79.1640625" style="774" customWidth="1"/>
    <col min="13571" max="13571" width="25" style="774" customWidth="1"/>
    <col min="13572" max="13824" width="9.33203125" style="774"/>
    <col min="13825" max="13825" width="13.83203125" style="774" customWidth="1"/>
    <col min="13826" max="13826" width="79.1640625" style="774" customWidth="1"/>
    <col min="13827" max="13827" width="25" style="774" customWidth="1"/>
    <col min="13828" max="14080" width="9.33203125" style="774"/>
    <col min="14081" max="14081" width="13.83203125" style="774" customWidth="1"/>
    <col min="14082" max="14082" width="79.1640625" style="774" customWidth="1"/>
    <col min="14083" max="14083" width="25" style="774" customWidth="1"/>
    <col min="14084" max="14336" width="9.33203125" style="774"/>
    <col min="14337" max="14337" width="13.83203125" style="774" customWidth="1"/>
    <col min="14338" max="14338" width="79.1640625" style="774" customWidth="1"/>
    <col min="14339" max="14339" width="25" style="774" customWidth="1"/>
    <col min="14340" max="14592" width="9.33203125" style="774"/>
    <col min="14593" max="14593" width="13.83203125" style="774" customWidth="1"/>
    <col min="14594" max="14594" width="79.1640625" style="774" customWidth="1"/>
    <col min="14595" max="14595" width="25" style="774" customWidth="1"/>
    <col min="14596" max="14848" width="9.33203125" style="774"/>
    <col min="14849" max="14849" width="13.83203125" style="774" customWidth="1"/>
    <col min="14850" max="14850" width="79.1640625" style="774" customWidth="1"/>
    <col min="14851" max="14851" width="25" style="774" customWidth="1"/>
    <col min="14852" max="15104" width="9.33203125" style="774"/>
    <col min="15105" max="15105" width="13.83203125" style="774" customWidth="1"/>
    <col min="15106" max="15106" width="79.1640625" style="774" customWidth="1"/>
    <col min="15107" max="15107" width="25" style="774" customWidth="1"/>
    <col min="15108" max="15360" width="9.33203125" style="774"/>
    <col min="15361" max="15361" width="13.83203125" style="774" customWidth="1"/>
    <col min="15362" max="15362" width="79.1640625" style="774" customWidth="1"/>
    <col min="15363" max="15363" width="25" style="774" customWidth="1"/>
    <col min="15364" max="15616" width="9.33203125" style="774"/>
    <col min="15617" max="15617" width="13.83203125" style="774" customWidth="1"/>
    <col min="15618" max="15618" width="79.1640625" style="774" customWidth="1"/>
    <col min="15619" max="15619" width="25" style="774" customWidth="1"/>
    <col min="15620" max="15872" width="9.33203125" style="774"/>
    <col min="15873" max="15873" width="13.83203125" style="774" customWidth="1"/>
    <col min="15874" max="15874" width="79.1640625" style="774" customWidth="1"/>
    <col min="15875" max="15875" width="25" style="774" customWidth="1"/>
    <col min="15876" max="16128" width="9.33203125" style="774"/>
    <col min="16129" max="16129" width="13.83203125" style="774" customWidth="1"/>
    <col min="16130" max="16130" width="79.1640625" style="774" customWidth="1"/>
    <col min="16131" max="16131" width="25" style="774" customWidth="1"/>
    <col min="16132" max="16384" width="9.33203125" style="774"/>
  </cols>
  <sheetData>
    <row r="1" spans="1:6" ht="12.75" customHeight="1" x14ac:dyDescent="0.2">
      <c r="A1" s="1482" t="str">
        <f>CONCATENATE("13. melléklet"," ",ALAPADATOK!A7," ",ALAPADATOK!B7," ",ALAPADATOK!C7," ",ALAPADATOK!D7," ",ALAPADATOK!E7," ",ALAPADATOK!F7," ",ALAPADATOK!G7," ",ALAPADATOK!H7)</f>
        <v>13. melléklet a 19 / 2021. ( XI.29. ) önkormányzati rendelethez</v>
      </c>
      <c r="B1" s="1482"/>
      <c r="C1" s="1482"/>
    </row>
    <row r="2" spans="1:6" s="77" customFormat="1" ht="21" customHeight="1" x14ac:dyDescent="0.2">
      <c r="A2" s="76"/>
      <c r="B2" s="78"/>
      <c r="C2" s="961"/>
    </row>
    <row r="3" spans="1:6" s="217" customFormat="1" ht="33" customHeight="1" thickBot="1" x14ac:dyDescent="0.25">
      <c r="A3" s="1442" t="s">
        <v>1040</v>
      </c>
      <c r="B3" s="1442"/>
      <c r="C3" s="1442"/>
      <c r="E3" s="497"/>
      <c r="F3" s="497"/>
    </row>
    <row r="4" spans="1:6" ht="13.5" thickBot="1" x14ac:dyDescent="0.25">
      <c r="A4" s="1310" t="s">
        <v>154</v>
      </c>
      <c r="B4" s="81" t="s">
        <v>50</v>
      </c>
      <c r="C4" s="330" t="s">
        <v>1033</v>
      </c>
      <c r="E4" s="797"/>
      <c r="F4" s="797"/>
    </row>
    <row r="5" spans="1:6" s="219" customFormat="1" ht="12.95" customHeight="1" thickBot="1" x14ac:dyDescent="0.25">
      <c r="A5" s="71" t="s">
        <v>391</v>
      </c>
      <c r="B5" s="72" t="s">
        <v>392</v>
      </c>
      <c r="C5" s="331" t="s">
        <v>393</v>
      </c>
      <c r="E5" s="498"/>
      <c r="F5" s="498"/>
    </row>
    <row r="6" spans="1:6" s="219" customFormat="1" ht="15.95" customHeight="1" thickBot="1" x14ac:dyDescent="0.25">
      <c r="A6" s="83"/>
      <c r="B6" s="84" t="s">
        <v>52</v>
      </c>
      <c r="C6" s="332"/>
    </row>
    <row r="7" spans="1:6" s="168" customFormat="1" ht="12" customHeight="1" thickBot="1" x14ac:dyDescent="0.25">
      <c r="A7" s="71" t="s">
        <v>16</v>
      </c>
      <c r="B7" s="86" t="s">
        <v>467</v>
      </c>
      <c r="C7" s="569">
        <f>SUM(C8:C18)</f>
        <v>8197206</v>
      </c>
    </row>
    <row r="8" spans="1:6" s="168" customFormat="1" ht="12" customHeight="1" x14ac:dyDescent="0.2">
      <c r="A8" s="211" t="s">
        <v>86</v>
      </c>
      <c r="B8" s="7" t="s">
        <v>209</v>
      </c>
      <c r="C8" s="570"/>
    </row>
    <row r="9" spans="1:6" s="168" customFormat="1" ht="12" customHeight="1" x14ac:dyDescent="0.2">
      <c r="A9" s="212" t="s">
        <v>87</v>
      </c>
      <c r="B9" s="5" t="s">
        <v>210</v>
      </c>
      <c r="C9" s="571">
        <v>600000</v>
      </c>
    </row>
    <row r="10" spans="1:6" s="168" customFormat="1" ht="12" customHeight="1" x14ac:dyDescent="0.2">
      <c r="A10" s="212" t="s">
        <v>88</v>
      </c>
      <c r="B10" s="5" t="s">
        <v>211</v>
      </c>
      <c r="C10" s="571">
        <v>4600000</v>
      </c>
    </row>
    <row r="11" spans="1:6" s="168" customFormat="1" ht="12" customHeight="1" x14ac:dyDescent="0.2">
      <c r="A11" s="212" t="s">
        <v>89</v>
      </c>
      <c r="B11" s="5" t="s">
        <v>212</v>
      </c>
      <c r="C11" s="571"/>
    </row>
    <row r="12" spans="1:6" s="168" customFormat="1" ht="12" customHeight="1" x14ac:dyDescent="0.2">
      <c r="A12" s="212" t="s">
        <v>112</v>
      </c>
      <c r="B12" s="5" t="s">
        <v>213</v>
      </c>
      <c r="C12" s="571">
        <v>1011380</v>
      </c>
    </row>
    <row r="13" spans="1:6" s="168" customFormat="1" ht="12" customHeight="1" x14ac:dyDescent="0.2">
      <c r="A13" s="212" t="s">
        <v>90</v>
      </c>
      <c r="B13" s="5" t="s">
        <v>333</v>
      </c>
      <c r="C13" s="571">
        <v>1677073</v>
      </c>
    </row>
    <row r="14" spans="1:6" s="168" customFormat="1" ht="12" customHeight="1" x14ac:dyDescent="0.2">
      <c r="A14" s="212" t="s">
        <v>91</v>
      </c>
      <c r="B14" s="4" t="s">
        <v>334</v>
      </c>
      <c r="C14" s="571">
        <v>305753</v>
      </c>
    </row>
    <row r="15" spans="1:6" s="168" customFormat="1" ht="12" customHeight="1" x14ac:dyDescent="0.2">
      <c r="A15" s="212" t="s">
        <v>101</v>
      </c>
      <c r="B15" s="5" t="s">
        <v>216</v>
      </c>
      <c r="C15" s="572"/>
    </row>
    <row r="16" spans="1:6" s="220" customFormat="1" ht="12" customHeight="1" x14ac:dyDescent="0.2">
      <c r="A16" s="212" t="s">
        <v>102</v>
      </c>
      <c r="B16" s="5" t="s">
        <v>217</v>
      </c>
      <c r="C16" s="571"/>
    </row>
    <row r="17" spans="1:3" s="220" customFormat="1" ht="12" customHeight="1" x14ac:dyDescent="0.2">
      <c r="A17" s="212" t="s">
        <v>103</v>
      </c>
      <c r="B17" s="5" t="s">
        <v>397</v>
      </c>
      <c r="C17" s="573"/>
    </row>
    <row r="18" spans="1:3" s="220" customFormat="1" ht="12" customHeight="1" thickBot="1" x14ac:dyDescent="0.25">
      <c r="A18" s="212" t="s">
        <v>104</v>
      </c>
      <c r="B18" s="4" t="s">
        <v>218</v>
      </c>
      <c r="C18" s="573">
        <v>3000</v>
      </c>
    </row>
    <row r="19" spans="1:3" s="168" customFormat="1" ht="12" customHeight="1" thickBot="1" x14ac:dyDescent="0.25">
      <c r="A19" s="71" t="s">
        <v>17</v>
      </c>
      <c r="B19" s="86" t="s">
        <v>335</v>
      </c>
      <c r="C19" s="569">
        <f>SUM(C20:C22)</f>
        <v>0</v>
      </c>
    </row>
    <row r="20" spans="1:3" s="220" customFormat="1" ht="12" customHeight="1" x14ac:dyDescent="0.2">
      <c r="A20" s="212" t="s">
        <v>92</v>
      </c>
      <c r="B20" s="6" t="s">
        <v>187</v>
      </c>
      <c r="C20" s="574"/>
    </row>
    <row r="21" spans="1:3" s="220" customFormat="1" ht="12" customHeight="1" x14ac:dyDescent="0.2">
      <c r="A21" s="212" t="s">
        <v>93</v>
      </c>
      <c r="B21" s="5" t="s">
        <v>336</v>
      </c>
      <c r="C21" s="571"/>
    </row>
    <row r="22" spans="1:3" s="220" customFormat="1" ht="12" customHeight="1" x14ac:dyDescent="0.2">
      <c r="A22" s="212" t="s">
        <v>94</v>
      </c>
      <c r="B22" s="5" t="s">
        <v>337</v>
      </c>
      <c r="C22" s="575"/>
    </row>
    <row r="23" spans="1:3" s="220" customFormat="1" ht="12" customHeight="1" thickBot="1" x14ac:dyDescent="0.25">
      <c r="A23" s="212" t="s">
        <v>95</v>
      </c>
      <c r="B23" s="5" t="s">
        <v>468</v>
      </c>
      <c r="C23" s="571"/>
    </row>
    <row r="24" spans="1:3" s="220" customFormat="1" ht="12" customHeight="1" thickBot="1" x14ac:dyDescent="0.25">
      <c r="A24" s="74" t="s">
        <v>18</v>
      </c>
      <c r="B24" s="54" t="s">
        <v>126</v>
      </c>
      <c r="C24" s="576"/>
    </row>
    <row r="25" spans="1:3" s="220" customFormat="1" ht="12" customHeight="1" thickBot="1" x14ac:dyDescent="0.25">
      <c r="A25" s="74" t="s">
        <v>19</v>
      </c>
      <c r="B25" s="54" t="s">
        <v>469</v>
      </c>
      <c r="C25" s="569">
        <f>+C26+C27+C28</f>
        <v>0</v>
      </c>
    </row>
    <row r="26" spans="1:3" s="220" customFormat="1" ht="12" customHeight="1" x14ac:dyDescent="0.2">
      <c r="A26" s="213" t="s">
        <v>197</v>
      </c>
      <c r="B26" s="214" t="s">
        <v>192</v>
      </c>
      <c r="C26" s="577"/>
    </row>
    <row r="27" spans="1:3" s="220" customFormat="1" ht="12" customHeight="1" x14ac:dyDescent="0.2">
      <c r="A27" s="213" t="s">
        <v>200</v>
      </c>
      <c r="B27" s="214" t="s">
        <v>336</v>
      </c>
      <c r="C27" s="574"/>
    </row>
    <row r="28" spans="1:3" s="220" customFormat="1" ht="12" customHeight="1" x14ac:dyDescent="0.2">
      <c r="A28" s="213" t="s">
        <v>201</v>
      </c>
      <c r="B28" s="215" t="s">
        <v>338</v>
      </c>
      <c r="C28" s="574"/>
    </row>
    <row r="29" spans="1:3" s="220" customFormat="1" ht="12" customHeight="1" thickBot="1" x14ac:dyDescent="0.25">
      <c r="A29" s="212" t="s">
        <v>202</v>
      </c>
      <c r="B29" s="57" t="s">
        <v>470</v>
      </c>
      <c r="C29" s="578"/>
    </row>
    <row r="30" spans="1:3" s="220" customFormat="1" ht="12" customHeight="1" thickBot="1" x14ac:dyDescent="0.25">
      <c r="A30" s="74" t="s">
        <v>20</v>
      </c>
      <c r="B30" s="54" t="s">
        <v>339</v>
      </c>
      <c r="C30" s="569">
        <f>+C31+C32+C33</f>
        <v>0</v>
      </c>
    </row>
    <row r="31" spans="1:3" s="220" customFormat="1" ht="12" customHeight="1" x14ac:dyDescent="0.2">
      <c r="A31" s="213" t="s">
        <v>79</v>
      </c>
      <c r="B31" s="214" t="s">
        <v>223</v>
      </c>
      <c r="C31" s="577"/>
    </row>
    <row r="32" spans="1:3" s="220" customFormat="1" ht="12" customHeight="1" x14ac:dyDescent="0.2">
      <c r="A32" s="213" t="s">
        <v>80</v>
      </c>
      <c r="B32" s="215" t="s">
        <v>224</v>
      </c>
      <c r="C32" s="572"/>
    </row>
    <row r="33" spans="1:3" s="168" customFormat="1" ht="12" customHeight="1" thickBot="1" x14ac:dyDescent="0.25">
      <c r="A33" s="212" t="s">
        <v>81</v>
      </c>
      <c r="B33" s="57" t="s">
        <v>225</v>
      </c>
      <c r="C33" s="578"/>
    </row>
    <row r="34" spans="1:3" s="168" customFormat="1" ht="12" customHeight="1" thickBot="1" x14ac:dyDescent="0.25">
      <c r="A34" s="74" t="s">
        <v>21</v>
      </c>
      <c r="B34" s="54" t="s">
        <v>311</v>
      </c>
      <c r="C34" s="144">
        <v>274000</v>
      </c>
    </row>
    <row r="35" spans="1:3" s="168" customFormat="1" ht="12" customHeight="1" thickBot="1" x14ac:dyDescent="0.25">
      <c r="A35" s="74" t="s">
        <v>22</v>
      </c>
      <c r="B35" s="54" t="s">
        <v>340</v>
      </c>
      <c r="C35" s="160"/>
    </row>
    <row r="36" spans="1:3" s="168" customFormat="1" ht="12" customHeight="1" thickBot="1" x14ac:dyDescent="0.25">
      <c r="A36" s="71" t="s">
        <v>23</v>
      </c>
      <c r="B36" s="54" t="s">
        <v>341</v>
      </c>
      <c r="C36" s="857">
        <f>+C7+C19+C24+C25+C30+C34+C35</f>
        <v>8471206</v>
      </c>
    </row>
    <row r="37" spans="1:3" s="168" customFormat="1" ht="12" customHeight="1" thickBot="1" x14ac:dyDescent="0.25">
      <c r="A37" s="962" t="s">
        <v>24</v>
      </c>
      <c r="B37" s="54" t="s">
        <v>342</v>
      </c>
      <c r="C37" s="857">
        <f>+C38+C39+C40</f>
        <v>336795653</v>
      </c>
    </row>
    <row r="38" spans="1:3" s="168" customFormat="1" ht="12" customHeight="1" x14ac:dyDescent="0.2">
      <c r="A38" s="213" t="s">
        <v>343</v>
      </c>
      <c r="B38" s="214" t="s">
        <v>168</v>
      </c>
      <c r="C38" s="853">
        <v>1261346</v>
      </c>
    </row>
    <row r="39" spans="1:3" s="220" customFormat="1" ht="12" customHeight="1" x14ac:dyDescent="0.2">
      <c r="A39" s="213" t="s">
        <v>344</v>
      </c>
      <c r="B39" s="215" t="s">
        <v>6</v>
      </c>
      <c r="C39" s="127"/>
    </row>
    <row r="40" spans="1:3" s="220" customFormat="1" ht="15" customHeight="1" thickBot="1" x14ac:dyDescent="0.25">
      <c r="A40" s="212" t="s">
        <v>345</v>
      </c>
      <c r="B40" s="57" t="s">
        <v>346</v>
      </c>
      <c r="C40" s="1174">
        <f>335938966-2631637-1951101+2722139+1455940</f>
        <v>335534307</v>
      </c>
    </row>
    <row r="41" spans="1:3" s="220" customFormat="1" ht="15" customHeight="1" thickBot="1" x14ac:dyDescent="0.25">
      <c r="A41" s="962" t="s">
        <v>25</v>
      </c>
      <c r="B41" s="963" t="s">
        <v>347</v>
      </c>
      <c r="C41" s="581">
        <f>+C36+C37</f>
        <v>345266859</v>
      </c>
    </row>
    <row r="42" spans="1:3" s="221" customFormat="1" ht="12" customHeight="1" thickBot="1" x14ac:dyDescent="0.25">
      <c r="A42" s="93"/>
      <c r="B42" s="94" t="s">
        <v>53</v>
      </c>
      <c r="C42" s="581"/>
    </row>
    <row r="43" spans="1:3" ht="12" customHeight="1" thickBot="1" x14ac:dyDescent="0.25">
      <c r="A43" s="74" t="s">
        <v>16</v>
      </c>
      <c r="B43" s="54" t="s">
        <v>348</v>
      </c>
      <c r="C43" s="569">
        <f>SUM(C44:C48)</f>
        <v>344466859</v>
      </c>
    </row>
    <row r="44" spans="1:3" ht="12" customHeight="1" x14ac:dyDescent="0.2">
      <c r="A44" s="212" t="s">
        <v>86</v>
      </c>
      <c r="B44" s="6" t="s">
        <v>46</v>
      </c>
      <c r="C44" s="858">
        <f>218334179-1760664+18000+64010+2356830+263273+1260554</f>
        <v>220536182</v>
      </c>
    </row>
    <row r="45" spans="1:3" ht="12" customHeight="1" x14ac:dyDescent="0.2">
      <c r="A45" s="212" t="s">
        <v>87</v>
      </c>
      <c r="B45" s="5" t="s">
        <v>135</v>
      </c>
      <c r="C45" s="859">
        <f>38909967-272903+35990+365309+36727+195386</f>
        <v>39270476</v>
      </c>
    </row>
    <row r="46" spans="1:3" ht="12" customHeight="1" x14ac:dyDescent="0.2">
      <c r="A46" s="212" t="s">
        <v>88</v>
      </c>
      <c r="B46" s="5" t="s">
        <v>111</v>
      </c>
      <c r="C46" s="854">
        <f>87035872-280570+256000-1951101-100000-300000</f>
        <v>84660201</v>
      </c>
    </row>
    <row r="47" spans="1:3" ht="12" customHeight="1" x14ac:dyDescent="0.2">
      <c r="A47" s="212" t="s">
        <v>89</v>
      </c>
      <c r="B47" s="5" t="s">
        <v>136</v>
      </c>
      <c r="C47" s="571"/>
    </row>
    <row r="48" spans="1:3" ht="12" customHeight="1" thickBot="1" x14ac:dyDescent="0.25">
      <c r="A48" s="212" t="s">
        <v>112</v>
      </c>
      <c r="B48" s="5" t="s">
        <v>137</v>
      </c>
      <c r="C48" s="571"/>
    </row>
    <row r="49" spans="1:3" s="221" customFormat="1" ht="12" customHeight="1" thickBot="1" x14ac:dyDescent="0.25">
      <c r="A49" s="74" t="s">
        <v>17</v>
      </c>
      <c r="B49" s="54" t="s">
        <v>349</v>
      </c>
      <c r="C49" s="569">
        <f>SUM(C50:C52)</f>
        <v>800000</v>
      </c>
    </row>
    <row r="50" spans="1:3" ht="12" customHeight="1" x14ac:dyDescent="0.2">
      <c r="A50" s="212" t="s">
        <v>92</v>
      </c>
      <c r="B50" s="6" t="s">
        <v>159</v>
      </c>
      <c r="C50" s="577">
        <v>800000</v>
      </c>
    </row>
    <row r="51" spans="1:3" ht="12" customHeight="1" x14ac:dyDescent="0.2">
      <c r="A51" s="212" t="s">
        <v>93</v>
      </c>
      <c r="B51" s="5" t="s">
        <v>139</v>
      </c>
      <c r="C51" s="571">
        <f>317500-317500</f>
        <v>0</v>
      </c>
    </row>
    <row r="52" spans="1:3" ht="12" customHeight="1" x14ac:dyDescent="0.2">
      <c r="A52" s="212" t="s">
        <v>94</v>
      </c>
      <c r="B52" s="5" t="s">
        <v>54</v>
      </c>
      <c r="C52" s="571"/>
    </row>
    <row r="53" spans="1:3" ht="15" customHeight="1" thickBot="1" x14ac:dyDescent="0.25">
      <c r="A53" s="212" t="s">
        <v>95</v>
      </c>
      <c r="B53" s="5" t="s">
        <v>471</v>
      </c>
      <c r="C53" s="571"/>
    </row>
    <row r="54" spans="1:3" ht="13.5" thickBot="1" x14ac:dyDescent="0.25">
      <c r="A54" s="74" t="s">
        <v>18</v>
      </c>
      <c r="B54" s="54" t="s">
        <v>12</v>
      </c>
      <c r="C54" s="576"/>
    </row>
    <row r="55" spans="1:3" ht="15" customHeight="1" thickBot="1" x14ac:dyDescent="0.25">
      <c r="A55" s="74" t="s">
        <v>19</v>
      </c>
      <c r="B55" s="95" t="s">
        <v>472</v>
      </c>
      <c r="C55" s="584">
        <f>+C43+C49+C54</f>
        <v>345266859</v>
      </c>
    </row>
    <row r="56" spans="1:3" ht="13.5" thickBot="1" x14ac:dyDescent="0.25">
      <c r="A56" s="1477" t="s">
        <v>465</v>
      </c>
      <c r="B56" s="1478"/>
      <c r="C56" s="416">
        <f>54-0.67</f>
        <v>53.33</v>
      </c>
    </row>
  </sheetData>
  <sheetProtection formatCells="0"/>
  <mergeCells count="3">
    <mergeCell ref="A1:C1"/>
    <mergeCell ref="A56:B56"/>
    <mergeCell ref="A3:C3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30"/>
  <dimension ref="A1:C61"/>
  <sheetViews>
    <sheetView workbookViewId="0">
      <selection activeCell="B51" sqref="B51"/>
    </sheetView>
  </sheetViews>
  <sheetFormatPr defaultRowHeight="12.75" x14ac:dyDescent="0.2"/>
  <cols>
    <col min="1" max="1" width="13.83203125" style="826" customWidth="1"/>
    <col min="2" max="2" width="79.1640625" style="826" customWidth="1"/>
    <col min="3" max="3" width="25" style="826" customWidth="1"/>
    <col min="4" max="16384" width="9.33203125" style="826"/>
  </cols>
  <sheetData>
    <row r="1" spans="1:3" x14ac:dyDescent="0.2">
      <c r="A1" s="1482" t="str">
        <f>CONCATENATE("9.3.2. melléklet"," ",ALAPADATOK!A7," ",ALAPADATOK!B7," ",ALAPADATOK!C7," ",ALAPADATOK!D7," ",ALAPADATOK!E7," ",ALAPADATOK!F7," ",ALAPADATOK!G7," ",ALAPADATOK!H7)</f>
        <v>9.3.2. melléklet a 19 / 2021. ( XI.29. ) önkormányzati rendelethez</v>
      </c>
      <c r="B1" s="1482"/>
      <c r="C1" s="1482"/>
    </row>
    <row r="2" spans="1:3" ht="16.5" thickBot="1" x14ac:dyDescent="0.25">
      <c r="A2" s="76"/>
      <c r="B2" s="78"/>
      <c r="C2" s="964"/>
    </row>
    <row r="3" spans="1:3" ht="33.75" customHeight="1" x14ac:dyDescent="0.2">
      <c r="A3" s="174" t="s">
        <v>153</v>
      </c>
      <c r="B3" s="154" t="s">
        <v>367</v>
      </c>
      <c r="C3" s="166" t="s">
        <v>57</v>
      </c>
    </row>
    <row r="4" spans="1:3" ht="24.75" thickBot="1" x14ac:dyDescent="0.25">
      <c r="A4" s="210" t="s">
        <v>152</v>
      </c>
      <c r="B4" s="155" t="s">
        <v>350</v>
      </c>
      <c r="C4" s="167" t="s">
        <v>56</v>
      </c>
    </row>
    <row r="5" spans="1:3" ht="14.25" thickBot="1" x14ac:dyDescent="0.3">
      <c r="A5" s="79"/>
      <c r="B5" s="79"/>
      <c r="C5" s="80" t="s">
        <v>495</v>
      </c>
    </row>
    <row r="6" spans="1:3" ht="13.5" thickBot="1" x14ac:dyDescent="0.25">
      <c r="A6" s="175" t="s">
        <v>154</v>
      </c>
      <c r="B6" s="81" t="s">
        <v>50</v>
      </c>
      <c r="C6" s="82" t="s">
        <v>51</v>
      </c>
    </row>
    <row r="7" spans="1:3" ht="13.5" thickBot="1" x14ac:dyDescent="0.25">
      <c r="A7" s="71" t="s">
        <v>391</v>
      </c>
      <c r="B7" s="72" t="s">
        <v>392</v>
      </c>
      <c r="C7" s="73" t="s">
        <v>393</v>
      </c>
    </row>
    <row r="8" spans="1:3" ht="13.5" thickBot="1" x14ac:dyDescent="0.25">
      <c r="A8" s="83"/>
      <c r="B8" s="84" t="s">
        <v>52</v>
      </c>
      <c r="C8" s="85"/>
    </row>
    <row r="9" spans="1:3" ht="13.5" thickBot="1" x14ac:dyDescent="0.25">
      <c r="A9" s="71" t="s">
        <v>16</v>
      </c>
      <c r="B9" s="86" t="s">
        <v>467</v>
      </c>
      <c r="C9" s="856">
        <f>SUM(C10:C20)</f>
        <v>0</v>
      </c>
    </row>
    <row r="10" spans="1:3" x14ac:dyDescent="0.2">
      <c r="A10" s="211" t="s">
        <v>86</v>
      </c>
      <c r="B10" s="7" t="s">
        <v>209</v>
      </c>
      <c r="C10" s="158"/>
    </row>
    <row r="11" spans="1:3" x14ac:dyDescent="0.2">
      <c r="A11" s="212" t="s">
        <v>87</v>
      </c>
      <c r="B11" s="5" t="s">
        <v>210</v>
      </c>
      <c r="C11" s="854"/>
    </row>
    <row r="12" spans="1:3" x14ac:dyDescent="0.2">
      <c r="A12" s="212" t="s">
        <v>88</v>
      </c>
      <c r="B12" s="5" t="s">
        <v>211</v>
      </c>
      <c r="C12" s="854"/>
    </row>
    <row r="13" spans="1:3" x14ac:dyDescent="0.2">
      <c r="A13" s="212" t="s">
        <v>89</v>
      </c>
      <c r="B13" s="5" t="s">
        <v>212</v>
      </c>
      <c r="C13" s="854"/>
    </row>
    <row r="14" spans="1:3" x14ac:dyDescent="0.2">
      <c r="A14" s="212" t="s">
        <v>112</v>
      </c>
      <c r="B14" s="5" t="s">
        <v>213</v>
      </c>
      <c r="C14" s="854"/>
    </row>
    <row r="15" spans="1:3" x14ac:dyDescent="0.2">
      <c r="A15" s="212" t="s">
        <v>90</v>
      </c>
      <c r="B15" s="5" t="s">
        <v>333</v>
      </c>
      <c r="C15" s="854"/>
    </row>
    <row r="16" spans="1:3" x14ac:dyDescent="0.2">
      <c r="A16" s="212" t="s">
        <v>91</v>
      </c>
      <c r="B16" s="4" t="s">
        <v>334</v>
      </c>
      <c r="C16" s="854"/>
    </row>
    <row r="17" spans="1:3" x14ac:dyDescent="0.2">
      <c r="A17" s="212" t="s">
        <v>101</v>
      </c>
      <c r="B17" s="5" t="s">
        <v>216</v>
      </c>
      <c r="C17" s="127"/>
    </row>
    <row r="18" spans="1:3" x14ac:dyDescent="0.2">
      <c r="A18" s="212" t="s">
        <v>102</v>
      </c>
      <c r="B18" s="5" t="s">
        <v>217</v>
      </c>
      <c r="C18" s="854"/>
    </row>
    <row r="19" spans="1:3" x14ac:dyDescent="0.2">
      <c r="A19" s="212" t="s">
        <v>103</v>
      </c>
      <c r="B19" s="5" t="s">
        <v>397</v>
      </c>
      <c r="C19" s="414"/>
    </row>
    <row r="20" spans="1:3" ht="13.5" thickBot="1" x14ac:dyDescent="0.25">
      <c r="A20" s="212" t="s">
        <v>104</v>
      </c>
      <c r="B20" s="4" t="s">
        <v>218</v>
      </c>
      <c r="C20" s="414"/>
    </row>
    <row r="21" spans="1:3" ht="13.5" thickBot="1" x14ac:dyDescent="0.25">
      <c r="A21" s="71" t="s">
        <v>17</v>
      </c>
      <c r="B21" s="86" t="s">
        <v>335</v>
      </c>
      <c r="C21" s="856">
        <f>SUM(C22:C24)</f>
        <v>0</v>
      </c>
    </row>
    <row r="22" spans="1:3" x14ac:dyDescent="0.2">
      <c r="A22" s="212" t="s">
        <v>92</v>
      </c>
      <c r="B22" s="6" t="s">
        <v>187</v>
      </c>
      <c r="C22" s="124"/>
    </row>
    <row r="23" spans="1:3" x14ac:dyDescent="0.2">
      <c r="A23" s="212" t="s">
        <v>93</v>
      </c>
      <c r="B23" s="5" t="s">
        <v>336</v>
      </c>
      <c r="C23" s="854"/>
    </row>
    <row r="24" spans="1:3" x14ac:dyDescent="0.2">
      <c r="A24" s="212" t="s">
        <v>94</v>
      </c>
      <c r="B24" s="5" t="s">
        <v>337</v>
      </c>
      <c r="C24" s="859"/>
    </row>
    <row r="25" spans="1:3" ht="13.5" thickBot="1" x14ac:dyDescent="0.25">
      <c r="A25" s="212" t="s">
        <v>95</v>
      </c>
      <c r="B25" s="5" t="s">
        <v>468</v>
      </c>
      <c r="C25" s="854"/>
    </row>
    <row r="26" spans="1:3" ht="13.5" thickBot="1" x14ac:dyDescent="0.25">
      <c r="A26" s="74" t="s">
        <v>18</v>
      </c>
      <c r="B26" s="54" t="s">
        <v>126</v>
      </c>
      <c r="C26" s="144"/>
    </row>
    <row r="27" spans="1:3" ht="13.5" thickBot="1" x14ac:dyDescent="0.25">
      <c r="A27" s="74" t="s">
        <v>19</v>
      </c>
      <c r="B27" s="54" t="s">
        <v>469</v>
      </c>
      <c r="C27" s="856">
        <f>+C28+C29+C30</f>
        <v>0</v>
      </c>
    </row>
    <row r="28" spans="1:3" x14ac:dyDescent="0.2">
      <c r="A28" s="213" t="s">
        <v>197</v>
      </c>
      <c r="B28" s="214" t="s">
        <v>192</v>
      </c>
      <c r="C28" s="853"/>
    </row>
    <row r="29" spans="1:3" x14ac:dyDescent="0.2">
      <c r="A29" s="213" t="s">
        <v>200</v>
      </c>
      <c r="B29" s="214" t="s">
        <v>336</v>
      </c>
      <c r="C29" s="124"/>
    </row>
    <row r="30" spans="1:3" x14ac:dyDescent="0.2">
      <c r="A30" s="213" t="s">
        <v>201</v>
      </c>
      <c r="B30" s="215" t="s">
        <v>338</v>
      </c>
      <c r="C30" s="124"/>
    </row>
    <row r="31" spans="1:3" ht="13.5" thickBot="1" x14ac:dyDescent="0.25">
      <c r="A31" s="212" t="s">
        <v>202</v>
      </c>
      <c r="B31" s="57" t="s">
        <v>470</v>
      </c>
      <c r="C31" s="855"/>
    </row>
    <row r="32" spans="1:3" ht="13.5" thickBot="1" x14ac:dyDescent="0.25">
      <c r="A32" s="74" t="s">
        <v>20</v>
      </c>
      <c r="B32" s="54" t="s">
        <v>339</v>
      </c>
      <c r="C32" s="856">
        <f>+C33+C34+C35</f>
        <v>0</v>
      </c>
    </row>
    <row r="33" spans="1:3" x14ac:dyDescent="0.2">
      <c r="A33" s="213" t="s">
        <v>79</v>
      </c>
      <c r="B33" s="214" t="s">
        <v>223</v>
      </c>
      <c r="C33" s="853"/>
    </row>
    <row r="34" spans="1:3" x14ac:dyDescent="0.2">
      <c r="A34" s="213" t="s">
        <v>80</v>
      </c>
      <c r="B34" s="215" t="s">
        <v>224</v>
      </c>
      <c r="C34" s="127"/>
    </row>
    <row r="35" spans="1:3" ht="13.5" thickBot="1" x14ac:dyDescent="0.25">
      <c r="A35" s="212" t="s">
        <v>81</v>
      </c>
      <c r="B35" s="57" t="s">
        <v>225</v>
      </c>
      <c r="C35" s="855"/>
    </row>
    <row r="36" spans="1:3" ht="13.5" thickBot="1" x14ac:dyDescent="0.25">
      <c r="A36" s="74" t="s">
        <v>21</v>
      </c>
      <c r="B36" s="54" t="s">
        <v>311</v>
      </c>
      <c r="C36" s="144"/>
    </row>
    <row r="37" spans="1:3" ht="13.5" thickBot="1" x14ac:dyDescent="0.25">
      <c r="A37" s="74" t="s">
        <v>22</v>
      </c>
      <c r="B37" s="54" t="s">
        <v>340</v>
      </c>
      <c r="C37" s="160"/>
    </row>
    <row r="38" spans="1:3" ht="13.5" thickBot="1" x14ac:dyDescent="0.25">
      <c r="A38" s="71" t="s">
        <v>23</v>
      </c>
      <c r="B38" s="54" t="s">
        <v>341</v>
      </c>
      <c r="C38" s="857">
        <f>+C9+C21+C26+C27+C32+C36+C37</f>
        <v>0</v>
      </c>
    </row>
    <row r="39" spans="1:3" ht="13.5" thickBot="1" x14ac:dyDescent="0.25">
      <c r="A39" s="962" t="s">
        <v>24</v>
      </c>
      <c r="B39" s="54" t="s">
        <v>342</v>
      </c>
      <c r="C39" s="857">
        <f>+C40+C41+C42</f>
        <v>0</v>
      </c>
    </row>
    <row r="40" spans="1:3" x14ac:dyDescent="0.2">
      <c r="A40" s="213" t="s">
        <v>343</v>
      </c>
      <c r="B40" s="214" t="s">
        <v>168</v>
      </c>
      <c r="C40" s="853"/>
    </row>
    <row r="41" spans="1:3" x14ac:dyDescent="0.2">
      <c r="A41" s="213" t="s">
        <v>344</v>
      </c>
      <c r="B41" s="215" t="s">
        <v>6</v>
      </c>
      <c r="C41" s="127"/>
    </row>
    <row r="42" spans="1:3" ht="13.5" thickBot="1" x14ac:dyDescent="0.25">
      <c r="A42" s="212" t="s">
        <v>345</v>
      </c>
      <c r="B42" s="57" t="s">
        <v>346</v>
      </c>
      <c r="C42" s="855"/>
    </row>
    <row r="43" spans="1:3" ht="13.5" thickBot="1" x14ac:dyDescent="0.25">
      <c r="A43" s="962" t="s">
        <v>25</v>
      </c>
      <c r="B43" s="963" t="s">
        <v>347</v>
      </c>
      <c r="C43" s="163">
        <f>+C38+C39</f>
        <v>0</v>
      </c>
    </row>
    <row r="44" spans="1:3" x14ac:dyDescent="0.2">
      <c r="A44" s="89"/>
      <c r="B44" s="90"/>
      <c r="C44" s="161"/>
    </row>
    <row r="45" spans="1:3" ht="13.5" thickBot="1" x14ac:dyDescent="0.25">
      <c r="A45" s="91"/>
      <c r="B45" s="92"/>
      <c r="C45" s="162"/>
    </row>
    <row r="46" spans="1:3" ht="13.5" thickBot="1" x14ac:dyDescent="0.25">
      <c r="A46" s="93"/>
      <c r="B46" s="94" t="s">
        <v>53</v>
      </c>
      <c r="C46" s="163"/>
    </row>
    <row r="47" spans="1:3" ht="13.5" thickBot="1" x14ac:dyDescent="0.25">
      <c r="A47" s="74" t="s">
        <v>16</v>
      </c>
      <c r="B47" s="54" t="s">
        <v>348</v>
      </c>
      <c r="C47" s="856">
        <f>SUM(C48:C52)</f>
        <v>0</v>
      </c>
    </row>
    <row r="48" spans="1:3" x14ac:dyDescent="0.2">
      <c r="A48" s="212" t="s">
        <v>86</v>
      </c>
      <c r="B48" s="6" t="s">
        <v>46</v>
      </c>
      <c r="C48" s="858"/>
    </row>
    <row r="49" spans="1:3" x14ac:dyDescent="0.2">
      <c r="A49" s="212" t="s">
        <v>87</v>
      </c>
      <c r="B49" s="5" t="s">
        <v>135</v>
      </c>
      <c r="C49" s="859"/>
    </row>
    <row r="50" spans="1:3" x14ac:dyDescent="0.2">
      <c r="A50" s="212" t="s">
        <v>88</v>
      </c>
      <c r="B50" s="5" t="s">
        <v>111</v>
      </c>
      <c r="C50" s="571"/>
    </row>
    <row r="51" spans="1:3" x14ac:dyDescent="0.2">
      <c r="A51" s="212" t="s">
        <v>89</v>
      </c>
      <c r="B51" s="5" t="s">
        <v>136</v>
      </c>
      <c r="C51" s="854"/>
    </row>
    <row r="52" spans="1:3" ht="13.5" thickBot="1" x14ac:dyDescent="0.25">
      <c r="A52" s="212" t="s">
        <v>112</v>
      </c>
      <c r="B52" s="5" t="s">
        <v>137</v>
      </c>
      <c r="C52" s="854"/>
    </row>
    <row r="53" spans="1:3" ht="13.5" thickBot="1" x14ac:dyDescent="0.25">
      <c r="A53" s="74" t="s">
        <v>17</v>
      </c>
      <c r="B53" s="54" t="s">
        <v>349</v>
      </c>
      <c r="C53" s="856">
        <f>SUM(C54:C56)</f>
        <v>0</v>
      </c>
    </row>
    <row r="54" spans="1:3" x14ac:dyDescent="0.2">
      <c r="A54" s="212" t="s">
        <v>92</v>
      </c>
      <c r="B54" s="6" t="s">
        <v>159</v>
      </c>
      <c r="C54" s="858"/>
    </row>
    <row r="55" spans="1:3" x14ac:dyDescent="0.2">
      <c r="A55" s="212" t="s">
        <v>93</v>
      </c>
      <c r="B55" s="5" t="s">
        <v>139</v>
      </c>
      <c r="C55" s="854"/>
    </row>
    <row r="56" spans="1:3" x14ac:dyDescent="0.2">
      <c r="A56" s="212" t="s">
        <v>94</v>
      </c>
      <c r="B56" s="5" t="s">
        <v>54</v>
      </c>
      <c r="C56" s="854"/>
    </row>
    <row r="57" spans="1:3" ht="13.5" thickBot="1" x14ac:dyDescent="0.25">
      <c r="A57" s="212" t="s">
        <v>95</v>
      </c>
      <c r="B57" s="5" t="s">
        <v>471</v>
      </c>
      <c r="C57" s="854"/>
    </row>
    <row r="58" spans="1:3" ht="13.5" thickBot="1" x14ac:dyDescent="0.25">
      <c r="A58" s="74" t="s">
        <v>18</v>
      </c>
      <c r="B58" s="54" t="s">
        <v>12</v>
      </c>
      <c r="C58" s="144"/>
    </row>
    <row r="59" spans="1:3" ht="13.5" thickBot="1" x14ac:dyDescent="0.25">
      <c r="A59" s="74" t="s">
        <v>19</v>
      </c>
      <c r="B59" s="95" t="s">
        <v>472</v>
      </c>
      <c r="C59" s="164">
        <f>+C47+C53+C58</f>
        <v>0</v>
      </c>
    </row>
    <row r="60" spans="1:3" ht="13.5" thickBot="1" x14ac:dyDescent="0.25">
      <c r="A60" s="96"/>
      <c r="B60" s="774"/>
      <c r="C60" s="319"/>
    </row>
    <row r="61" spans="1:3" ht="13.5" thickBot="1" x14ac:dyDescent="0.25">
      <c r="A61" s="97" t="s">
        <v>465</v>
      </c>
      <c r="B61" s="98"/>
      <c r="C61" s="416"/>
    </row>
  </sheetData>
  <mergeCells count="1">
    <mergeCell ref="A1:C1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1" orientation="portrait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31"/>
  <dimension ref="A1:P60"/>
  <sheetViews>
    <sheetView workbookViewId="0">
      <selection activeCell="I6" sqref="I6"/>
    </sheetView>
  </sheetViews>
  <sheetFormatPr defaultRowHeight="12.75" x14ac:dyDescent="0.2"/>
  <cols>
    <col min="1" max="1" width="13.83203125" style="96" customWidth="1"/>
    <col min="2" max="2" width="79.1640625" style="774" customWidth="1"/>
    <col min="3" max="3" width="25" style="333" customWidth="1"/>
    <col min="4" max="4" width="9.33203125" style="774" hidden="1" customWidth="1"/>
    <col min="5" max="5" width="11.83203125" style="797" hidden="1" customWidth="1"/>
    <col min="6" max="6" width="12.6640625" style="797" hidden="1" customWidth="1"/>
    <col min="7" max="7" width="9.33203125" style="774" customWidth="1"/>
    <col min="8" max="256" width="9.33203125" style="774"/>
    <col min="257" max="257" width="13.83203125" style="774" customWidth="1"/>
    <col min="258" max="258" width="79.1640625" style="774" customWidth="1"/>
    <col min="259" max="259" width="25" style="774" customWidth="1"/>
    <col min="260" max="512" width="9.33203125" style="774"/>
    <col min="513" max="513" width="13.83203125" style="774" customWidth="1"/>
    <col min="514" max="514" width="79.1640625" style="774" customWidth="1"/>
    <col min="515" max="515" width="25" style="774" customWidth="1"/>
    <col min="516" max="768" width="9.33203125" style="774"/>
    <col min="769" max="769" width="13.83203125" style="774" customWidth="1"/>
    <col min="770" max="770" width="79.1640625" style="774" customWidth="1"/>
    <col min="771" max="771" width="25" style="774" customWidth="1"/>
    <col min="772" max="1024" width="9.33203125" style="774"/>
    <col min="1025" max="1025" width="13.83203125" style="774" customWidth="1"/>
    <col min="1026" max="1026" width="79.1640625" style="774" customWidth="1"/>
    <col min="1027" max="1027" width="25" style="774" customWidth="1"/>
    <col min="1028" max="1280" width="9.33203125" style="774"/>
    <col min="1281" max="1281" width="13.83203125" style="774" customWidth="1"/>
    <col min="1282" max="1282" width="79.1640625" style="774" customWidth="1"/>
    <col min="1283" max="1283" width="25" style="774" customWidth="1"/>
    <col min="1284" max="1536" width="9.33203125" style="774"/>
    <col min="1537" max="1537" width="13.83203125" style="774" customWidth="1"/>
    <col min="1538" max="1538" width="79.1640625" style="774" customWidth="1"/>
    <col min="1539" max="1539" width="25" style="774" customWidth="1"/>
    <col min="1540" max="1792" width="9.33203125" style="774"/>
    <col min="1793" max="1793" width="13.83203125" style="774" customWidth="1"/>
    <col min="1794" max="1794" width="79.1640625" style="774" customWidth="1"/>
    <col min="1795" max="1795" width="25" style="774" customWidth="1"/>
    <col min="1796" max="2048" width="9.33203125" style="774"/>
    <col min="2049" max="2049" width="13.83203125" style="774" customWidth="1"/>
    <col min="2050" max="2050" width="79.1640625" style="774" customWidth="1"/>
    <col min="2051" max="2051" width="25" style="774" customWidth="1"/>
    <col min="2052" max="2304" width="9.33203125" style="774"/>
    <col min="2305" max="2305" width="13.83203125" style="774" customWidth="1"/>
    <col min="2306" max="2306" width="79.1640625" style="774" customWidth="1"/>
    <col min="2307" max="2307" width="25" style="774" customWidth="1"/>
    <col min="2308" max="2560" width="9.33203125" style="774"/>
    <col min="2561" max="2561" width="13.83203125" style="774" customWidth="1"/>
    <col min="2562" max="2562" width="79.1640625" style="774" customWidth="1"/>
    <col min="2563" max="2563" width="25" style="774" customWidth="1"/>
    <col min="2564" max="2816" width="9.33203125" style="774"/>
    <col min="2817" max="2817" width="13.83203125" style="774" customWidth="1"/>
    <col min="2818" max="2818" width="79.1640625" style="774" customWidth="1"/>
    <col min="2819" max="2819" width="25" style="774" customWidth="1"/>
    <col min="2820" max="3072" width="9.33203125" style="774"/>
    <col min="3073" max="3073" width="13.83203125" style="774" customWidth="1"/>
    <col min="3074" max="3074" width="79.1640625" style="774" customWidth="1"/>
    <col min="3075" max="3075" width="25" style="774" customWidth="1"/>
    <col min="3076" max="3328" width="9.33203125" style="774"/>
    <col min="3329" max="3329" width="13.83203125" style="774" customWidth="1"/>
    <col min="3330" max="3330" width="79.1640625" style="774" customWidth="1"/>
    <col min="3331" max="3331" width="25" style="774" customWidth="1"/>
    <col min="3332" max="3584" width="9.33203125" style="774"/>
    <col min="3585" max="3585" width="13.83203125" style="774" customWidth="1"/>
    <col min="3586" max="3586" width="79.1640625" style="774" customWidth="1"/>
    <col min="3587" max="3587" width="25" style="774" customWidth="1"/>
    <col min="3588" max="3840" width="9.33203125" style="774"/>
    <col min="3841" max="3841" width="13.83203125" style="774" customWidth="1"/>
    <col min="3842" max="3842" width="79.1640625" style="774" customWidth="1"/>
    <col min="3843" max="3843" width="25" style="774" customWidth="1"/>
    <col min="3844" max="4096" width="9.33203125" style="774"/>
    <col min="4097" max="4097" width="13.83203125" style="774" customWidth="1"/>
    <col min="4098" max="4098" width="79.1640625" style="774" customWidth="1"/>
    <col min="4099" max="4099" width="25" style="774" customWidth="1"/>
    <col min="4100" max="4352" width="9.33203125" style="774"/>
    <col min="4353" max="4353" width="13.83203125" style="774" customWidth="1"/>
    <col min="4354" max="4354" width="79.1640625" style="774" customWidth="1"/>
    <col min="4355" max="4355" width="25" style="774" customWidth="1"/>
    <col min="4356" max="4608" width="9.33203125" style="774"/>
    <col min="4609" max="4609" width="13.83203125" style="774" customWidth="1"/>
    <col min="4610" max="4610" width="79.1640625" style="774" customWidth="1"/>
    <col min="4611" max="4611" width="25" style="774" customWidth="1"/>
    <col min="4612" max="4864" width="9.33203125" style="774"/>
    <col min="4865" max="4865" width="13.83203125" style="774" customWidth="1"/>
    <col min="4866" max="4866" width="79.1640625" style="774" customWidth="1"/>
    <col min="4867" max="4867" width="25" style="774" customWidth="1"/>
    <col min="4868" max="5120" width="9.33203125" style="774"/>
    <col min="5121" max="5121" width="13.83203125" style="774" customWidth="1"/>
    <col min="5122" max="5122" width="79.1640625" style="774" customWidth="1"/>
    <col min="5123" max="5123" width="25" style="774" customWidth="1"/>
    <col min="5124" max="5376" width="9.33203125" style="774"/>
    <col min="5377" max="5377" width="13.83203125" style="774" customWidth="1"/>
    <col min="5378" max="5378" width="79.1640625" style="774" customWidth="1"/>
    <col min="5379" max="5379" width="25" style="774" customWidth="1"/>
    <col min="5380" max="5632" width="9.33203125" style="774"/>
    <col min="5633" max="5633" width="13.83203125" style="774" customWidth="1"/>
    <col min="5634" max="5634" width="79.1640625" style="774" customWidth="1"/>
    <col min="5635" max="5635" width="25" style="774" customWidth="1"/>
    <col min="5636" max="5888" width="9.33203125" style="774"/>
    <col min="5889" max="5889" width="13.83203125" style="774" customWidth="1"/>
    <col min="5890" max="5890" width="79.1640625" style="774" customWidth="1"/>
    <col min="5891" max="5891" width="25" style="774" customWidth="1"/>
    <col min="5892" max="6144" width="9.33203125" style="774"/>
    <col min="6145" max="6145" width="13.83203125" style="774" customWidth="1"/>
    <col min="6146" max="6146" width="79.1640625" style="774" customWidth="1"/>
    <col min="6147" max="6147" width="25" style="774" customWidth="1"/>
    <col min="6148" max="6400" width="9.33203125" style="774"/>
    <col min="6401" max="6401" width="13.83203125" style="774" customWidth="1"/>
    <col min="6402" max="6402" width="79.1640625" style="774" customWidth="1"/>
    <col min="6403" max="6403" width="25" style="774" customWidth="1"/>
    <col min="6404" max="6656" width="9.33203125" style="774"/>
    <col min="6657" max="6657" width="13.83203125" style="774" customWidth="1"/>
    <col min="6658" max="6658" width="79.1640625" style="774" customWidth="1"/>
    <col min="6659" max="6659" width="25" style="774" customWidth="1"/>
    <col min="6660" max="6912" width="9.33203125" style="774"/>
    <col min="6913" max="6913" width="13.83203125" style="774" customWidth="1"/>
    <col min="6914" max="6914" width="79.1640625" style="774" customWidth="1"/>
    <col min="6915" max="6915" width="25" style="774" customWidth="1"/>
    <col min="6916" max="7168" width="9.33203125" style="774"/>
    <col min="7169" max="7169" width="13.83203125" style="774" customWidth="1"/>
    <col min="7170" max="7170" width="79.1640625" style="774" customWidth="1"/>
    <col min="7171" max="7171" width="25" style="774" customWidth="1"/>
    <col min="7172" max="7424" width="9.33203125" style="774"/>
    <col min="7425" max="7425" width="13.83203125" style="774" customWidth="1"/>
    <col min="7426" max="7426" width="79.1640625" style="774" customWidth="1"/>
    <col min="7427" max="7427" width="25" style="774" customWidth="1"/>
    <col min="7428" max="7680" width="9.33203125" style="774"/>
    <col min="7681" max="7681" width="13.83203125" style="774" customWidth="1"/>
    <col min="7682" max="7682" width="79.1640625" style="774" customWidth="1"/>
    <col min="7683" max="7683" width="25" style="774" customWidth="1"/>
    <col min="7684" max="7936" width="9.33203125" style="774"/>
    <col min="7937" max="7937" width="13.83203125" style="774" customWidth="1"/>
    <col min="7938" max="7938" width="79.1640625" style="774" customWidth="1"/>
    <col min="7939" max="7939" width="25" style="774" customWidth="1"/>
    <col min="7940" max="8192" width="9.33203125" style="774"/>
    <col min="8193" max="8193" width="13.83203125" style="774" customWidth="1"/>
    <col min="8194" max="8194" width="79.1640625" style="774" customWidth="1"/>
    <col min="8195" max="8195" width="25" style="774" customWidth="1"/>
    <col min="8196" max="8448" width="9.33203125" style="774"/>
    <col min="8449" max="8449" width="13.83203125" style="774" customWidth="1"/>
    <col min="8450" max="8450" width="79.1640625" style="774" customWidth="1"/>
    <col min="8451" max="8451" width="25" style="774" customWidth="1"/>
    <col min="8452" max="8704" width="9.33203125" style="774"/>
    <col min="8705" max="8705" width="13.83203125" style="774" customWidth="1"/>
    <col min="8706" max="8706" width="79.1640625" style="774" customWidth="1"/>
    <col min="8707" max="8707" width="25" style="774" customWidth="1"/>
    <col min="8708" max="8960" width="9.33203125" style="774"/>
    <col min="8961" max="8961" width="13.83203125" style="774" customWidth="1"/>
    <col min="8962" max="8962" width="79.1640625" style="774" customWidth="1"/>
    <col min="8963" max="8963" width="25" style="774" customWidth="1"/>
    <col min="8964" max="9216" width="9.33203125" style="774"/>
    <col min="9217" max="9217" width="13.83203125" style="774" customWidth="1"/>
    <col min="9218" max="9218" width="79.1640625" style="774" customWidth="1"/>
    <col min="9219" max="9219" width="25" style="774" customWidth="1"/>
    <col min="9220" max="9472" width="9.33203125" style="774"/>
    <col min="9473" max="9473" width="13.83203125" style="774" customWidth="1"/>
    <col min="9474" max="9474" width="79.1640625" style="774" customWidth="1"/>
    <col min="9475" max="9475" width="25" style="774" customWidth="1"/>
    <col min="9476" max="9728" width="9.33203125" style="774"/>
    <col min="9729" max="9729" width="13.83203125" style="774" customWidth="1"/>
    <col min="9730" max="9730" width="79.1640625" style="774" customWidth="1"/>
    <col min="9731" max="9731" width="25" style="774" customWidth="1"/>
    <col min="9732" max="9984" width="9.33203125" style="774"/>
    <col min="9985" max="9985" width="13.83203125" style="774" customWidth="1"/>
    <col min="9986" max="9986" width="79.1640625" style="774" customWidth="1"/>
    <col min="9987" max="9987" width="25" style="774" customWidth="1"/>
    <col min="9988" max="10240" width="9.33203125" style="774"/>
    <col min="10241" max="10241" width="13.83203125" style="774" customWidth="1"/>
    <col min="10242" max="10242" width="79.1640625" style="774" customWidth="1"/>
    <col min="10243" max="10243" width="25" style="774" customWidth="1"/>
    <col min="10244" max="10496" width="9.33203125" style="774"/>
    <col min="10497" max="10497" width="13.83203125" style="774" customWidth="1"/>
    <col min="10498" max="10498" width="79.1640625" style="774" customWidth="1"/>
    <col min="10499" max="10499" width="25" style="774" customWidth="1"/>
    <col min="10500" max="10752" width="9.33203125" style="774"/>
    <col min="10753" max="10753" width="13.83203125" style="774" customWidth="1"/>
    <col min="10754" max="10754" width="79.1640625" style="774" customWidth="1"/>
    <col min="10755" max="10755" width="25" style="774" customWidth="1"/>
    <col min="10756" max="11008" width="9.33203125" style="774"/>
    <col min="11009" max="11009" width="13.83203125" style="774" customWidth="1"/>
    <col min="11010" max="11010" width="79.1640625" style="774" customWidth="1"/>
    <col min="11011" max="11011" width="25" style="774" customWidth="1"/>
    <col min="11012" max="11264" width="9.33203125" style="774"/>
    <col min="11265" max="11265" width="13.83203125" style="774" customWidth="1"/>
    <col min="11266" max="11266" width="79.1640625" style="774" customWidth="1"/>
    <col min="11267" max="11267" width="25" style="774" customWidth="1"/>
    <col min="11268" max="11520" width="9.33203125" style="774"/>
    <col min="11521" max="11521" width="13.83203125" style="774" customWidth="1"/>
    <col min="11522" max="11522" width="79.1640625" style="774" customWidth="1"/>
    <col min="11523" max="11523" width="25" style="774" customWidth="1"/>
    <col min="11524" max="11776" width="9.33203125" style="774"/>
    <col min="11777" max="11777" width="13.83203125" style="774" customWidth="1"/>
    <col min="11778" max="11778" width="79.1640625" style="774" customWidth="1"/>
    <col min="11779" max="11779" width="25" style="774" customWidth="1"/>
    <col min="11780" max="12032" width="9.33203125" style="774"/>
    <col min="12033" max="12033" width="13.83203125" style="774" customWidth="1"/>
    <col min="12034" max="12034" width="79.1640625" style="774" customWidth="1"/>
    <col min="12035" max="12035" width="25" style="774" customWidth="1"/>
    <col min="12036" max="12288" width="9.33203125" style="774"/>
    <col min="12289" max="12289" width="13.83203125" style="774" customWidth="1"/>
    <col min="12290" max="12290" width="79.1640625" style="774" customWidth="1"/>
    <col min="12291" max="12291" width="25" style="774" customWidth="1"/>
    <col min="12292" max="12544" width="9.33203125" style="774"/>
    <col min="12545" max="12545" width="13.83203125" style="774" customWidth="1"/>
    <col min="12546" max="12546" width="79.1640625" style="774" customWidth="1"/>
    <col min="12547" max="12547" width="25" style="774" customWidth="1"/>
    <col min="12548" max="12800" width="9.33203125" style="774"/>
    <col min="12801" max="12801" width="13.83203125" style="774" customWidth="1"/>
    <col min="12802" max="12802" width="79.1640625" style="774" customWidth="1"/>
    <col min="12803" max="12803" width="25" style="774" customWidth="1"/>
    <col min="12804" max="13056" width="9.33203125" style="774"/>
    <col min="13057" max="13057" width="13.83203125" style="774" customWidth="1"/>
    <col min="13058" max="13058" width="79.1640625" style="774" customWidth="1"/>
    <col min="13059" max="13059" width="25" style="774" customWidth="1"/>
    <col min="13060" max="13312" width="9.33203125" style="774"/>
    <col min="13313" max="13313" width="13.83203125" style="774" customWidth="1"/>
    <col min="13314" max="13314" width="79.1640625" style="774" customWidth="1"/>
    <col min="13315" max="13315" width="25" style="774" customWidth="1"/>
    <col min="13316" max="13568" width="9.33203125" style="774"/>
    <col min="13569" max="13569" width="13.83203125" style="774" customWidth="1"/>
    <col min="13570" max="13570" width="79.1640625" style="774" customWidth="1"/>
    <col min="13571" max="13571" width="25" style="774" customWidth="1"/>
    <col min="13572" max="13824" width="9.33203125" style="774"/>
    <col min="13825" max="13825" width="13.83203125" style="774" customWidth="1"/>
    <col min="13826" max="13826" width="79.1640625" style="774" customWidth="1"/>
    <col min="13827" max="13827" width="25" style="774" customWidth="1"/>
    <col min="13828" max="14080" width="9.33203125" style="774"/>
    <col min="14081" max="14081" width="13.83203125" style="774" customWidth="1"/>
    <col min="14082" max="14082" width="79.1640625" style="774" customWidth="1"/>
    <col min="14083" max="14083" width="25" style="774" customWidth="1"/>
    <col min="14084" max="14336" width="9.33203125" style="774"/>
    <col min="14337" max="14337" width="13.83203125" style="774" customWidth="1"/>
    <col min="14338" max="14338" width="79.1640625" style="774" customWidth="1"/>
    <col min="14339" max="14339" width="25" style="774" customWidth="1"/>
    <col min="14340" max="14592" width="9.33203125" style="774"/>
    <col min="14593" max="14593" width="13.83203125" style="774" customWidth="1"/>
    <col min="14594" max="14594" width="79.1640625" style="774" customWidth="1"/>
    <col min="14595" max="14595" width="25" style="774" customWidth="1"/>
    <col min="14596" max="14848" width="9.33203125" style="774"/>
    <col min="14849" max="14849" width="13.83203125" style="774" customWidth="1"/>
    <col min="14850" max="14850" width="79.1640625" style="774" customWidth="1"/>
    <col min="14851" max="14851" width="25" style="774" customWidth="1"/>
    <col min="14852" max="15104" width="9.33203125" style="774"/>
    <col min="15105" max="15105" width="13.83203125" style="774" customWidth="1"/>
    <col min="15106" max="15106" width="79.1640625" style="774" customWidth="1"/>
    <col min="15107" max="15107" width="25" style="774" customWidth="1"/>
    <col min="15108" max="15360" width="9.33203125" style="774"/>
    <col min="15361" max="15361" width="13.83203125" style="774" customWidth="1"/>
    <col min="15362" max="15362" width="79.1640625" style="774" customWidth="1"/>
    <col min="15363" max="15363" width="25" style="774" customWidth="1"/>
    <col min="15364" max="15616" width="9.33203125" style="774"/>
    <col min="15617" max="15617" width="13.83203125" style="774" customWidth="1"/>
    <col min="15618" max="15618" width="79.1640625" style="774" customWidth="1"/>
    <col min="15619" max="15619" width="25" style="774" customWidth="1"/>
    <col min="15620" max="15872" width="9.33203125" style="774"/>
    <col min="15873" max="15873" width="13.83203125" style="774" customWidth="1"/>
    <col min="15874" max="15874" width="79.1640625" style="774" customWidth="1"/>
    <col min="15875" max="15875" width="25" style="774" customWidth="1"/>
    <col min="15876" max="16128" width="9.33203125" style="774"/>
    <col min="16129" max="16129" width="13.83203125" style="774" customWidth="1"/>
    <col min="16130" max="16130" width="79.1640625" style="774" customWidth="1"/>
    <col min="16131" max="16131" width="25" style="774" customWidth="1"/>
    <col min="16132" max="16384" width="9.33203125" style="774"/>
  </cols>
  <sheetData>
    <row r="1" spans="1:16" ht="12.75" customHeight="1" x14ac:dyDescent="0.2">
      <c r="A1" s="1482" t="str">
        <f>CONCATENATE("14. melléklet"," ",ALAPADATOK!A7," ",ALAPADATOK!B7," ",ALAPADATOK!C7," ",ALAPADATOK!D7," ",ALAPADATOK!E7," ",ALAPADATOK!F7," ",ALAPADATOK!G7," ",ALAPADATOK!H7)</f>
        <v>14. melléklet a 19 / 2021. ( XI.29. ) önkormányzati rendelethez</v>
      </c>
      <c r="B1" s="1482"/>
      <c r="C1" s="1482"/>
    </row>
    <row r="2" spans="1:16" s="77" customFormat="1" ht="21" customHeight="1" x14ac:dyDescent="0.2">
      <c r="A2" s="76"/>
      <c r="B2" s="78"/>
      <c r="C2" s="961"/>
      <c r="E2" s="797"/>
      <c r="F2" s="797"/>
    </row>
    <row r="3" spans="1:16" s="217" customFormat="1" ht="36" customHeight="1" thickBot="1" x14ac:dyDescent="0.25">
      <c r="A3" s="1442" t="s">
        <v>1077</v>
      </c>
      <c r="B3" s="1442"/>
      <c r="C3" s="1442"/>
      <c r="E3" s="497"/>
      <c r="F3" s="497"/>
    </row>
    <row r="4" spans="1:16" ht="13.5" thickBot="1" x14ac:dyDescent="0.25">
      <c r="A4" s="175" t="s">
        <v>154</v>
      </c>
      <c r="B4" s="81" t="s">
        <v>50</v>
      </c>
      <c r="C4" s="330" t="s">
        <v>1033</v>
      </c>
    </row>
    <row r="5" spans="1:16" s="219" customFormat="1" ht="12.95" customHeight="1" thickBot="1" x14ac:dyDescent="0.25">
      <c r="A5" s="71" t="s">
        <v>391</v>
      </c>
      <c r="B5" s="72" t="s">
        <v>392</v>
      </c>
      <c r="C5" s="331" t="s">
        <v>393</v>
      </c>
      <c r="E5" s="498"/>
      <c r="F5" s="498"/>
    </row>
    <row r="6" spans="1:16" s="219" customFormat="1" ht="15.95" customHeight="1" thickBot="1" x14ac:dyDescent="0.25">
      <c r="A6" s="83"/>
      <c r="B6" s="84" t="s">
        <v>52</v>
      </c>
      <c r="C6" s="332"/>
      <c r="E6" s="498"/>
      <c r="F6" s="498"/>
      <c r="M6" s="502"/>
    </row>
    <row r="7" spans="1:16" s="168" customFormat="1" ht="12" customHeight="1" thickBot="1" x14ac:dyDescent="0.25">
      <c r="A7" s="71" t="s">
        <v>16</v>
      </c>
      <c r="B7" s="86" t="s">
        <v>467</v>
      </c>
      <c r="C7" s="569">
        <f>SUM(C8:C18)</f>
        <v>13517834</v>
      </c>
      <c r="E7" s="499">
        <f>'9.4.1. sz. mell EKIK'!C7+'9.4.2. sz. mell EKIK'!C7</f>
        <v>13517834</v>
      </c>
      <c r="F7" s="499">
        <f>C7-E7</f>
        <v>0</v>
      </c>
      <c r="M7" s="504"/>
    </row>
    <row r="8" spans="1:16" s="168" customFormat="1" ht="12" customHeight="1" x14ac:dyDescent="0.2">
      <c r="A8" s="211" t="s">
        <v>86</v>
      </c>
      <c r="B8" s="7" t="s">
        <v>209</v>
      </c>
      <c r="C8" s="570"/>
      <c r="E8" s="499">
        <f>'9.4.1. sz. mell EKIK'!C8+'9.4.2. sz. mell EKIK'!C8</f>
        <v>0</v>
      </c>
      <c r="F8" s="499">
        <f t="shared" ref="F8:F59" si="0">C8-E8</f>
        <v>0</v>
      </c>
      <c r="K8" s="217"/>
      <c r="L8" s="217"/>
      <c r="M8" s="1387"/>
      <c r="N8" s="217"/>
      <c r="O8" s="217"/>
      <c r="P8" s="217"/>
    </row>
    <row r="9" spans="1:16" s="168" customFormat="1" ht="12" customHeight="1" x14ac:dyDescent="0.2">
      <c r="A9" s="212" t="s">
        <v>87</v>
      </c>
      <c r="B9" s="5" t="s">
        <v>210</v>
      </c>
      <c r="C9" s="571">
        <v>11296835</v>
      </c>
      <c r="E9" s="499">
        <f>'9.4.1. sz. mell EKIK'!C9+'9.4.2. sz. mell EKIK'!C9</f>
        <v>11296835</v>
      </c>
      <c r="F9" s="499">
        <f t="shared" si="0"/>
        <v>0</v>
      </c>
      <c r="K9" s="217"/>
      <c r="L9" s="217"/>
      <c r="M9" s="1387"/>
      <c r="N9" s="217"/>
      <c r="O9" s="217"/>
      <c r="P9" s="217"/>
    </row>
    <row r="10" spans="1:16" s="168" customFormat="1" ht="12" customHeight="1" x14ac:dyDescent="0.2">
      <c r="A10" s="212" t="s">
        <v>88</v>
      </c>
      <c r="B10" s="5" t="s">
        <v>211</v>
      </c>
      <c r="C10" s="854">
        <f>5000+10000</f>
        <v>15000</v>
      </c>
      <c r="E10" s="499">
        <f>'9.4.1. sz. mell EKIK'!C10+'9.4.2. sz. mell EKIK'!C10</f>
        <v>15000</v>
      </c>
      <c r="F10" s="499">
        <f t="shared" si="0"/>
        <v>0</v>
      </c>
    </row>
    <row r="11" spans="1:16" s="168" customFormat="1" ht="12" customHeight="1" x14ac:dyDescent="0.2">
      <c r="A11" s="212" t="s">
        <v>89</v>
      </c>
      <c r="B11" s="5" t="s">
        <v>212</v>
      </c>
      <c r="C11" s="571"/>
      <c r="E11" s="499">
        <f>'9.4.1. sz. mell EKIK'!C11+'9.4.2. sz. mell EKIK'!C11</f>
        <v>0</v>
      </c>
      <c r="F11" s="499">
        <f t="shared" si="0"/>
        <v>0</v>
      </c>
    </row>
    <row r="12" spans="1:16" s="168" customFormat="1" ht="12" customHeight="1" x14ac:dyDescent="0.2">
      <c r="A12" s="212" t="s">
        <v>112</v>
      </c>
      <c r="B12" s="5" t="s">
        <v>213</v>
      </c>
      <c r="C12" s="571"/>
      <c r="E12" s="499">
        <f>'9.4.1. sz. mell EKIK'!C12+'9.4.2. sz. mell EKIK'!C12</f>
        <v>0</v>
      </c>
      <c r="F12" s="499">
        <f t="shared" si="0"/>
        <v>0</v>
      </c>
    </row>
    <row r="13" spans="1:16" s="168" customFormat="1" ht="12" customHeight="1" x14ac:dyDescent="0.2">
      <c r="A13" s="212" t="s">
        <v>90</v>
      </c>
      <c r="B13" s="5" t="s">
        <v>333</v>
      </c>
      <c r="C13" s="571">
        <v>1525999</v>
      </c>
      <c r="E13" s="499">
        <f>'9.4.1. sz. mell EKIK'!C13+'9.4.2. sz. mell EKIK'!C13</f>
        <v>1525999</v>
      </c>
      <c r="F13" s="499">
        <f t="shared" si="0"/>
        <v>0</v>
      </c>
    </row>
    <row r="14" spans="1:16" s="168" customFormat="1" ht="12" customHeight="1" x14ac:dyDescent="0.2">
      <c r="A14" s="212" t="s">
        <v>91</v>
      </c>
      <c r="B14" s="4" t="s">
        <v>334</v>
      </c>
      <c r="C14" s="571">
        <v>680000</v>
      </c>
      <c r="E14" s="499">
        <f>'9.4.1. sz. mell EKIK'!C14+'9.4.2. sz. mell EKIK'!C14</f>
        <v>680000</v>
      </c>
      <c r="F14" s="499">
        <f t="shared" si="0"/>
        <v>0</v>
      </c>
    </row>
    <row r="15" spans="1:16" s="168" customFormat="1" ht="12" customHeight="1" x14ac:dyDescent="0.2">
      <c r="A15" s="212" t="s">
        <v>101</v>
      </c>
      <c r="B15" s="5" t="s">
        <v>216</v>
      </c>
      <c r="C15" s="572"/>
      <c r="E15" s="499">
        <f>'9.4.1. sz. mell EKIK'!C15+'9.4.2. sz. mell EKIK'!C15</f>
        <v>0</v>
      </c>
      <c r="F15" s="499">
        <f t="shared" si="0"/>
        <v>0</v>
      </c>
    </row>
    <row r="16" spans="1:16" s="220" customFormat="1" ht="12" customHeight="1" x14ac:dyDescent="0.2">
      <c r="A16" s="212" t="s">
        <v>102</v>
      </c>
      <c r="B16" s="5" t="s">
        <v>217</v>
      </c>
      <c r="C16" s="571"/>
      <c r="E16" s="499">
        <f>'9.4.1. sz. mell EKIK'!C16+'9.4.2. sz. mell EKIK'!C16</f>
        <v>0</v>
      </c>
      <c r="F16" s="499">
        <f t="shared" si="0"/>
        <v>0</v>
      </c>
    </row>
    <row r="17" spans="1:6" s="220" customFormat="1" ht="12" customHeight="1" x14ac:dyDescent="0.2">
      <c r="A17" s="212" t="s">
        <v>103</v>
      </c>
      <c r="B17" s="5" t="s">
        <v>397</v>
      </c>
      <c r="C17" s="573"/>
      <c r="E17" s="499">
        <f>'9.4.1. sz. mell EKIK'!C17+'9.4.2. sz. mell EKIK'!C17</f>
        <v>0</v>
      </c>
      <c r="F17" s="499">
        <f t="shared" si="0"/>
        <v>0</v>
      </c>
    </row>
    <row r="18" spans="1:6" s="220" customFormat="1" ht="12" customHeight="1" thickBot="1" x14ac:dyDescent="0.25">
      <c r="A18" s="212" t="s">
        <v>104</v>
      </c>
      <c r="B18" s="4" t="s">
        <v>218</v>
      </c>
      <c r="C18" s="573"/>
      <c r="E18" s="499">
        <f>'9.4.1. sz. mell EKIK'!C18+'9.4.2. sz. mell EKIK'!C18</f>
        <v>0</v>
      </c>
      <c r="F18" s="499">
        <f t="shared" si="0"/>
        <v>0</v>
      </c>
    </row>
    <row r="19" spans="1:6" s="168" customFormat="1" ht="12" customHeight="1" thickBot="1" x14ac:dyDescent="0.25">
      <c r="A19" s="71" t="s">
        <v>17</v>
      </c>
      <c r="B19" s="86" t="s">
        <v>335</v>
      </c>
      <c r="C19" s="569">
        <f>SUM(C20:C22)</f>
        <v>9618799</v>
      </c>
      <c r="E19" s="499">
        <f>'9.4.1. sz. mell EKIK'!C19+'9.4.2. sz. mell EKIK'!C19</f>
        <v>9618799</v>
      </c>
      <c r="F19" s="499">
        <f t="shared" si="0"/>
        <v>0</v>
      </c>
    </row>
    <row r="20" spans="1:6" s="220" customFormat="1" ht="12" customHeight="1" x14ac:dyDescent="0.2">
      <c r="A20" s="212" t="s">
        <v>92</v>
      </c>
      <c r="B20" s="6" t="s">
        <v>187</v>
      </c>
      <c r="C20" s="574"/>
      <c r="E20" s="499">
        <f>'9.4.1. sz. mell EKIK'!C20+'9.4.2. sz. mell EKIK'!C20</f>
        <v>0</v>
      </c>
      <c r="F20" s="499">
        <f t="shared" si="0"/>
        <v>0</v>
      </c>
    </row>
    <row r="21" spans="1:6" s="220" customFormat="1" ht="12" customHeight="1" x14ac:dyDescent="0.2">
      <c r="A21" s="212" t="s">
        <v>93</v>
      </c>
      <c r="B21" s="5" t="s">
        <v>336</v>
      </c>
      <c r="C21" s="571"/>
      <c r="E21" s="499">
        <f>'9.4.1. sz. mell EKIK'!C21+'9.4.2. sz. mell EKIK'!C21</f>
        <v>0</v>
      </c>
      <c r="F21" s="499">
        <f t="shared" si="0"/>
        <v>0</v>
      </c>
    </row>
    <row r="22" spans="1:6" s="220" customFormat="1" ht="12" customHeight="1" x14ac:dyDescent="0.2">
      <c r="A22" s="212" t="s">
        <v>94</v>
      </c>
      <c r="B22" s="5" t="s">
        <v>337</v>
      </c>
      <c r="C22" s="571">
        <v>9618799</v>
      </c>
      <c r="E22" s="499">
        <f>'9.4.1. sz. mell EKIK'!C22+'9.4.2. sz. mell EKIK'!C22</f>
        <v>9618799</v>
      </c>
      <c r="F22" s="499">
        <f t="shared" si="0"/>
        <v>0</v>
      </c>
    </row>
    <row r="23" spans="1:6" s="220" customFormat="1" ht="12" customHeight="1" thickBot="1" x14ac:dyDescent="0.25">
      <c r="A23" s="212" t="s">
        <v>95</v>
      </c>
      <c r="B23" s="5" t="s">
        <v>468</v>
      </c>
      <c r="C23" s="571">
        <v>9618799</v>
      </c>
      <c r="E23" s="499">
        <f>'9.4.1. sz. mell EKIK'!C23+'9.4.2. sz. mell EKIK'!C23</f>
        <v>9618799</v>
      </c>
      <c r="F23" s="499">
        <f t="shared" si="0"/>
        <v>0</v>
      </c>
    </row>
    <row r="24" spans="1:6" s="220" customFormat="1" ht="12" customHeight="1" thickBot="1" x14ac:dyDescent="0.25">
      <c r="A24" s="74" t="s">
        <v>18</v>
      </c>
      <c r="B24" s="54" t="s">
        <v>126</v>
      </c>
      <c r="C24" s="576"/>
      <c r="E24" s="499">
        <f>'9.4.1. sz. mell EKIK'!C24+'9.4.2. sz. mell EKIK'!C24</f>
        <v>0</v>
      </c>
      <c r="F24" s="499">
        <f t="shared" si="0"/>
        <v>0</v>
      </c>
    </row>
    <row r="25" spans="1:6" s="220" customFormat="1" ht="12" customHeight="1" thickBot="1" x14ac:dyDescent="0.25">
      <c r="A25" s="74" t="s">
        <v>19</v>
      </c>
      <c r="B25" s="54" t="s">
        <v>469</v>
      </c>
      <c r="C25" s="569">
        <f>+C26+C27+C28</f>
        <v>51963238</v>
      </c>
      <c r="E25" s="499">
        <f>'9.4.1. sz. mell EKIK'!C25+'9.4.2. sz. mell EKIK'!C25</f>
        <v>51963238</v>
      </c>
      <c r="F25" s="499">
        <f t="shared" si="0"/>
        <v>0</v>
      </c>
    </row>
    <row r="26" spans="1:6" s="220" customFormat="1" ht="12" customHeight="1" x14ac:dyDescent="0.2">
      <c r="A26" s="213" t="s">
        <v>197</v>
      </c>
      <c r="B26" s="214" t="s">
        <v>192</v>
      </c>
      <c r="C26" s="577"/>
      <c r="E26" s="499">
        <f>'9.4.1. sz. mell EKIK'!C26+'9.4.2. sz. mell EKIK'!C26</f>
        <v>0</v>
      </c>
      <c r="F26" s="499">
        <f t="shared" si="0"/>
        <v>0</v>
      </c>
    </row>
    <row r="27" spans="1:6" s="220" customFormat="1" ht="12" customHeight="1" x14ac:dyDescent="0.2">
      <c r="A27" s="213" t="s">
        <v>200</v>
      </c>
      <c r="B27" s="214" t="s">
        <v>336</v>
      </c>
      <c r="C27" s="571"/>
      <c r="E27" s="499">
        <f>'9.4.1. sz. mell EKIK'!C27+'9.4.2. sz. mell EKIK'!C27</f>
        <v>0</v>
      </c>
      <c r="F27" s="499">
        <f t="shared" si="0"/>
        <v>0</v>
      </c>
    </row>
    <row r="28" spans="1:6" s="220" customFormat="1" ht="12" customHeight="1" x14ac:dyDescent="0.2">
      <c r="A28" s="213" t="s">
        <v>201</v>
      </c>
      <c r="B28" s="215" t="s">
        <v>338</v>
      </c>
      <c r="C28" s="854">
        <f>51850900+112338</f>
        <v>51963238</v>
      </c>
      <c r="E28" s="499">
        <f>'9.4.1. sz. mell EKIK'!C28+'9.4.2. sz. mell EKIK'!C28</f>
        <v>51963238</v>
      </c>
      <c r="F28" s="499">
        <f t="shared" si="0"/>
        <v>0</v>
      </c>
    </row>
    <row r="29" spans="1:6" s="220" customFormat="1" ht="12" customHeight="1" thickBot="1" x14ac:dyDescent="0.25">
      <c r="A29" s="212" t="s">
        <v>202</v>
      </c>
      <c r="B29" s="57" t="s">
        <v>470</v>
      </c>
      <c r="C29" s="578">
        <v>51850900</v>
      </c>
      <c r="E29" s="499">
        <f>'9.4.1. sz. mell EKIK'!C29+'9.4.2. sz. mell EKIK'!C29</f>
        <v>51850900</v>
      </c>
      <c r="F29" s="499">
        <f t="shared" si="0"/>
        <v>0</v>
      </c>
    </row>
    <row r="30" spans="1:6" s="220" customFormat="1" ht="12" customHeight="1" thickBot="1" x14ac:dyDescent="0.25">
      <c r="A30" s="74" t="s">
        <v>20</v>
      </c>
      <c r="B30" s="54" t="s">
        <v>339</v>
      </c>
      <c r="C30" s="569">
        <f>+C31+C32+C33</f>
        <v>0</v>
      </c>
      <c r="E30" s="499">
        <f>'9.4.1. sz. mell EKIK'!C30+'9.4.2. sz. mell EKIK'!C30</f>
        <v>0</v>
      </c>
      <c r="F30" s="499">
        <f t="shared" si="0"/>
        <v>0</v>
      </c>
    </row>
    <row r="31" spans="1:6" s="220" customFormat="1" ht="12" customHeight="1" x14ac:dyDescent="0.2">
      <c r="A31" s="213" t="s">
        <v>79</v>
      </c>
      <c r="B31" s="214" t="s">
        <v>223</v>
      </c>
      <c r="C31" s="577"/>
      <c r="E31" s="499">
        <f>'9.4.1. sz. mell EKIK'!C31+'9.4.2. sz. mell EKIK'!C31</f>
        <v>0</v>
      </c>
      <c r="F31" s="499">
        <f t="shared" si="0"/>
        <v>0</v>
      </c>
    </row>
    <row r="32" spans="1:6" s="220" customFormat="1" ht="12" customHeight="1" x14ac:dyDescent="0.2">
      <c r="A32" s="213" t="s">
        <v>80</v>
      </c>
      <c r="B32" s="215" t="s">
        <v>224</v>
      </c>
      <c r="C32" s="572"/>
      <c r="E32" s="499">
        <f>'9.4.1. sz. mell EKIK'!C32+'9.4.2. sz. mell EKIK'!C32</f>
        <v>0</v>
      </c>
      <c r="F32" s="499">
        <f t="shared" si="0"/>
        <v>0</v>
      </c>
    </row>
    <row r="33" spans="1:6" s="168" customFormat="1" ht="12" customHeight="1" thickBot="1" x14ac:dyDescent="0.25">
      <c r="A33" s="212" t="s">
        <v>81</v>
      </c>
      <c r="B33" s="57" t="s">
        <v>225</v>
      </c>
      <c r="C33" s="578"/>
      <c r="E33" s="499">
        <f>'9.4.1. sz. mell EKIK'!C33+'9.4.2. sz. mell EKIK'!C33</f>
        <v>0</v>
      </c>
      <c r="F33" s="499">
        <f t="shared" si="0"/>
        <v>0</v>
      </c>
    </row>
    <row r="34" spans="1:6" s="168" customFormat="1" ht="12" customHeight="1" thickBot="1" x14ac:dyDescent="0.25">
      <c r="A34" s="74" t="s">
        <v>21</v>
      </c>
      <c r="B34" s="54" t="s">
        <v>311</v>
      </c>
      <c r="C34" s="576"/>
      <c r="E34" s="499">
        <f>'9.4.1. sz. mell EKIK'!C34+'9.4.2. sz. mell EKIK'!C34</f>
        <v>0</v>
      </c>
      <c r="F34" s="499">
        <f t="shared" si="0"/>
        <v>0</v>
      </c>
    </row>
    <row r="35" spans="1:6" s="168" customFormat="1" ht="12" customHeight="1" thickBot="1" x14ac:dyDescent="0.25">
      <c r="A35" s="74" t="s">
        <v>22</v>
      </c>
      <c r="B35" s="54" t="s">
        <v>340</v>
      </c>
      <c r="C35" s="579"/>
      <c r="E35" s="499">
        <f>'9.4.1. sz. mell EKIK'!C35+'9.4.2. sz. mell EKIK'!C35</f>
        <v>0</v>
      </c>
      <c r="F35" s="499">
        <f t="shared" si="0"/>
        <v>0</v>
      </c>
    </row>
    <row r="36" spans="1:6" s="168" customFormat="1" ht="12" customHeight="1" thickBot="1" x14ac:dyDescent="0.25">
      <c r="A36" s="71" t="s">
        <v>23</v>
      </c>
      <c r="B36" s="54" t="s">
        <v>341</v>
      </c>
      <c r="C36" s="580">
        <f>+C7+C19+C24+C25+C30+C34+C35</f>
        <v>75099871</v>
      </c>
      <c r="E36" s="499">
        <f>'9.4.1. sz. mell EKIK'!C36+'9.4.2. sz. mell EKIK'!C36</f>
        <v>75099871</v>
      </c>
      <c r="F36" s="499">
        <f t="shared" si="0"/>
        <v>0</v>
      </c>
    </row>
    <row r="37" spans="1:6" s="168" customFormat="1" ht="12" customHeight="1" thickBot="1" x14ac:dyDescent="0.25">
      <c r="A37" s="962" t="s">
        <v>24</v>
      </c>
      <c r="B37" s="54" t="s">
        <v>342</v>
      </c>
      <c r="C37" s="580">
        <f>+C38+C39+C40</f>
        <v>112310633</v>
      </c>
      <c r="E37" s="499">
        <f>'9.4.1. sz. mell EKIK'!C37+'9.4.2. sz. mell EKIK'!C37</f>
        <v>112310633</v>
      </c>
      <c r="F37" s="499">
        <f t="shared" si="0"/>
        <v>0</v>
      </c>
    </row>
    <row r="38" spans="1:6" s="168" customFormat="1" ht="12" customHeight="1" x14ac:dyDescent="0.2">
      <c r="A38" s="213" t="s">
        <v>343</v>
      </c>
      <c r="B38" s="214" t="s">
        <v>168</v>
      </c>
      <c r="C38" s="577">
        <v>284096</v>
      </c>
      <c r="E38" s="499">
        <f>'9.4.1. sz. mell EKIK'!C38+'9.4.2. sz. mell EKIK'!C38</f>
        <v>284096</v>
      </c>
      <c r="F38" s="499">
        <f t="shared" si="0"/>
        <v>0</v>
      </c>
    </row>
    <row r="39" spans="1:6" s="220" customFormat="1" ht="12" customHeight="1" x14ac:dyDescent="0.2">
      <c r="A39" s="213" t="s">
        <v>344</v>
      </c>
      <c r="B39" s="215" t="s">
        <v>6</v>
      </c>
      <c r="C39" s="572"/>
      <c r="E39" s="499">
        <f>'9.4.1. sz. mell EKIK'!C39+'9.4.2. sz. mell EKIK'!C39</f>
        <v>0</v>
      </c>
      <c r="F39" s="499">
        <f t="shared" si="0"/>
        <v>0</v>
      </c>
    </row>
    <row r="40" spans="1:6" s="220" customFormat="1" ht="15" customHeight="1" thickBot="1" x14ac:dyDescent="0.25">
      <c r="A40" s="212" t="s">
        <v>345</v>
      </c>
      <c r="B40" s="57" t="s">
        <v>346</v>
      </c>
      <c r="C40" s="1174">
        <f>111328704-2185107+1201000+1198544-697865+1+1181260</f>
        <v>112026537</v>
      </c>
      <c r="E40" s="499">
        <f>'9.4.1. sz. mell EKIK'!C40+'9.4.2. sz. mell EKIK'!C40</f>
        <v>112026537</v>
      </c>
      <c r="F40" s="499">
        <f t="shared" si="0"/>
        <v>0</v>
      </c>
    </row>
    <row r="41" spans="1:6" s="220" customFormat="1" ht="15" customHeight="1" thickBot="1" x14ac:dyDescent="0.25">
      <c r="A41" s="962" t="s">
        <v>25</v>
      </c>
      <c r="B41" s="963" t="s">
        <v>347</v>
      </c>
      <c r="C41" s="581">
        <f>+C36+C37</f>
        <v>187410504</v>
      </c>
      <c r="E41" s="499">
        <f>'9.4.1. sz. mell EKIK'!C41+'9.4.2. sz. mell EKIK'!C41</f>
        <v>187410504</v>
      </c>
      <c r="F41" s="499">
        <f t="shared" si="0"/>
        <v>0</v>
      </c>
    </row>
    <row r="42" spans="1:6" x14ac:dyDescent="0.2">
      <c r="A42" s="89"/>
      <c r="B42" s="90"/>
      <c r="C42" s="582"/>
      <c r="E42" s="499">
        <f>'9.4.1. sz. mell EKIK'!C42+'9.4.2. sz. mell EKIK'!C42</f>
        <v>0</v>
      </c>
      <c r="F42" s="499">
        <f t="shared" si="0"/>
        <v>0</v>
      </c>
    </row>
    <row r="43" spans="1:6" s="219" customFormat="1" ht="16.5" customHeight="1" thickBot="1" x14ac:dyDescent="0.25">
      <c r="A43" s="91"/>
      <c r="B43" s="92"/>
      <c r="C43" s="583"/>
      <c r="E43" s="499">
        <f>'9.4.1. sz. mell EKIK'!C43+'9.4.2. sz. mell EKIK'!C43</f>
        <v>0</v>
      </c>
      <c r="F43" s="499">
        <f t="shared" si="0"/>
        <v>0</v>
      </c>
    </row>
    <row r="44" spans="1:6" s="221" customFormat="1" ht="12" customHeight="1" thickBot="1" x14ac:dyDescent="0.25">
      <c r="A44" s="1479" t="s">
        <v>53</v>
      </c>
      <c r="B44" s="1480"/>
      <c r="C44" s="1481"/>
      <c r="E44" s="499">
        <f>'9.4.1. sz. mell EKIK'!C44+'9.4.2. sz. mell EKIK'!C44</f>
        <v>0</v>
      </c>
      <c r="F44" s="499">
        <f t="shared" si="0"/>
        <v>0</v>
      </c>
    </row>
    <row r="45" spans="1:6" ht="12" customHeight="1" thickBot="1" x14ac:dyDescent="0.25">
      <c r="A45" s="74" t="s">
        <v>16</v>
      </c>
      <c r="B45" s="54" t="s">
        <v>348</v>
      </c>
      <c r="C45" s="569">
        <f>SUM(C46:C50)</f>
        <v>126143636</v>
      </c>
      <c r="E45" s="499">
        <f>'9.4.1. sz. mell EKIK'!C45+'9.4.2. sz. mell EKIK'!C45</f>
        <v>126143636</v>
      </c>
      <c r="F45" s="499">
        <f t="shared" si="0"/>
        <v>0</v>
      </c>
    </row>
    <row r="46" spans="1:6" ht="12" customHeight="1" x14ac:dyDescent="0.2">
      <c r="A46" s="212" t="s">
        <v>86</v>
      </c>
      <c r="B46" s="6" t="s">
        <v>46</v>
      </c>
      <c r="C46" s="858">
        <f>56715808-1383600+1037700+692866</f>
        <v>57062774</v>
      </c>
      <c r="E46" s="499">
        <f>'9.4.1. sz. mell EKIK'!C46+'9.4.2. sz. mell EKIK'!C46</f>
        <v>57062774</v>
      </c>
      <c r="F46" s="499">
        <f t="shared" si="0"/>
        <v>0</v>
      </c>
    </row>
    <row r="47" spans="1:6" ht="12" customHeight="1" x14ac:dyDescent="0.2">
      <c r="A47" s="212" t="s">
        <v>87</v>
      </c>
      <c r="B47" s="5" t="s">
        <v>135</v>
      </c>
      <c r="C47" s="859">
        <f>9106816-214458+160844+107394</f>
        <v>9160596</v>
      </c>
      <c r="E47" s="499">
        <f>'9.4.1. sz. mell EKIK'!C47+'9.4.2. sz. mell EKIK'!C47</f>
        <v>9160596</v>
      </c>
      <c r="F47" s="499">
        <f t="shared" si="0"/>
        <v>0</v>
      </c>
    </row>
    <row r="48" spans="1:6" ht="12" customHeight="1" x14ac:dyDescent="0.2">
      <c r="A48" s="212" t="s">
        <v>88</v>
      </c>
      <c r="B48" s="5" t="s">
        <v>111</v>
      </c>
      <c r="C48" s="854">
        <f>61195180-587049+10000-697865</f>
        <v>59920266</v>
      </c>
      <c r="E48" s="499">
        <f>'9.4.1. sz. mell EKIK'!C48+'9.4.2. sz. mell EKIK'!C48</f>
        <v>59920266</v>
      </c>
      <c r="F48" s="499">
        <f t="shared" si="0"/>
        <v>0</v>
      </c>
    </row>
    <row r="49" spans="1:6" ht="12" customHeight="1" x14ac:dyDescent="0.2">
      <c r="A49" s="212" t="s">
        <v>89</v>
      </c>
      <c r="B49" s="5" t="s">
        <v>136</v>
      </c>
      <c r="C49" s="571"/>
      <c r="E49" s="499">
        <f>'9.4.1. sz. mell EKIK'!C49+'9.4.2. sz. mell EKIK'!C49</f>
        <v>0</v>
      </c>
      <c r="F49" s="499">
        <f t="shared" si="0"/>
        <v>0</v>
      </c>
    </row>
    <row r="50" spans="1:6" ht="12" customHeight="1" thickBot="1" x14ac:dyDescent="0.25">
      <c r="A50" s="212" t="s">
        <v>112</v>
      </c>
      <c r="B50" s="5" t="s">
        <v>137</v>
      </c>
      <c r="C50" s="571"/>
      <c r="E50" s="499">
        <f>'9.4.1. sz. mell EKIK'!C50+'9.4.2. sz. mell EKIK'!C50</f>
        <v>0</v>
      </c>
      <c r="F50" s="499">
        <f t="shared" si="0"/>
        <v>0</v>
      </c>
    </row>
    <row r="51" spans="1:6" s="221" customFormat="1" ht="12" customHeight="1" thickBot="1" x14ac:dyDescent="0.25">
      <c r="A51" s="74" t="s">
        <v>17</v>
      </c>
      <c r="B51" s="54" t="s">
        <v>349</v>
      </c>
      <c r="C51" s="569">
        <f>SUM(C52:C54)</f>
        <v>61266868</v>
      </c>
      <c r="E51" s="499">
        <f>'9.4.1. sz. mell EKIK'!C51+'9.4.2. sz. mell EKIK'!C51</f>
        <v>61266868</v>
      </c>
      <c r="F51" s="499">
        <f t="shared" si="0"/>
        <v>0</v>
      </c>
    </row>
    <row r="52" spans="1:6" ht="12" customHeight="1" x14ac:dyDescent="0.2">
      <c r="A52" s="212" t="s">
        <v>92</v>
      </c>
      <c r="B52" s="6" t="s">
        <v>159</v>
      </c>
      <c r="C52" s="858">
        <f>58071807+1201000+112339+381000</f>
        <v>59766146</v>
      </c>
      <c r="E52" s="499">
        <f>'9.4.1. sz. mell EKIK'!C52+'9.4.2. sz. mell EKIK'!C52</f>
        <v>59766146</v>
      </c>
      <c r="F52" s="499">
        <f t="shared" si="0"/>
        <v>0</v>
      </c>
    </row>
    <row r="53" spans="1:6" ht="12" customHeight="1" x14ac:dyDescent="0.2">
      <c r="A53" s="212" t="s">
        <v>93</v>
      </c>
      <c r="B53" s="5" t="s">
        <v>139</v>
      </c>
      <c r="C53" s="571">
        <v>1500722</v>
      </c>
      <c r="E53" s="499">
        <f>'9.4.1. sz. mell EKIK'!C53+'9.4.2. sz. mell EKIK'!C53</f>
        <v>1500722</v>
      </c>
      <c r="F53" s="499">
        <f t="shared" si="0"/>
        <v>0</v>
      </c>
    </row>
    <row r="54" spans="1:6" ht="12" customHeight="1" x14ac:dyDescent="0.2">
      <c r="A54" s="212" t="s">
        <v>94</v>
      </c>
      <c r="B54" s="5" t="s">
        <v>54</v>
      </c>
      <c r="C54" s="571"/>
      <c r="E54" s="499">
        <f>'9.4.1. sz. mell EKIK'!C54+'9.4.2. sz. mell EKIK'!C54</f>
        <v>0</v>
      </c>
      <c r="F54" s="499">
        <f t="shared" si="0"/>
        <v>0</v>
      </c>
    </row>
    <row r="55" spans="1:6" ht="15" customHeight="1" thickBot="1" x14ac:dyDescent="0.25">
      <c r="A55" s="212" t="s">
        <v>95</v>
      </c>
      <c r="B55" s="5" t="s">
        <v>471</v>
      </c>
      <c r="C55" s="571"/>
      <c r="E55" s="499">
        <f>'9.4.1. sz. mell EKIK'!C55+'9.4.2. sz. mell EKIK'!C55</f>
        <v>0</v>
      </c>
      <c r="F55" s="499">
        <f t="shared" si="0"/>
        <v>0</v>
      </c>
    </row>
    <row r="56" spans="1:6" ht="13.5" thickBot="1" x14ac:dyDescent="0.25">
      <c r="A56" s="74" t="s">
        <v>18</v>
      </c>
      <c r="B56" s="54" t="s">
        <v>12</v>
      </c>
      <c r="C56" s="576"/>
      <c r="E56" s="499">
        <f>'9.4.1. sz. mell EKIK'!C56+'9.4.2. sz. mell EKIK'!C56</f>
        <v>0</v>
      </c>
      <c r="F56" s="499">
        <f t="shared" si="0"/>
        <v>0</v>
      </c>
    </row>
    <row r="57" spans="1:6" ht="15" customHeight="1" thickBot="1" x14ac:dyDescent="0.25">
      <c r="A57" s="74" t="s">
        <v>19</v>
      </c>
      <c r="B57" s="95" t="s">
        <v>472</v>
      </c>
      <c r="C57" s="584">
        <f>+C45+C51+C56</f>
        <v>187410504</v>
      </c>
      <c r="E57" s="499">
        <f>'9.4.1. sz. mell EKIK'!C57+'9.4.2. sz. mell EKIK'!C57</f>
        <v>187410504</v>
      </c>
      <c r="F57" s="499">
        <f t="shared" si="0"/>
        <v>0</v>
      </c>
    </row>
    <row r="58" spans="1:6" ht="14.25" customHeight="1" thickBot="1" x14ac:dyDescent="0.25">
      <c r="C58" s="585"/>
      <c r="E58" s="499">
        <f>'9.4.1. sz. mell EKIK'!C58+'9.4.2. sz. mell EKIK'!C58</f>
        <v>0</v>
      </c>
      <c r="F58" s="499">
        <f t="shared" si="0"/>
        <v>0</v>
      </c>
    </row>
    <row r="59" spans="1:6" x14ac:dyDescent="0.2">
      <c r="A59" s="1485" t="s">
        <v>465</v>
      </c>
      <c r="B59" s="1486"/>
      <c r="C59" s="1225">
        <f>19.75-0.5+0.4</f>
        <v>19.649999999999999</v>
      </c>
      <c r="E59" s="499">
        <f>'9.4.1. sz. mell EKIK'!C59+'9.4.2. sz. mell EKIK'!C59</f>
        <v>19.649999999999999</v>
      </c>
      <c r="F59" s="499">
        <f t="shared" si="0"/>
        <v>0</v>
      </c>
    </row>
    <row r="60" spans="1:6" ht="13.5" thickBot="1" x14ac:dyDescent="0.25">
      <c r="A60" s="1483" t="s">
        <v>952</v>
      </c>
      <c r="B60" s="1484"/>
      <c r="C60" s="645"/>
    </row>
  </sheetData>
  <sheetProtection formatCells="0"/>
  <mergeCells count="5">
    <mergeCell ref="A1:C1"/>
    <mergeCell ref="A60:B60"/>
    <mergeCell ref="A44:C44"/>
    <mergeCell ref="A59:B59"/>
    <mergeCell ref="A3:C3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32"/>
  <dimension ref="A1:F60"/>
  <sheetViews>
    <sheetView workbookViewId="0">
      <selection activeCell="G10" sqref="G10"/>
    </sheetView>
  </sheetViews>
  <sheetFormatPr defaultRowHeight="12.75" x14ac:dyDescent="0.2"/>
  <cols>
    <col min="1" max="1" width="13.83203125" style="96" customWidth="1"/>
    <col min="2" max="2" width="79.1640625" style="774" customWidth="1"/>
    <col min="3" max="3" width="25" style="333" customWidth="1"/>
    <col min="4" max="256" width="9.33203125" style="774"/>
    <col min="257" max="257" width="13.83203125" style="774" customWidth="1"/>
    <col min="258" max="258" width="79.1640625" style="774" customWidth="1"/>
    <col min="259" max="259" width="25" style="774" customWidth="1"/>
    <col min="260" max="512" width="9.33203125" style="774"/>
    <col min="513" max="513" width="13.83203125" style="774" customWidth="1"/>
    <col min="514" max="514" width="79.1640625" style="774" customWidth="1"/>
    <col min="515" max="515" width="25" style="774" customWidth="1"/>
    <col min="516" max="768" width="9.33203125" style="774"/>
    <col min="769" max="769" width="13.83203125" style="774" customWidth="1"/>
    <col min="770" max="770" width="79.1640625" style="774" customWidth="1"/>
    <col min="771" max="771" width="25" style="774" customWidth="1"/>
    <col min="772" max="1024" width="9.33203125" style="774"/>
    <col min="1025" max="1025" width="13.83203125" style="774" customWidth="1"/>
    <col min="1026" max="1026" width="79.1640625" style="774" customWidth="1"/>
    <col min="1027" max="1027" width="25" style="774" customWidth="1"/>
    <col min="1028" max="1280" width="9.33203125" style="774"/>
    <col min="1281" max="1281" width="13.83203125" style="774" customWidth="1"/>
    <col min="1282" max="1282" width="79.1640625" style="774" customWidth="1"/>
    <col min="1283" max="1283" width="25" style="774" customWidth="1"/>
    <col min="1284" max="1536" width="9.33203125" style="774"/>
    <col min="1537" max="1537" width="13.83203125" style="774" customWidth="1"/>
    <col min="1538" max="1538" width="79.1640625" style="774" customWidth="1"/>
    <col min="1539" max="1539" width="25" style="774" customWidth="1"/>
    <col min="1540" max="1792" width="9.33203125" style="774"/>
    <col min="1793" max="1793" width="13.83203125" style="774" customWidth="1"/>
    <col min="1794" max="1794" width="79.1640625" style="774" customWidth="1"/>
    <col min="1795" max="1795" width="25" style="774" customWidth="1"/>
    <col min="1796" max="2048" width="9.33203125" style="774"/>
    <col min="2049" max="2049" width="13.83203125" style="774" customWidth="1"/>
    <col min="2050" max="2050" width="79.1640625" style="774" customWidth="1"/>
    <col min="2051" max="2051" width="25" style="774" customWidth="1"/>
    <col min="2052" max="2304" width="9.33203125" style="774"/>
    <col min="2305" max="2305" width="13.83203125" style="774" customWidth="1"/>
    <col min="2306" max="2306" width="79.1640625" style="774" customWidth="1"/>
    <col min="2307" max="2307" width="25" style="774" customWidth="1"/>
    <col min="2308" max="2560" width="9.33203125" style="774"/>
    <col min="2561" max="2561" width="13.83203125" style="774" customWidth="1"/>
    <col min="2562" max="2562" width="79.1640625" style="774" customWidth="1"/>
    <col min="2563" max="2563" width="25" style="774" customWidth="1"/>
    <col min="2564" max="2816" width="9.33203125" style="774"/>
    <col min="2817" max="2817" width="13.83203125" style="774" customWidth="1"/>
    <col min="2818" max="2818" width="79.1640625" style="774" customWidth="1"/>
    <col min="2819" max="2819" width="25" style="774" customWidth="1"/>
    <col min="2820" max="3072" width="9.33203125" style="774"/>
    <col min="3073" max="3073" width="13.83203125" style="774" customWidth="1"/>
    <col min="3074" max="3074" width="79.1640625" style="774" customWidth="1"/>
    <col min="3075" max="3075" width="25" style="774" customWidth="1"/>
    <col min="3076" max="3328" width="9.33203125" style="774"/>
    <col min="3329" max="3329" width="13.83203125" style="774" customWidth="1"/>
    <col min="3330" max="3330" width="79.1640625" style="774" customWidth="1"/>
    <col min="3331" max="3331" width="25" style="774" customWidth="1"/>
    <col min="3332" max="3584" width="9.33203125" style="774"/>
    <col min="3585" max="3585" width="13.83203125" style="774" customWidth="1"/>
    <col min="3586" max="3586" width="79.1640625" style="774" customWidth="1"/>
    <col min="3587" max="3587" width="25" style="774" customWidth="1"/>
    <col min="3588" max="3840" width="9.33203125" style="774"/>
    <col min="3841" max="3841" width="13.83203125" style="774" customWidth="1"/>
    <col min="3842" max="3842" width="79.1640625" style="774" customWidth="1"/>
    <col min="3843" max="3843" width="25" style="774" customWidth="1"/>
    <col min="3844" max="4096" width="9.33203125" style="774"/>
    <col min="4097" max="4097" width="13.83203125" style="774" customWidth="1"/>
    <col min="4098" max="4098" width="79.1640625" style="774" customWidth="1"/>
    <col min="4099" max="4099" width="25" style="774" customWidth="1"/>
    <col min="4100" max="4352" width="9.33203125" style="774"/>
    <col min="4353" max="4353" width="13.83203125" style="774" customWidth="1"/>
    <col min="4354" max="4354" width="79.1640625" style="774" customWidth="1"/>
    <col min="4355" max="4355" width="25" style="774" customWidth="1"/>
    <col min="4356" max="4608" width="9.33203125" style="774"/>
    <col min="4609" max="4609" width="13.83203125" style="774" customWidth="1"/>
    <col min="4610" max="4610" width="79.1640625" style="774" customWidth="1"/>
    <col min="4611" max="4611" width="25" style="774" customWidth="1"/>
    <col min="4612" max="4864" width="9.33203125" style="774"/>
    <col min="4865" max="4865" width="13.83203125" style="774" customWidth="1"/>
    <col min="4866" max="4866" width="79.1640625" style="774" customWidth="1"/>
    <col min="4867" max="4867" width="25" style="774" customWidth="1"/>
    <col min="4868" max="5120" width="9.33203125" style="774"/>
    <col min="5121" max="5121" width="13.83203125" style="774" customWidth="1"/>
    <col min="5122" max="5122" width="79.1640625" style="774" customWidth="1"/>
    <col min="5123" max="5123" width="25" style="774" customWidth="1"/>
    <col min="5124" max="5376" width="9.33203125" style="774"/>
    <col min="5377" max="5377" width="13.83203125" style="774" customWidth="1"/>
    <col min="5378" max="5378" width="79.1640625" style="774" customWidth="1"/>
    <col min="5379" max="5379" width="25" style="774" customWidth="1"/>
    <col min="5380" max="5632" width="9.33203125" style="774"/>
    <col min="5633" max="5633" width="13.83203125" style="774" customWidth="1"/>
    <col min="5634" max="5634" width="79.1640625" style="774" customWidth="1"/>
    <col min="5635" max="5635" width="25" style="774" customWidth="1"/>
    <col min="5636" max="5888" width="9.33203125" style="774"/>
    <col min="5889" max="5889" width="13.83203125" style="774" customWidth="1"/>
    <col min="5890" max="5890" width="79.1640625" style="774" customWidth="1"/>
    <col min="5891" max="5891" width="25" style="774" customWidth="1"/>
    <col min="5892" max="6144" width="9.33203125" style="774"/>
    <col min="6145" max="6145" width="13.83203125" style="774" customWidth="1"/>
    <col min="6146" max="6146" width="79.1640625" style="774" customWidth="1"/>
    <col min="6147" max="6147" width="25" style="774" customWidth="1"/>
    <col min="6148" max="6400" width="9.33203125" style="774"/>
    <col min="6401" max="6401" width="13.83203125" style="774" customWidth="1"/>
    <col min="6402" max="6402" width="79.1640625" style="774" customWidth="1"/>
    <col min="6403" max="6403" width="25" style="774" customWidth="1"/>
    <col min="6404" max="6656" width="9.33203125" style="774"/>
    <col min="6657" max="6657" width="13.83203125" style="774" customWidth="1"/>
    <col min="6658" max="6658" width="79.1640625" style="774" customWidth="1"/>
    <col min="6659" max="6659" width="25" style="774" customWidth="1"/>
    <col min="6660" max="6912" width="9.33203125" style="774"/>
    <col min="6913" max="6913" width="13.83203125" style="774" customWidth="1"/>
    <col min="6914" max="6914" width="79.1640625" style="774" customWidth="1"/>
    <col min="6915" max="6915" width="25" style="774" customWidth="1"/>
    <col min="6916" max="7168" width="9.33203125" style="774"/>
    <col min="7169" max="7169" width="13.83203125" style="774" customWidth="1"/>
    <col min="7170" max="7170" width="79.1640625" style="774" customWidth="1"/>
    <col min="7171" max="7171" width="25" style="774" customWidth="1"/>
    <col min="7172" max="7424" width="9.33203125" style="774"/>
    <col min="7425" max="7425" width="13.83203125" style="774" customWidth="1"/>
    <col min="7426" max="7426" width="79.1640625" style="774" customWidth="1"/>
    <col min="7427" max="7427" width="25" style="774" customWidth="1"/>
    <col min="7428" max="7680" width="9.33203125" style="774"/>
    <col min="7681" max="7681" width="13.83203125" style="774" customWidth="1"/>
    <col min="7682" max="7682" width="79.1640625" style="774" customWidth="1"/>
    <col min="7683" max="7683" width="25" style="774" customWidth="1"/>
    <col min="7684" max="7936" width="9.33203125" style="774"/>
    <col min="7937" max="7937" width="13.83203125" style="774" customWidth="1"/>
    <col min="7938" max="7938" width="79.1640625" style="774" customWidth="1"/>
    <col min="7939" max="7939" width="25" style="774" customWidth="1"/>
    <col min="7940" max="8192" width="9.33203125" style="774"/>
    <col min="8193" max="8193" width="13.83203125" style="774" customWidth="1"/>
    <col min="8194" max="8194" width="79.1640625" style="774" customWidth="1"/>
    <col min="8195" max="8195" width="25" style="774" customWidth="1"/>
    <col min="8196" max="8448" width="9.33203125" style="774"/>
    <col min="8449" max="8449" width="13.83203125" style="774" customWidth="1"/>
    <col min="8450" max="8450" width="79.1640625" style="774" customWidth="1"/>
    <col min="8451" max="8451" width="25" style="774" customWidth="1"/>
    <col min="8452" max="8704" width="9.33203125" style="774"/>
    <col min="8705" max="8705" width="13.83203125" style="774" customWidth="1"/>
    <col min="8706" max="8706" width="79.1640625" style="774" customWidth="1"/>
    <col min="8707" max="8707" width="25" style="774" customWidth="1"/>
    <col min="8708" max="8960" width="9.33203125" style="774"/>
    <col min="8961" max="8961" width="13.83203125" style="774" customWidth="1"/>
    <col min="8962" max="8962" width="79.1640625" style="774" customWidth="1"/>
    <col min="8963" max="8963" width="25" style="774" customWidth="1"/>
    <col min="8964" max="9216" width="9.33203125" style="774"/>
    <col min="9217" max="9217" width="13.83203125" style="774" customWidth="1"/>
    <col min="9218" max="9218" width="79.1640625" style="774" customWidth="1"/>
    <col min="9219" max="9219" width="25" style="774" customWidth="1"/>
    <col min="9220" max="9472" width="9.33203125" style="774"/>
    <col min="9473" max="9473" width="13.83203125" style="774" customWidth="1"/>
    <col min="9474" max="9474" width="79.1640625" style="774" customWidth="1"/>
    <col min="9475" max="9475" width="25" style="774" customWidth="1"/>
    <col min="9476" max="9728" width="9.33203125" style="774"/>
    <col min="9729" max="9729" width="13.83203125" style="774" customWidth="1"/>
    <col min="9730" max="9730" width="79.1640625" style="774" customWidth="1"/>
    <col min="9731" max="9731" width="25" style="774" customWidth="1"/>
    <col min="9732" max="9984" width="9.33203125" style="774"/>
    <col min="9985" max="9985" width="13.83203125" style="774" customWidth="1"/>
    <col min="9986" max="9986" width="79.1640625" style="774" customWidth="1"/>
    <col min="9987" max="9987" width="25" style="774" customWidth="1"/>
    <col min="9988" max="10240" width="9.33203125" style="774"/>
    <col min="10241" max="10241" width="13.83203125" style="774" customWidth="1"/>
    <col min="10242" max="10242" width="79.1640625" style="774" customWidth="1"/>
    <col min="10243" max="10243" width="25" style="774" customWidth="1"/>
    <col min="10244" max="10496" width="9.33203125" style="774"/>
    <col min="10497" max="10497" width="13.83203125" style="774" customWidth="1"/>
    <col min="10498" max="10498" width="79.1640625" style="774" customWidth="1"/>
    <col min="10499" max="10499" width="25" style="774" customWidth="1"/>
    <col min="10500" max="10752" width="9.33203125" style="774"/>
    <col min="10753" max="10753" width="13.83203125" style="774" customWidth="1"/>
    <col min="10754" max="10754" width="79.1640625" style="774" customWidth="1"/>
    <col min="10755" max="10755" width="25" style="774" customWidth="1"/>
    <col min="10756" max="11008" width="9.33203125" style="774"/>
    <col min="11009" max="11009" width="13.83203125" style="774" customWidth="1"/>
    <col min="11010" max="11010" width="79.1640625" style="774" customWidth="1"/>
    <col min="11011" max="11011" width="25" style="774" customWidth="1"/>
    <col min="11012" max="11264" width="9.33203125" style="774"/>
    <col min="11265" max="11265" width="13.83203125" style="774" customWidth="1"/>
    <col min="11266" max="11266" width="79.1640625" style="774" customWidth="1"/>
    <col min="11267" max="11267" width="25" style="774" customWidth="1"/>
    <col min="11268" max="11520" width="9.33203125" style="774"/>
    <col min="11521" max="11521" width="13.83203125" style="774" customWidth="1"/>
    <col min="11522" max="11522" width="79.1640625" style="774" customWidth="1"/>
    <col min="11523" max="11523" width="25" style="774" customWidth="1"/>
    <col min="11524" max="11776" width="9.33203125" style="774"/>
    <col min="11777" max="11777" width="13.83203125" style="774" customWidth="1"/>
    <col min="11778" max="11778" width="79.1640625" style="774" customWidth="1"/>
    <col min="11779" max="11779" width="25" style="774" customWidth="1"/>
    <col min="11780" max="12032" width="9.33203125" style="774"/>
    <col min="12033" max="12033" width="13.83203125" style="774" customWidth="1"/>
    <col min="12034" max="12034" width="79.1640625" style="774" customWidth="1"/>
    <col min="12035" max="12035" width="25" style="774" customWidth="1"/>
    <col min="12036" max="12288" width="9.33203125" style="774"/>
    <col min="12289" max="12289" width="13.83203125" style="774" customWidth="1"/>
    <col min="12290" max="12290" width="79.1640625" style="774" customWidth="1"/>
    <col min="12291" max="12291" width="25" style="774" customWidth="1"/>
    <col min="12292" max="12544" width="9.33203125" style="774"/>
    <col min="12545" max="12545" width="13.83203125" style="774" customWidth="1"/>
    <col min="12546" max="12546" width="79.1640625" style="774" customWidth="1"/>
    <col min="12547" max="12547" width="25" style="774" customWidth="1"/>
    <col min="12548" max="12800" width="9.33203125" style="774"/>
    <col min="12801" max="12801" width="13.83203125" style="774" customWidth="1"/>
    <col min="12802" max="12802" width="79.1640625" style="774" customWidth="1"/>
    <col min="12803" max="12803" width="25" style="774" customWidth="1"/>
    <col min="12804" max="13056" width="9.33203125" style="774"/>
    <col min="13057" max="13057" width="13.83203125" style="774" customWidth="1"/>
    <col min="13058" max="13058" width="79.1640625" style="774" customWidth="1"/>
    <col min="13059" max="13059" width="25" style="774" customWidth="1"/>
    <col min="13060" max="13312" width="9.33203125" style="774"/>
    <col min="13313" max="13313" width="13.83203125" style="774" customWidth="1"/>
    <col min="13314" max="13314" width="79.1640625" style="774" customWidth="1"/>
    <col min="13315" max="13315" width="25" style="774" customWidth="1"/>
    <col min="13316" max="13568" width="9.33203125" style="774"/>
    <col min="13569" max="13569" width="13.83203125" style="774" customWidth="1"/>
    <col min="13570" max="13570" width="79.1640625" style="774" customWidth="1"/>
    <col min="13571" max="13571" width="25" style="774" customWidth="1"/>
    <col min="13572" max="13824" width="9.33203125" style="774"/>
    <col min="13825" max="13825" width="13.83203125" style="774" customWidth="1"/>
    <col min="13826" max="13826" width="79.1640625" style="774" customWidth="1"/>
    <col min="13827" max="13827" width="25" style="774" customWidth="1"/>
    <col min="13828" max="14080" width="9.33203125" style="774"/>
    <col min="14081" max="14081" width="13.83203125" style="774" customWidth="1"/>
    <col min="14082" max="14082" width="79.1640625" style="774" customWidth="1"/>
    <col min="14083" max="14083" width="25" style="774" customWidth="1"/>
    <col min="14084" max="14336" width="9.33203125" style="774"/>
    <col min="14337" max="14337" width="13.83203125" style="774" customWidth="1"/>
    <col min="14338" max="14338" width="79.1640625" style="774" customWidth="1"/>
    <col min="14339" max="14339" width="25" style="774" customWidth="1"/>
    <col min="14340" max="14592" width="9.33203125" style="774"/>
    <col min="14593" max="14593" width="13.83203125" style="774" customWidth="1"/>
    <col min="14594" max="14594" width="79.1640625" style="774" customWidth="1"/>
    <col min="14595" max="14595" width="25" style="774" customWidth="1"/>
    <col min="14596" max="14848" width="9.33203125" style="774"/>
    <col min="14849" max="14849" width="13.83203125" style="774" customWidth="1"/>
    <col min="14850" max="14850" width="79.1640625" style="774" customWidth="1"/>
    <col min="14851" max="14851" width="25" style="774" customWidth="1"/>
    <col min="14852" max="15104" width="9.33203125" style="774"/>
    <col min="15105" max="15105" width="13.83203125" style="774" customWidth="1"/>
    <col min="15106" max="15106" width="79.1640625" style="774" customWidth="1"/>
    <col min="15107" max="15107" width="25" style="774" customWidth="1"/>
    <col min="15108" max="15360" width="9.33203125" style="774"/>
    <col min="15361" max="15361" width="13.83203125" style="774" customWidth="1"/>
    <col min="15362" max="15362" width="79.1640625" style="774" customWidth="1"/>
    <col min="15363" max="15363" width="25" style="774" customWidth="1"/>
    <col min="15364" max="15616" width="9.33203125" style="774"/>
    <col min="15617" max="15617" width="13.83203125" style="774" customWidth="1"/>
    <col min="15618" max="15618" width="79.1640625" style="774" customWidth="1"/>
    <col min="15619" max="15619" width="25" style="774" customWidth="1"/>
    <col min="15620" max="15872" width="9.33203125" style="774"/>
    <col min="15873" max="15873" width="13.83203125" style="774" customWidth="1"/>
    <col min="15874" max="15874" width="79.1640625" style="774" customWidth="1"/>
    <col min="15875" max="15875" width="25" style="774" customWidth="1"/>
    <col min="15876" max="16128" width="9.33203125" style="774"/>
    <col min="16129" max="16129" width="13.83203125" style="774" customWidth="1"/>
    <col min="16130" max="16130" width="79.1640625" style="774" customWidth="1"/>
    <col min="16131" max="16131" width="25" style="774" customWidth="1"/>
    <col min="16132" max="16384" width="9.33203125" style="774"/>
  </cols>
  <sheetData>
    <row r="1" spans="1:3" ht="12.75" customHeight="1" x14ac:dyDescent="0.2">
      <c r="A1" s="1482" t="str">
        <f>CONCATENATE("15. melléklet"," ",ALAPADATOK!A7," ",ALAPADATOK!B7," ",ALAPADATOK!C7," ",ALAPADATOK!D7," ",ALAPADATOK!E7," ",ALAPADATOK!F7," ",ALAPADATOK!G7," ",ALAPADATOK!H7)</f>
        <v>15. melléklet a 19 / 2021. ( XI.29. ) önkormányzati rendelethez</v>
      </c>
      <c r="B1" s="1482"/>
      <c r="C1" s="1482"/>
    </row>
    <row r="2" spans="1:3" s="77" customFormat="1" ht="21" customHeight="1" x14ac:dyDescent="0.2">
      <c r="A2" s="76"/>
      <c r="B2" s="78"/>
      <c r="C2" s="961"/>
    </row>
    <row r="3" spans="1:3" s="217" customFormat="1" ht="33" customHeight="1" thickBot="1" x14ac:dyDescent="0.25">
      <c r="A3" s="1442" t="s">
        <v>1078</v>
      </c>
      <c r="B3" s="1442"/>
      <c r="C3" s="1442"/>
    </row>
    <row r="4" spans="1:3" ht="13.5" thickBot="1" x14ac:dyDescent="0.25">
      <c r="A4" s="175" t="s">
        <v>154</v>
      </c>
      <c r="B4" s="81" t="s">
        <v>50</v>
      </c>
      <c r="C4" s="330" t="s">
        <v>1033</v>
      </c>
    </row>
    <row r="5" spans="1:3" s="219" customFormat="1" ht="12.95" customHeight="1" thickBot="1" x14ac:dyDescent="0.25">
      <c r="A5" s="71" t="s">
        <v>391</v>
      </c>
      <c r="B5" s="72" t="s">
        <v>392</v>
      </c>
      <c r="C5" s="331" t="s">
        <v>393</v>
      </c>
    </row>
    <row r="6" spans="1:3" s="219" customFormat="1" ht="15.95" customHeight="1" thickBot="1" x14ac:dyDescent="0.25">
      <c r="A6" s="83"/>
      <c r="B6" s="84" t="s">
        <v>52</v>
      </c>
      <c r="C6" s="332"/>
    </row>
    <row r="7" spans="1:3" s="168" customFormat="1" ht="12" customHeight="1" thickBot="1" x14ac:dyDescent="0.25">
      <c r="A7" s="71" t="s">
        <v>16</v>
      </c>
      <c r="B7" s="86" t="s">
        <v>467</v>
      </c>
      <c r="C7" s="569">
        <f>SUM(C8:C18)</f>
        <v>12362850</v>
      </c>
    </row>
    <row r="8" spans="1:3" s="168" customFormat="1" ht="12" customHeight="1" x14ac:dyDescent="0.2">
      <c r="A8" s="211" t="s">
        <v>86</v>
      </c>
      <c r="B8" s="7" t="s">
        <v>209</v>
      </c>
      <c r="C8" s="570"/>
    </row>
    <row r="9" spans="1:3" s="168" customFormat="1" ht="12" customHeight="1" x14ac:dyDescent="0.2">
      <c r="A9" s="212" t="s">
        <v>87</v>
      </c>
      <c r="B9" s="5" t="s">
        <v>210</v>
      </c>
      <c r="C9" s="571">
        <v>10387400</v>
      </c>
    </row>
    <row r="10" spans="1:3" s="168" customFormat="1" ht="12" customHeight="1" x14ac:dyDescent="0.2">
      <c r="A10" s="212" t="s">
        <v>88</v>
      </c>
      <c r="B10" s="5" t="s">
        <v>211</v>
      </c>
      <c r="C10" s="854">
        <f>5000+10000</f>
        <v>15000</v>
      </c>
    </row>
    <row r="11" spans="1:3" s="168" customFormat="1" ht="12" customHeight="1" x14ac:dyDescent="0.2">
      <c r="A11" s="212" t="s">
        <v>89</v>
      </c>
      <c r="B11" s="5" t="s">
        <v>212</v>
      </c>
      <c r="C11" s="571"/>
    </row>
    <row r="12" spans="1:3" s="168" customFormat="1" ht="12" customHeight="1" x14ac:dyDescent="0.2">
      <c r="A12" s="212" t="s">
        <v>112</v>
      </c>
      <c r="B12" s="5" t="s">
        <v>213</v>
      </c>
      <c r="C12" s="571"/>
    </row>
    <row r="13" spans="1:3" s="168" customFormat="1" ht="12" customHeight="1" x14ac:dyDescent="0.2">
      <c r="A13" s="212" t="s">
        <v>90</v>
      </c>
      <c r="B13" s="5" t="s">
        <v>333</v>
      </c>
      <c r="C13" s="571">
        <v>1280450</v>
      </c>
    </row>
    <row r="14" spans="1:3" s="168" customFormat="1" ht="12" customHeight="1" x14ac:dyDescent="0.2">
      <c r="A14" s="212" t="s">
        <v>91</v>
      </c>
      <c r="B14" s="4" t="s">
        <v>334</v>
      </c>
      <c r="C14" s="571">
        <v>680000</v>
      </c>
    </row>
    <row r="15" spans="1:3" s="168" customFormat="1" ht="12" customHeight="1" x14ac:dyDescent="0.2">
      <c r="A15" s="212" t="s">
        <v>101</v>
      </c>
      <c r="B15" s="5" t="s">
        <v>216</v>
      </c>
      <c r="C15" s="572"/>
    </row>
    <row r="16" spans="1:3" s="220" customFormat="1" ht="12" customHeight="1" x14ac:dyDescent="0.2">
      <c r="A16" s="212" t="s">
        <v>102</v>
      </c>
      <c r="B16" s="5" t="s">
        <v>217</v>
      </c>
      <c r="C16" s="571"/>
    </row>
    <row r="17" spans="1:3" s="220" customFormat="1" ht="12" customHeight="1" x14ac:dyDescent="0.2">
      <c r="A17" s="212" t="s">
        <v>103</v>
      </c>
      <c r="B17" s="5" t="s">
        <v>397</v>
      </c>
      <c r="C17" s="573"/>
    </row>
    <row r="18" spans="1:3" s="220" customFormat="1" ht="12" customHeight="1" thickBot="1" x14ac:dyDescent="0.25">
      <c r="A18" s="212" t="s">
        <v>104</v>
      </c>
      <c r="B18" s="4" t="s">
        <v>218</v>
      </c>
      <c r="C18" s="573"/>
    </row>
    <row r="19" spans="1:3" s="168" customFormat="1" ht="12" customHeight="1" thickBot="1" x14ac:dyDescent="0.25">
      <c r="A19" s="71" t="s">
        <v>17</v>
      </c>
      <c r="B19" s="86" t="s">
        <v>335</v>
      </c>
      <c r="C19" s="569">
        <f>SUM(C20:C22)</f>
        <v>0</v>
      </c>
    </row>
    <row r="20" spans="1:3" s="220" customFormat="1" ht="12" customHeight="1" x14ac:dyDescent="0.2">
      <c r="A20" s="212" t="s">
        <v>92</v>
      </c>
      <c r="B20" s="6" t="s">
        <v>187</v>
      </c>
      <c r="C20" s="574"/>
    </row>
    <row r="21" spans="1:3" s="220" customFormat="1" ht="12" customHeight="1" x14ac:dyDescent="0.2">
      <c r="A21" s="212" t="s">
        <v>93</v>
      </c>
      <c r="B21" s="5" t="s">
        <v>336</v>
      </c>
      <c r="C21" s="571"/>
    </row>
    <row r="22" spans="1:3" s="220" customFormat="1" ht="12" customHeight="1" x14ac:dyDescent="0.2">
      <c r="A22" s="212" t="s">
        <v>94</v>
      </c>
      <c r="B22" s="5" t="s">
        <v>337</v>
      </c>
      <c r="C22" s="571"/>
    </row>
    <row r="23" spans="1:3" s="220" customFormat="1" ht="12" customHeight="1" thickBot="1" x14ac:dyDescent="0.25">
      <c r="A23" s="212" t="s">
        <v>95</v>
      </c>
      <c r="B23" s="5" t="s">
        <v>468</v>
      </c>
      <c r="C23" s="571"/>
    </row>
    <row r="24" spans="1:3" s="220" customFormat="1" ht="12" customHeight="1" thickBot="1" x14ac:dyDescent="0.25">
      <c r="A24" s="74" t="s">
        <v>18</v>
      </c>
      <c r="B24" s="54" t="s">
        <v>126</v>
      </c>
      <c r="C24" s="576"/>
    </row>
    <row r="25" spans="1:3" s="220" customFormat="1" ht="12" customHeight="1" thickBot="1" x14ac:dyDescent="0.25">
      <c r="A25" s="74" t="s">
        <v>19</v>
      </c>
      <c r="B25" s="54" t="s">
        <v>469</v>
      </c>
      <c r="C25" s="569">
        <f>+C26+C27+C28</f>
        <v>112338</v>
      </c>
    </row>
    <row r="26" spans="1:3" s="220" customFormat="1" ht="12" customHeight="1" x14ac:dyDescent="0.2">
      <c r="A26" s="213" t="s">
        <v>197</v>
      </c>
      <c r="B26" s="214" t="s">
        <v>192</v>
      </c>
      <c r="C26" s="577"/>
    </row>
    <row r="27" spans="1:3" s="220" customFormat="1" ht="12" customHeight="1" x14ac:dyDescent="0.2">
      <c r="A27" s="213" t="s">
        <v>200</v>
      </c>
      <c r="B27" s="214" t="s">
        <v>336</v>
      </c>
      <c r="C27" s="574"/>
    </row>
    <row r="28" spans="1:3" s="220" customFormat="1" ht="12" customHeight="1" x14ac:dyDescent="0.2">
      <c r="A28" s="213" t="s">
        <v>201</v>
      </c>
      <c r="B28" s="215" t="s">
        <v>338</v>
      </c>
      <c r="C28" s="854">
        <v>112338</v>
      </c>
    </row>
    <row r="29" spans="1:3" s="220" customFormat="1" ht="12" customHeight="1" thickBot="1" x14ac:dyDescent="0.25">
      <c r="A29" s="212" t="s">
        <v>202</v>
      </c>
      <c r="B29" s="57" t="s">
        <v>470</v>
      </c>
      <c r="C29" s="578"/>
    </row>
    <row r="30" spans="1:3" s="220" customFormat="1" ht="12" customHeight="1" thickBot="1" x14ac:dyDescent="0.25">
      <c r="A30" s="74" t="s">
        <v>20</v>
      </c>
      <c r="B30" s="54" t="s">
        <v>339</v>
      </c>
      <c r="C30" s="569">
        <f>+C31+C32+C33</f>
        <v>0</v>
      </c>
    </row>
    <row r="31" spans="1:3" s="220" customFormat="1" ht="12" customHeight="1" x14ac:dyDescent="0.2">
      <c r="A31" s="213" t="s">
        <v>79</v>
      </c>
      <c r="B31" s="214" t="s">
        <v>223</v>
      </c>
      <c r="C31" s="577"/>
    </row>
    <row r="32" spans="1:3" s="220" customFormat="1" ht="12" customHeight="1" x14ac:dyDescent="0.2">
      <c r="A32" s="213" t="s">
        <v>80</v>
      </c>
      <c r="B32" s="215" t="s">
        <v>224</v>
      </c>
      <c r="C32" s="572"/>
    </row>
    <row r="33" spans="1:3" s="168" customFormat="1" ht="12" customHeight="1" thickBot="1" x14ac:dyDescent="0.25">
      <c r="A33" s="212" t="s">
        <v>81</v>
      </c>
      <c r="B33" s="57" t="s">
        <v>225</v>
      </c>
      <c r="C33" s="578"/>
    </row>
    <row r="34" spans="1:3" s="168" customFormat="1" ht="12" customHeight="1" thickBot="1" x14ac:dyDescent="0.25">
      <c r="A34" s="74" t="s">
        <v>21</v>
      </c>
      <c r="B34" s="54" t="s">
        <v>311</v>
      </c>
      <c r="C34" s="576"/>
    </row>
    <row r="35" spans="1:3" s="168" customFormat="1" ht="12" customHeight="1" thickBot="1" x14ac:dyDescent="0.25">
      <c r="A35" s="74" t="s">
        <v>22</v>
      </c>
      <c r="B35" s="54" t="s">
        <v>340</v>
      </c>
      <c r="C35" s="579"/>
    </row>
    <row r="36" spans="1:3" s="168" customFormat="1" ht="12" customHeight="1" thickBot="1" x14ac:dyDescent="0.25">
      <c r="A36" s="71" t="s">
        <v>23</v>
      </c>
      <c r="B36" s="54" t="s">
        <v>341</v>
      </c>
      <c r="C36" s="580">
        <f>+C7+C19+C24+C25+C30+C34+C35</f>
        <v>12475188</v>
      </c>
    </row>
    <row r="37" spans="1:3" s="168" customFormat="1" ht="12" customHeight="1" thickBot="1" x14ac:dyDescent="0.25">
      <c r="A37" s="962" t="s">
        <v>24</v>
      </c>
      <c r="B37" s="54" t="s">
        <v>342</v>
      </c>
      <c r="C37" s="580">
        <f>+C38+C39+C40</f>
        <v>105434665</v>
      </c>
    </row>
    <row r="38" spans="1:3" s="168" customFormat="1" ht="12" customHeight="1" x14ac:dyDescent="0.2">
      <c r="A38" s="213" t="s">
        <v>343</v>
      </c>
      <c r="B38" s="214" t="s">
        <v>168</v>
      </c>
      <c r="C38" s="577">
        <v>284096</v>
      </c>
    </row>
    <row r="39" spans="1:3" s="220" customFormat="1" ht="12" customHeight="1" x14ac:dyDescent="0.2">
      <c r="A39" s="213" t="s">
        <v>344</v>
      </c>
      <c r="B39" s="215" t="s">
        <v>6</v>
      </c>
      <c r="C39" s="572"/>
    </row>
    <row r="40" spans="1:3" s="220" customFormat="1" ht="15" customHeight="1" thickBot="1" x14ac:dyDescent="0.25">
      <c r="A40" s="212" t="s">
        <v>345</v>
      </c>
      <c r="B40" s="57" t="s">
        <v>346</v>
      </c>
      <c r="C40" s="1174">
        <f>104833737-2185107+1201000+1198544-697865+800260</f>
        <v>105150569</v>
      </c>
    </row>
    <row r="41" spans="1:3" s="220" customFormat="1" ht="15" customHeight="1" thickBot="1" x14ac:dyDescent="0.25">
      <c r="A41" s="962" t="s">
        <v>25</v>
      </c>
      <c r="B41" s="963" t="s">
        <v>347</v>
      </c>
      <c r="C41" s="581">
        <f>+C36+C37</f>
        <v>117909853</v>
      </c>
    </row>
    <row r="42" spans="1:3" x14ac:dyDescent="0.2">
      <c r="A42" s="89"/>
      <c r="B42" s="90"/>
      <c r="C42" s="582"/>
    </row>
    <row r="43" spans="1:3" s="219" customFormat="1" ht="16.5" customHeight="1" thickBot="1" x14ac:dyDescent="0.25">
      <c r="A43" s="91"/>
      <c r="B43" s="92"/>
      <c r="C43" s="583"/>
    </row>
    <row r="44" spans="1:3" s="221" customFormat="1" ht="12" customHeight="1" thickBot="1" x14ac:dyDescent="0.25">
      <c r="A44" s="1479" t="s">
        <v>53</v>
      </c>
      <c r="B44" s="1480"/>
      <c r="C44" s="1481"/>
    </row>
    <row r="45" spans="1:3" ht="12" customHeight="1" thickBot="1" x14ac:dyDescent="0.25">
      <c r="A45" s="74" t="s">
        <v>16</v>
      </c>
      <c r="B45" s="54" t="s">
        <v>348</v>
      </c>
      <c r="C45" s="569">
        <f>SUM(C46:C50)</f>
        <v>113456553</v>
      </c>
    </row>
    <row r="46" spans="1:3" ht="12" customHeight="1" x14ac:dyDescent="0.2">
      <c r="A46" s="212" t="s">
        <v>86</v>
      </c>
      <c r="B46" s="6" t="s">
        <v>46</v>
      </c>
      <c r="C46" s="858">
        <f>56250808-1383600+1037700+692866</f>
        <v>56597774</v>
      </c>
    </row>
    <row r="47" spans="1:3" ht="12" customHeight="1" x14ac:dyDescent="0.2">
      <c r="A47" s="212" t="s">
        <v>87</v>
      </c>
      <c r="B47" s="5" t="s">
        <v>135</v>
      </c>
      <c r="C47" s="859">
        <f>8981266-214458+160844+107394</f>
        <v>9035046</v>
      </c>
    </row>
    <row r="48" spans="1:3" ht="12" customHeight="1" x14ac:dyDescent="0.2">
      <c r="A48" s="212" t="s">
        <v>88</v>
      </c>
      <c r="B48" s="5" t="s">
        <v>111</v>
      </c>
      <c r="C48" s="854">
        <f>49098647-587049+10000-697865</f>
        <v>47823733</v>
      </c>
    </row>
    <row r="49" spans="1:6" ht="12" customHeight="1" x14ac:dyDescent="0.2">
      <c r="A49" s="212" t="s">
        <v>89</v>
      </c>
      <c r="B49" s="5" t="s">
        <v>136</v>
      </c>
      <c r="C49" s="571"/>
    </row>
    <row r="50" spans="1:6" ht="12" customHeight="1" thickBot="1" x14ac:dyDescent="0.25">
      <c r="A50" s="212" t="s">
        <v>112</v>
      </c>
      <c r="B50" s="5" t="s">
        <v>137</v>
      </c>
      <c r="C50" s="571"/>
    </row>
    <row r="51" spans="1:6" s="221" customFormat="1" ht="12" customHeight="1" thickBot="1" x14ac:dyDescent="0.25">
      <c r="A51" s="74" t="s">
        <v>17</v>
      </c>
      <c r="B51" s="54" t="s">
        <v>349</v>
      </c>
      <c r="C51" s="569">
        <f>SUM(C52:C54)</f>
        <v>4453300</v>
      </c>
    </row>
    <row r="52" spans="1:6" ht="12" customHeight="1" x14ac:dyDescent="0.2">
      <c r="A52" s="212" t="s">
        <v>92</v>
      </c>
      <c r="B52" s="6" t="s">
        <v>159</v>
      </c>
      <c r="C52" s="853">
        <f>3139962+1201000+112338</f>
        <v>4453300</v>
      </c>
    </row>
    <row r="53" spans="1:6" ht="12" customHeight="1" x14ac:dyDescent="0.2">
      <c r="A53" s="212" t="s">
        <v>93</v>
      </c>
      <c r="B53" s="5" t="s">
        <v>139</v>
      </c>
      <c r="C53" s="1191"/>
    </row>
    <row r="54" spans="1:6" ht="12" customHeight="1" x14ac:dyDescent="0.2">
      <c r="A54" s="212" t="s">
        <v>94</v>
      </c>
      <c r="B54" s="5" t="s">
        <v>54</v>
      </c>
      <c r="C54" s="571"/>
    </row>
    <row r="55" spans="1:6" ht="15" customHeight="1" thickBot="1" x14ac:dyDescent="0.25">
      <c r="A55" s="212" t="s">
        <v>95</v>
      </c>
      <c r="B55" s="5" t="s">
        <v>471</v>
      </c>
      <c r="C55" s="571"/>
    </row>
    <row r="56" spans="1:6" ht="13.5" thickBot="1" x14ac:dyDescent="0.25">
      <c r="A56" s="74" t="s">
        <v>18</v>
      </c>
      <c r="B56" s="54" t="s">
        <v>12</v>
      </c>
      <c r="C56" s="576"/>
    </row>
    <row r="57" spans="1:6" ht="15" customHeight="1" thickBot="1" x14ac:dyDescent="0.25">
      <c r="A57" s="74" t="s">
        <v>19</v>
      </c>
      <c r="B57" s="95" t="s">
        <v>472</v>
      </c>
      <c r="C57" s="584">
        <f>+C45+C51+C56</f>
        <v>117909853</v>
      </c>
    </row>
    <row r="58" spans="1:6" ht="14.25" customHeight="1" thickBot="1" x14ac:dyDescent="0.25">
      <c r="C58" s="585"/>
    </row>
    <row r="59" spans="1:6" x14ac:dyDescent="0.2">
      <c r="A59" s="1485" t="s">
        <v>465</v>
      </c>
      <c r="B59" s="1486"/>
      <c r="C59" s="1225">
        <f>19.75-0.5+0.4</f>
        <v>19.649999999999999</v>
      </c>
      <c r="E59" s="499"/>
      <c r="F59" s="499"/>
    </row>
    <row r="60" spans="1:6" ht="13.5" customHeight="1" thickBot="1" x14ac:dyDescent="0.25">
      <c r="A60" s="1483" t="s">
        <v>952</v>
      </c>
      <c r="B60" s="1484"/>
      <c r="C60" s="645"/>
      <c r="E60" s="797"/>
      <c r="F60" s="797"/>
    </row>
  </sheetData>
  <sheetProtection formatCells="0"/>
  <mergeCells count="5">
    <mergeCell ref="A1:C1"/>
    <mergeCell ref="A60:B60"/>
    <mergeCell ref="A44:C44"/>
    <mergeCell ref="A59:B59"/>
    <mergeCell ref="A3:C3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33"/>
  <dimension ref="A1:H59"/>
  <sheetViews>
    <sheetView workbookViewId="0">
      <selection activeCell="J10" sqref="J10"/>
    </sheetView>
  </sheetViews>
  <sheetFormatPr defaultColWidth="9.33203125" defaultRowHeight="12.75" x14ac:dyDescent="0.2"/>
  <cols>
    <col min="1" max="1" width="13.83203125" style="96" customWidth="1"/>
    <col min="2" max="2" width="82" style="774" customWidth="1"/>
    <col min="3" max="3" width="28.5" style="320" customWidth="1"/>
    <col min="4" max="16384" width="9.33203125" style="774"/>
  </cols>
  <sheetData>
    <row r="1" spans="1:8" ht="12.75" customHeight="1" x14ac:dyDescent="0.2">
      <c r="A1" s="1482" t="str">
        <f>CONCATENATE("16. melléklet"," ",ALAPADATOK!A7," ",ALAPADATOK!B7," ",ALAPADATOK!C7," ",ALAPADATOK!D7," ",ALAPADATOK!E7," ",ALAPADATOK!F7," ",ALAPADATOK!G7," ",ALAPADATOK!H7)</f>
        <v>16. melléklet a 19 / 2021. ( XI.29. ) önkormányzati rendelethez</v>
      </c>
      <c r="B1" s="1482"/>
      <c r="C1" s="1482"/>
    </row>
    <row r="2" spans="1:8" s="77" customFormat="1" ht="21" customHeight="1" x14ac:dyDescent="0.2">
      <c r="A2" s="76"/>
      <c r="B2" s="78"/>
      <c r="C2" s="964"/>
    </row>
    <row r="3" spans="1:8" s="217" customFormat="1" ht="36.75" customHeight="1" thickBot="1" x14ac:dyDescent="0.25">
      <c r="A3" s="1442" t="s">
        <v>1079</v>
      </c>
      <c r="B3" s="1442"/>
      <c r="C3" s="1442"/>
    </row>
    <row r="4" spans="1:8" ht="13.5" thickBot="1" x14ac:dyDescent="0.25">
      <c r="A4" s="175" t="s">
        <v>154</v>
      </c>
      <c r="B4" s="81" t="s">
        <v>50</v>
      </c>
      <c r="C4" s="82" t="s">
        <v>1033</v>
      </c>
    </row>
    <row r="5" spans="1:8" s="219" customFormat="1" ht="12.95" customHeight="1" thickBot="1" x14ac:dyDescent="0.25">
      <c r="A5" s="71" t="s">
        <v>391</v>
      </c>
      <c r="B5" s="72" t="s">
        <v>392</v>
      </c>
      <c r="C5" s="73" t="s">
        <v>393</v>
      </c>
    </row>
    <row r="6" spans="1:8" s="219" customFormat="1" ht="15.95" customHeight="1" thickBot="1" x14ac:dyDescent="0.25">
      <c r="A6" s="83"/>
      <c r="B6" s="84" t="s">
        <v>52</v>
      </c>
      <c r="C6" s="85"/>
    </row>
    <row r="7" spans="1:8" s="168" customFormat="1" ht="12" customHeight="1" thickBot="1" x14ac:dyDescent="0.25">
      <c r="A7" s="71" t="s">
        <v>16</v>
      </c>
      <c r="B7" s="86" t="s">
        <v>467</v>
      </c>
      <c r="C7" s="856">
        <f>SUM(C8:C18)</f>
        <v>1154984</v>
      </c>
      <c r="H7" s="504"/>
    </row>
    <row r="8" spans="1:8" s="168" customFormat="1" ht="12" customHeight="1" x14ac:dyDescent="0.2">
      <c r="A8" s="211" t="s">
        <v>86</v>
      </c>
      <c r="B8" s="7" t="s">
        <v>209</v>
      </c>
      <c r="C8" s="158"/>
      <c r="H8" s="1387"/>
    </row>
    <row r="9" spans="1:8" s="168" customFormat="1" ht="12" customHeight="1" x14ac:dyDescent="0.2">
      <c r="A9" s="212" t="s">
        <v>87</v>
      </c>
      <c r="B9" s="5" t="s">
        <v>210</v>
      </c>
      <c r="C9" s="854">
        <v>909435</v>
      </c>
      <c r="H9" s="1387"/>
    </row>
    <row r="10" spans="1:8" s="168" customFormat="1" ht="12" customHeight="1" x14ac:dyDescent="0.2">
      <c r="A10" s="212" t="s">
        <v>88</v>
      </c>
      <c r="B10" s="5" t="s">
        <v>211</v>
      </c>
      <c r="C10" s="854"/>
      <c r="H10" s="504"/>
    </row>
    <row r="11" spans="1:8" s="168" customFormat="1" ht="12" customHeight="1" x14ac:dyDescent="0.2">
      <c r="A11" s="212" t="s">
        <v>89</v>
      </c>
      <c r="B11" s="5" t="s">
        <v>212</v>
      </c>
      <c r="C11" s="854"/>
    </row>
    <row r="12" spans="1:8" s="168" customFormat="1" ht="12" customHeight="1" x14ac:dyDescent="0.2">
      <c r="A12" s="212" t="s">
        <v>112</v>
      </c>
      <c r="B12" s="5" t="s">
        <v>213</v>
      </c>
      <c r="C12" s="854"/>
    </row>
    <row r="13" spans="1:8" s="168" customFormat="1" ht="12" customHeight="1" x14ac:dyDescent="0.2">
      <c r="A13" s="212" t="s">
        <v>90</v>
      </c>
      <c r="B13" s="5" t="s">
        <v>333</v>
      </c>
      <c r="C13" s="854">
        <v>245549</v>
      </c>
    </row>
    <row r="14" spans="1:8" s="168" customFormat="1" ht="12" customHeight="1" x14ac:dyDescent="0.2">
      <c r="A14" s="212" t="s">
        <v>91</v>
      </c>
      <c r="B14" s="4" t="s">
        <v>334</v>
      </c>
      <c r="C14" s="854"/>
    </row>
    <row r="15" spans="1:8" s="168" customFormat="1" ht="12" customHeight="1" x14ac:dyDescent="0.2">
      <c r="A15" s="212" t="s">
        <v>101</v>
      </c>
      <c r="B15" s="5" t="s">
        <v>216</v>
      </c>
      <c r="C15" s="127"/>
    </row>
    <row r="16" spans="1:8" s="220" customFormat="1" ht="12" customHeight="1" x14ac:dyDescent="0.2">
      <c r="A16" s="212" t="s">
        <v>102</v>
      </c>
      <c r="B16" s="5" t="s">
        <v>217</v>
      </c>
      <c r="C16" s="854"/>
    </row>
    <row r="17" spans="1:3" s="220" customFormat="1" ht="12" customHeight="1" x14ac:dyDescent="0.2">
      <c r="A17" s="212" t="s">
        <v>103</v>
      </c>
      <c r="B17" s="5" t="s">
        <v>397</v>
      </c>
      <c r="C17" s="414"/>
    </row>
    <row r="18" spans="1:3" s="220" customFormat="1" ht="12" customHeight="1" thickBot="1" x14ac:dyDescent="0.25">
      <c r="A18" s="212" t="s">
        <v>104</v>
      </c>
      <c r="B18" s="4" t="s">
        <v>218</v>
      </c>
      <c r="C18" s="414"/>
    </row>
    <row r="19" spans="1:3" s="168" customFormat="1" ht="12" customHeight="1" thickBot="1" x14ac:dyDescent="0.25">
      <c r="A19" s="71" t="s">
        <v>17</v>
      </c>
      <c r="B19" s="86" t="s">
        <v>335</v>
      </c>
      <c r="C19" s="856">
        <f>SUM(C20:C22)</f>
        <v>9618799</v>
      </c>
    </row>
    <row r="20" spans="1:3" s="220" customFormat="1" ht="12" customHeight="1" x14ac:dyDescent="0.2">
      <c r="A20" s="212" t="s">
        <v>92</v>
      </c>
      <c r="B20" s="6" t="s">
        <v>187</v>
      </c>
      <c r="C20" s="124"/>
    </row>
    <row r="21" spans="1:3" s="220" customFormat="1" ht="12" customHeight="1" x14ac:dyDescent="0.2">
      <c r="A21" s="212" t="s">
        <v>93</v>
      </c>
      <c r="B21" s="5" t="s">
        <v>336</v>
      </c>
      <c r="C21" s="854"/>
    </row>
    <row r="22" spans="1:3" s="220" customFormat="1" ht="12" customHeight="1" x14ac:dyDescent="0.2">
      <c r="A22" s="212" t="s">
        <v>94</v>
      </c>
      <c r="B22" s="5" t="s">
        <v>337</v>
      </c>
      <c r="C22" s="571">
        <v>9618799</v>
      </c>
    </row>
    <row r="23" spans="1:3" s="220" customFormat="1" ht="12" customHeight="1" thickBot="1" x14ac:dyDescent="0.25">
      <c r="A23" s="212" t="s">
        <v>95</v>
      </c>
      <c r="B23" s="5" t="s">
        <v>468</v>
      </c>
      <c r="C23" s="854">
        <v>9618799</v>
      </c>
    </row>
    <row r="24" spans="1:3" s="220" customFormat="1" ht="12" customHeight="1" thickBot="1" x14ac:dyDescent="0.25">
      <c r="A24" s="74" t="s">
        <v>18</v>
      </c>
      <c r="B24" s="54" t="s">
        <v>126</v>
      </c>
      <c r="C24" s="144"/>
    </row>
    <row r="25" spans="1:3" s="220" customFormat="1" ht="12" customHeight="1" thickBot="1" x14ac:dyDescent="0.25">
      <c r="A25" s="74" t="s">
        <v>19</v>
      </c>
      <c r="B25" s="54" t="s">
        <v>469</v>
      </c>
      <c r="C25" s="856">
        <f>+C26+C27+C28</f>
        <v>51850900</v>
      </c>
    </row>
    <row r="26" spans="1:3" s="220" customFormat="1" ht="12" customHeight="1" x14ac:dyDescent="0.2">
      <c r="A26" s="213" t="s">
        <v>197</v>
      </c>
      <c r="B26" s="214" t="s">
        <v>192</v>
      </c>
      <c r="C26" s="853"/>
    </row>
    <row r="27" spans="1:3" s="220" customFormat="1" ht="12" customHeight="1" x14ac:dyDescent="0.2">
      <c r="A27" s="213" t="s">
        <v>200</v>
      </c>
      <c r="B27" s="214" t="s">
        <v>336</v>
      </c>
      <c r="C27" s="124"/>
    </row>
    <row r="28" spans="1:3" s="220" customFormat="1" ht="12" customHeight="1" x14ac:dyDescent="0.2">
      <c r="A28" s="213" t="s">
        <v>201</v>
      </c>
      <c r="B28" s="215" t="s">
        <v>338</v>
      </c>
      <c r="C28" s="124">
        <v>51850900</v>
      </c>
    </row>
    <row r="29" spans="1:3" s="220" customFormat="1" ht="12" customHeight="1" thickBot="1" x14ac:dyDescent="0.25">
      <c r="A29" s="212" t="s">
        <v>202</v>
      </c>
      <c r="B29" s="57" t="s">
        <v>470</v>
      </c>
      <c r="C29" s="855">
        <v>51850900</v>
      </c>
    </row>
    <row r="30" spans="1:3" s="220" customFormat="1" ht="12" customHeight="1" thickBot="1" x14ac:dyDescent="0.25">
      <c r="A30" s="74" t="s">
        <v>20</v>
      </c>
      <c r="B30" s="54" t="s">
        <v>339</v>
      </c>
      <c r="C30" s="856">
        <f>+C31+C32+C33</f>
        <v>0</v>
      </c>
    </row>
    <row r="31" spans="1:3" s="220" customFormat="1" ht="12" customHeight="1" x14ac:dyDescent="0.2">
      <c r="A31" s="213" t="s">
        <v>79</v>
      </c>
      <c r="B31" s="214" t="s">
        <v>223</v>
      </c>
      <c r="C31" s="853"/>
    </row>
    <row r="32" spans="1:3" s="220" customFormat="1" ht="12" customHeight="1" x14ac:dyDescent="0.2">
      <c r="A32" s="213" t="s">
        <v>80</v>
      </c>
      <c r="B32" s="215" t="s">
        <v>224</v>
      </c>
      <c r="C32" s="127"/>
    </row>
    <row r="33" spans="1:3" s="168" customFormat="1" ht="12" customHeight="1" thickBot="1" x14ac:dyDescent="0.25">
      <c r="A33" s="212" t="s">
        <v>81</v>
      </c>
      <c r="B33" s="57" t="s">
        <v>225</v>
      </c>
      <c r="C33" s="855"/>
    </row>
    <row r="34" spans="1:3" s="168" customFormat="1" ht="12" customHeight="1" thickBot="1" x14ac:dyDescent="0.25">
      <c r="A34" s="74" t="s">
        <v>21</v>
      </c>
      <c r="B34" s="54" t="s">
        <v>311</v>
      </c>
      <c r="C34" s="144"/>
    </row>
    <row r="35" spans="1:3" s="168" customFormat="1" ht="12" customHeight="1" thickBot="1" x14ac:dyDescent="0.25">
      <c r="A35" s="74" t="s">
        <v>22</v>
      </c>
      <c r="B35" s="54" t="s">
        <v>340</v>
      </c>
      <c r="C35" s="160"/>
    </row>
    <row r="36" spans="1:3" s="168" customFormat="1" ht="12" customHeight="1" thickBot="1" x14ac:dyDescent="0.25">
      <c r="A36" s="71" t="s">
        <v>23</v>
      </c>
      <c r="B36" s="54" t="s">
        <v>341</v>
      </c>
      <c r="C36" s="857">
        <f>+C7+C19+C24+C25+C30+C34+C35</f>
        <v>62624683</v>
      </c>
    </row>
    <row r="37" spans="1:3" s="168" customFormat="1" ht="12" customHeight="1" thickBot="1" x14ac:dyDescent="0.25">
      <c r="A37" s="962" t="s">
        <v>24</v>
      </c>
      <c r="B37" s="54" t="s">
        <v>342</v>
      </c>
      <c r="C37" s="857">
        <f>+C38+C39+C40</f>
        <v>6875968</v>
      </c>
    </row>
    <row r="38" spans="1:3" s="168" customFormat="1" ht="12" customHeight="1" x14ac:dyDescent="0.2">
      <c r="A38" s="213" t="s">
        <v>343</v>
      </c>
      <c r="B38" s="214" t="s">
        <v>168</v>
      </c>
      <c r="C38" s="853"/>
    </row>
    <row r="39" spans="1:3" s="220" customFormat="1" ht="12" customHeight="1" x14ac:dyDescent="0.2">
      <c r="A39" s="213" t="s">
        <v>344</v>
      </c>
      <c r="B39" s="215" t="s">
        <v>6</v>
      </c>
      <c r="C39" s="127"/>
    </row>
    <row r="40" spans="1:3" s="220" customFormat="1" ht="15" customHeight="1" thickBot="1" x14ac:dyDescent="0.25">
      <c r="A40" s="212" t="s">
        <v>345</v>
      </c>
      <c r="B40" s="57" t="s">
        <v>346</v>
      </c>
      <c r="C40" s="1174">
        <f>6494967+1+381000</f>
        <v>6875968</v>
      </c>
    </row>
    <row r="41" spans="1:3" s="220" customFormat="1" ht="15" customHeight="1" thickBot="1" x14ac:dyDescent="0.25">
      <c r="A41" s="962" t="s">
        <v>25</v>
      </c>
      <c r="B41" s="963" t="s">
        <v>347</v>
      </c>
      <c r="C41" s="163">
        <f>+C36+C37</f>
        <v>69500651</v>
      </c>
    </row>
    <row r="42" spans="1:3" x14ac:dyDescent="0.2">
      <c r="A42" s="89"/>
      <c r="B42" s="90"/>
      <c r="C42" s="161"/>
    </row>
    <row r="43" spans="1:3" s="219" customFormat="1" ht="16.5" customHeight="1" thickBot="1" x14ac:dyDescent="0.25">
      <c r="A43" s="91"/>
      <c r="B43" s="92"/>
      <c r="C43" s="162"/>
    </row>
    <row r="44" spans="1:3" s="221" customFormat="1" ht="12" customHeight="1" thickBot="1" x14ac:dyDescent="0.25">
      <c r="A44" s="93"/>
      <c r="B44" s="94" t="s">
        <v>53</v>
      </c>
      <c r="C44" s="163"/>
    </row>
    <row r="45" spans="1:3" ht="12" customHeight="1" thickBot="1" x14ac:dyDescent="0.25">
      <c r="A45" s="74" t="s">
        <v>16</v>
      </c>
      <c r="B45" s="54" t="s">
        <v>348</v>
      </c>
      <c r="C45" s="856">
        <f>SUM(C46:C50)</f>
        <v>12687083</v>
      </c>
    </row>
    <row r="46" spans="1:3" ht="12" customHeight="1" x14ac:dyDescent="0.2">
      <c r="A46" s="212" t="s">
        <v>86</v>
      </c>
      <c r="B46" s="6" t="s">
        <v>46</v>
      </c>
      <c r="C46" s="577">
        <v>465000</v>
      </c>
    </row>
    <row r="47" spans="1:3" ht="12" customHeight="1" x14ac:dyDescent="0.2">
      <c r="A47" s="212" t="s">
        <v>87</v>
      </c>
      <c r="B47" s="5" t="s">
        <v>135</v>
      </c>
      <c r="C47" s="571">
        <v>125550</v>
      </c>
    </row>
    <row r="48" spans="1:3" ht="12" customHeight="1" x14ac:dyDescent="0.2">
      <c r="A48" s="212" t="s">
        <v>88</v>
      </c>
      <c r="B48" s="5" t="s">
        <v>111</v>
      </c>
      <c r="C48" s="571">
        <v>12096533</v>
      </c>
    </row>
    <row r="49" spans="1:3" ht="12" customHeight="1" x14ac:dyDescent="0.2">
      <c r="A49" s="212" t="s">
        <v>89</v>
      </c>
      <c r="B49" s="5" t="s">
        <v>136</v>
      </c>
      <c r="C49" s="571"/>
    </row>
    <row r="50" spans="1:3" ht="12" customHeight="1" thickBot="1" x14ac:dyDescent="0.25">
      <c r="A50" s="212" t="s">
        <v>112</v>
      </c>
      <c r="B50" s="5" t="s">
        <v>137</v>
      </c>
      <c r="C50" s="854"/>
    </row>
    <row r="51" spans="1:3" s="221" customFormat="1" ht="12" customHeight="1" thickBot="1" x14ac:dyDescent="0.25">
      <c r="A51" s="74" t="s">
        <v>17</v>
      </c>
      <c r="B51" s="54" t="s">
        <v>349</v>
      </c>
      <c r="C51" s="856">
        <f>SUM(C52:C54)</f>
        <v>56813568</v>
      </c>
    </row>
    <row r="52" spans="1:3" ht="12" customHeight="1" x14ac:dyDescent="0.2">
      <c r="A52" s="212" t="s">
        <v>92</v>
      </c>
      <c r="B52" s="6" t="s">
        <v>159</v>
      </c>
      <c r="C52" s="858">
        <f>54931845+1+381000</f>
        <v>55312846</v>
      </c>
    </row>
    <row r="53" spans="1:3" ht="12" customHeight="1" x14ac:dyDescent="0.2">
      <c r="A53" s="212" t="s">
        <v>93</v>
      </c>
      <c r="B53" s="5" t="s">
        <v>139</v>
      </c>
      <c r="C53" s="571">
        <v>1500722</v>
      </c>
    </row>
    <row r="54" spans="1:3" ht="12" customHeight="1" x14ac:dyDescent="0.2">
      <c r="A54" s="212" t="s">
        <v>94</v>
      </c>
      <c r="B54" s="5" t="s">
        <v>54</v>
      </c>
      <c r="C54" s="854"/>
    </row>
    <row r="55" spans="1:3" ht="15" customHeight="1" thickBot="1" x14ac:dyDescent="0.25">
      <c r="A55" s="212" t="s">
        <v>95</v>
      </c>
      <c r="B55" s="5" t="s">
        <v>471</v>
      </c>
      <c r="C55" s="854"/>
    </row>
    <row r="56" spans="1:3" ht="13.5" thickBot="1" x14ac:dyDescent="0.25">
      <c r="A56" s="74" t="s">
        <v>18</v>
      </c>
      <c r="B56" s="54" t="s">
        <v>12</v>
      </c>
      <c r="C56" s="144"/>
    </row>
    <row r="57" spans="1:3" ht="15" customHeight="1" thickBot="1" x14ac:dyDescent="0.25">
      <c r="A57" s="74" t="s">
        <v>19</v>
      </c>
      <c r="B57" s="95" t="s">
        <v>472</v>
      </c>
      <c r="C57" s="164">
        <f>+C45+C51+C56</f>
        <v>69500651</v>
      </c>
    </row>
    <row r="58" spans="1:3" ht="14.25" customHeight="1" thickBot="1" x14ac:dyDescent="0.25">
      <c r="C58" s="319"/>
    </row>
    <row r="59" spans="1:3" ht="13.5" thickBot="1" x14ac:dyDescent="0.25">
      <c r="A59" s="97" t="s">
        <v>465</v>
      </c>
      <c r="B59" s="98"/>
      <c r="C59" s="416"/>
    </row>
  </sheetData>
  <sheetProtection formatCells="0"/>
  <mergeCells count="2">
    <mergeCell ref="A1:C1"/>
    <mergeCell ref="A3:C3"/>
  </mergeCells>
  <printOptions horizontalCentered="1"/>
  <pageMargins left="0.7" right="0.7" top="0.75" bottom="0.75" header="0.3" footer="0.3"/>
  <pageSetup paperSize="9" scale="71" orientation="portrait" verticalDpi="300" r:id="rId1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34"/>
  <dimension ref="A1:F57"/>
  <sheetViews>
    <sheetView zoomScale="115" zoomScaleNormal="115" workbookViewId="0">
      <selection activeCell="B51" sqref="B51"/>
    </sheetView>
  </sheetViews>
  <sheetFormatPr defaultRowHeight="12.75" x14ac:dyDescent="0.2"/>
  <cols>
    <col min="1" max="1" width="13.83203125" style="96" customWidth="1"/>
    <col min="2" max="2" width="79.1640625" style="774" customWidth="1"/>
    <col min="3" max="3" width="25" style="333" customWidth="1"/>
    <col min="4" max="4" width="9.33203125" style="774" hidden="1" customWidth="1"/>
    <col min="5" max="5" width="11.83203125" style="797" hidden="1" customWidth="1"/>
    <col min="6" max="6" width="12.5" style="797" hidden="1" customWidth="1"/>
    <col min="7" max="7" width="9.33203125" style="774" customWidth="1"/>
    <col min="8" max="256" width="9.33203125" style="774"/>
    <col min="257" max="257" width="13.83203125" style="774" customWidth="1"/>
    <col min="258" max="258" width="79.1640625" style="774" customWidth="1"/>
    <col min="259" max="259" width="25" style="774" customWidth="1"/>
    <col min="260" max="512" width="9.33203125" style="774"/>
    <col min="513" max="513" width="13.83203125" style="774" customWidth="1"/>
    <col min="514" max="514" width="79.1640625" style="774" customWidth="1"/>
    <col min="515" max="515" width="25" style="774" customWidth="1"/>
    <col min="516" max="768" width="9.33203125" style="774"/>
    <col min="769" max="769" width="13.83203125" style="774" customWidth="1"/>
    <col min="770" max="770" width="79.1640625" style="774" customWidth="1"/>
    <col min="771" max="771" width="25" style="774" customWidth="1"/>
    <col min="772" max="1024" width="9.33203125" style="774"/>
    <col min="1025" max="1025" width="13.83203125" style="774" customWidth="1"/>
    <col min="1026" max="1026" width="79.1640625" style="774" customWidth="1"/>
    <col min="1027" max="1027" width="25" style="774" customWidth="1"/>
    <col min="1028" max="1280" width="9.33203125" style="774"/>
    <col min="1281" max="1281" width="13.83203125" style="774" customWidth="1"/>
    <col min="1282" max="1282" width="79.1640625" style="774" customWidth="1"/>
    <col min="1283" max="1283" width="25" style="774" customWidth="1"/>
    <col min="1284" max="1536" width="9.33203125" style="774"/>
    <col min="1537" max="1537" width="13.83203125" style="774" customWidth="1"/>
    <col min="1538" max="1538" width="79.1640625" style="774" customWidth="1"/>
    <col min="1539" max="1539" width="25" style="774" customWidth="1"/>
    <col min="1540" max="1792" width="9.33203125" style="774"/>
    <col min="1793" max="1793" width="13.83203125" style="774" customWidth="1"/>
    <col min="1794" max="1794" width="79.1640625" style="774" customWidth="1"/>
    <col min="1795" max="1795" width="25" style="774" customWidth="1"/>
    <col min="1796" max="2048" width="9.33203125" style="774"/>
    <col min="2049" max="2049" width="13.83203125" style="774" customWidth="1"/>
    <col min="2050" max="2050" width="79.1640625" style="774" customWidth="1"/>
    <col min="2051" max="2051" width="25" style="774" customWidth="1"/>
    <col min="2052" max="2304" width="9.33203125" style="774"/>
    <col min="2305" max="2305" width="13.83203125" style="774" customWidth="1"/>
    <col min="2306" max="2306" width="79.1640625" style="774" customWidth="1"/>
    <col min="2307" max="2307" width="25" style="774" customWidth="1"/>
    <col min="2308" max="2560" width="9.33203125" style="774"/>
    <col min="2561" max="2561" width="13.83203125" style="774" customWidth="1"/>
    <col min="2562" max="2562" width="79.1640625" style="774" customWidth="1"/>
    <col min="2563" max="2563" width="25" style="774" customWidth="1"/>
    <col min="2564" max="2816" width="9.33203125" style="774"/>
    <col min="2817" max="2817" width="13.83203125" style="774" customWidth="1"/>
    <col min="2818" max="2818" width="79.1640625" style="774" customWidth="1"/>
    <col min="2819" max="2819" width="25" style="774" customWidth="1"/>
    <col min="2820" max="3072" width="9.33203125" style="774"/>
    <col min="3073" max="3073" width="13.83203125" style="774" customWidth="1"/>
    <col min="3074" max="3074" width="79.1640625" style="774" customWidth="1"/>
    <col min="3075" max="3075" width="25" style="774" customWidth="1"/>
    <col min="3076" max="3328" width="9.33203125" style="774"/>
    <col min="3329" max="3329" width="13.83203125" style="774" customWidth="1"/>
    <col min="3330" max="3330" width="79.1640625" style="774" customWidth="1"/>
    <col min="3331" max="3331" width="25" style="774" customWidth="1"/>
    <col min="3332" max="3584" width="9.33203125" style="774"/>
    <col min="3585" max="3585" width="13.83203125" style="774" customWidth="1"/>
    <col min="3586" max="3586" width="79.1640625" style="774" customWidth="1"/>
    <col min="3587" max="3587" width="25" style="774" customWidth="1"/>
    <col min="3588" max="3840" width="9.33203125" style="774"/>
    <col min="3841" max="3841" width="13.83203125" style="774" customWidth="1"/>
    <col min="3842" max="3842" width="79.1640625" style="774" customWidth="1"/>
    <col min="3843" max="3843" width="25" style="774" customWidth="1"/>
    <col min="3844" max="4096" width="9.33203125" style="774"/>
    <col min="4097" max="4097" width="13.83203125" style="774" customWidth="1"/>
    <col min="4098" max="4098" width="79.1640625" style="774" customWidth="1"/>
    <col min="4099" max="4099" width="25" style="774" customWidth="1"/>
    <col min="4100" max="4352" width="9.33203125" style="774"/>
    <col min="4353" max="4353" width="13.83203125" style="774" customWidth="1"/>
    <col min="4354" max="4354" width="79.1640625" style="774" customWidth="1"/>
    <col min="4355" max="4355" width="25" style="774" customWidth="1"/>
    <col min="4356" max="4608" width="9.33203125" style="774"/>
    <col min="4609" max="4609" width="13.83203125" style="774" customWidth="1"/>
    <col min="4610" max="4610" width="79.1640625" style="774" customWidth="1"/>
    <col min="4611" max="4611" width="25" style="774" customWidth="1"/>
    <col min="4612" max="4864" width="9.33203125" style="774"/>
    <col min="4865" max="4865" width="13.83203125" style="774" customWidth="1"/>
    <col min="4866" max="4866" width="79.1640625" style="774" customWidth="1"/>
    <col min="4867" max="4867" width="25" style="774" customWidth="1"/>
    <col min="4868" max="5120" width="9.33203125" style="774"/>
    <col min="5121" max="5121" width="13.83203125" style="774" customWidth="1"/>
    <col min="5122" max="5122" width="79.1640625" style="774" customWidth="1"/>
    <col min="5123" max="5123" width="25" style="774" customWidth="1"/>
    <col min="5124" max="5376" width="9.33203125" style="774"/>
    <col min="5377" max="5377" width="13.83203125" style="774" customWidth="1"/>
    <col min="5378" max="5378" width="79.1640625" style="774" customWidth="1"/>
    <col min="5379" max="5379" width="25" style="774" customWidth="1"/>
    <col min="5380" max="5632" width="9.33203125" style="774"/>
    <col min="5633" max="5633" width="13.83203125" style="774" customWidth="1"/>
    <col min="5634" max="5634" width="79.1640625" style="774" customWidth="1"/>
    <col min="5635" max="5635" width="25" style="774" customWidth="1"/>
    <col min="5636" max="5888" width="9.33203125" style="774"/>
    <col min="5889" max="5889" width="13.83203125" style="774" customWidth="1"/>
    <col min="5890" max="5890" width="79.1640625" style="774" customWidth="1"/>
    <col min="5891" max="5891" width="25" style="774" customWidth="1"/>
    <col min="5892" max="6144" width="9.33203125" style="774"/>
    <col min="6145" max="6145" width="13.83203125" style="774" customWidth="1"/>
    <col min="6146" max="6146" width="79.1640625" style="774" customWidth="1"/>
    <col min="6147" max="6147" width="25" style="774" customWidth="1"/>
    <col min="6148" max="6400" width="9.33203125" style="774"/>
    <col min="6401" max="6401" width="13.83203125" style="774" customWidth="1"/>
    <col min="6402" max="6402" width="79.1640625" style="774" customWidth="1"/>
    <col min="6403" max="6403" width="25" style="774" customWidth="1"/>
    <col min="6404" max="6656" width="9.33203125" style="774"/>
    <col min="6657" max="6657" width="13.83203125" style="774" customWidth="1"/>
    <col min="6658" max="6658" width="79.1640625" style="774" customWidth="1"/>
    <col min="6659" max="6659" width="25" style="774" customWidth="1"/>
    <col min="6660" max="6912" width="9.33203125" style="774"/>
    <col min="6913" max="6913" width="13.83203125" style="774" customWidth="1"/>
    <col min="6914" max="6914" width="79.1640625" style="774" customWidth="1"/>
    <col min="6915" max="6915" width="25" style="774" customWidth="1"/>
    <col min="6916" max="7168" width="9.33203125" style="774"/>
    <col min="7169" max="7169" width="13.83203125" style="774" customWidth="1"/>
    <col min="7170" max="7170" width="79.1640625" style="774" customWidth="1"/>
    <col min="7171" max="7171" width="25" style="774" customWidth="1"/>
    <col min="7172" max="7424" width="9.33203125" style="774"/>
    <col min="7425" max="7425" width="13.83203125" style="774" customWidth="1"/>
    <col min="7426" max="7426" width="79.1640625" style="774" customWidth="1"/>
    <col min="7427" max="7427" width="25" style="774" customWidth="1"/>
    <col min="7428" max="7680" width="9.33203125" style="774"/>
    <col min="7681" max="7681" width="13.83203125" style="774" customWidth="1"/>
    <col min="7682" max="7682" width="79.1640625" style="774" customWidth="1"/>
    <col min="7683" max="7683" width="25" style="774" customWidth="1"/>
    <col min="7684" max="7936" width="9.33203125" style="774"/>
    <col min="7937" max="7937" width="13.83203125" style="774" customWidth="1"/>
    <col min="7938" max="7938" width="79.1640625" style="774" customWidth="1"/>
    <col min="7939" max="7939" width="25" style="774" customWidth="1"/>
    <col min="7940" max="8192" width="9.33203125" style="774"/>
    <col min="8193" max="8193" width="13.83203125" style="774" customWidth="1"/>
    <col min="8194" max="8194" width="79.1640625" style="774" customWidth="1"/>
    <col min="8195" max="8195" width="25" style="774" customWidth="1"/>
    <col min="8196" max="8448" width="9.33203125" style="774"/>
    <col min="8449" max="8449" width="13.83203125" style="774" customWidth="1"/>
    <col min="8450" max="8450" width="79.1640625" style="774" customWidth="1"/>
    <col min="8451" max="8451" width="25" style="774" customWidth="1"/>
    <col min="8452" max="8704" width="9.33203125" style="774"/>
    <col min="8705" max="8705" width="13.83203125" style="774" customWidth="1"/>
    <col min="8706" max="8706" width="79.1640625" style="774" customWidth="1"/>
    <col min="8707" max="8707" width="25" style="774" customWidth="1"/>
    <col min="8708" max="8960" width="9.33203125" style="774"/>
    <col min="8961" max="8961" width="13.83203125" style="774" customWidth="1"/>
    <col min="8962" max="8962" width="79.1640625" style="774" customWidth="1"/>
    <col min="8963" max="8963" width="25" style="774" customWidth="1"/>
    <col min="8964" max="9216" width="9.33203125" style="774"/>
    <col min="9217" max="9217" width="13.83203125" style="774" customWidth="1"/>
    <col min="9218" max="9218" width="79.1640625" style="774" customWidth="1"/>
    <col min="9219" max="9219" width="25" style="774" customWidth="1"/>
    <col min="9220" max="9472" width="9.33203125" style="774"/>
    <col min="9473" max="9473" width="13.83203125" style="774" customWidth="1"/>
    <col min="9474" max="9474" width="79.1640625" style="774" customWidth="1"/>
    <col min="9475" max="9475" width="25" style="774" customWidth="1"/>
    <col min="9476" max="9728" width="9.33203125" style="774"/>
    <col min="9729" max="9729" width="13.83203125" style="774" customWidth="1"/>
    <col min="9730" max="9730" width="79.1640625" style="774" customWidth="1"/>
    <col min="9731" max="9731" width="25" style="774" customWidth="1"/>
    <col min="9732" max="9984" width="9.33203125" style="774"/>
    <col min="9985" max="9985" width="13.83203125" style="774" customWidth="1"/>
    <col min="9986" max="9986" width="79.1640625" style="774" customWidth="1"/>
    <col min="9987" max="9987" width="25" style="774" customWidth="1"/>
    <col min="9988" max="10240" width="9.33203125" style="774"/>
    <col min="10241" max="10241" width="13.83203125" style="774" customWidth="1"/>
    <col min="10242" max="10242" width="79.1640625" style="774" customWidth="1"/>
    <col min="10243" max="10243" width="25" style="774" customWidth="1"/>
    <col min="10244" max="10496" width="9.33203125" style="774"/>
    <col min="10497" max="10497" width="13.83203125" style="774" customWidth="1"/>
    <col min="10498" max="10498" width="79.1640625" style="774" customWidth="1"/>
    <col min="10499" max="10499" width="25" style="774" customWidth="1"/>
    <col min="10500" max="10752" width="9.33203125" style="774"/>
    <col min="10753" max="10753" width="13.83203125" style="774" customWidth="1"/>
    <col min="10754" max="10754" width="79.1640625" style="774" customWidth="1"/>
    <col min="10755" max="10755" width="25" style="774" customWidth="1"/>
    <col min="10756" max="11008" width="9.33203125" style="774"/>
    <col min="11009" max="11009" width="13.83203125" style="774" customWidth="1"/>
    <col min="11010" max="11010" width="79.1640625" style="774" customWidth="1"/>
    <col min="11011" max="11011" width="25" style="774" customWidth="1"/>
    <col min="11012" max="11264" width="9.33203125" style="774"/>
    <col min="11265" max="11265" width="13.83203125" style="774" customWidth="1"/>
    <col min="11266" max="11266" width="79.1640625" style="774" customWidth="1"/>
    <col min="11267" max="11267" width="25" style="774" customWidth="1"/>
    <col min="11268" max="11520" width="9.33203125" style="774"/>
    <col min="11521" max="11521" width="13.83203125" style="774" customWidth="1"/>
    <col min="11522" max="11522" width="79.1640625" style="774" customWidth="1"/>
    <col min="11523" max="11523" width="25" style="774" customWidth="1"/>
    <col min="11524" max="11776" width="9.33203125" style="774"/>
    <col min="11777" max="11777" width="13.83203125" style="774" customWidth="1"/>
    <col min="11778" max="11778" width="79.1640625" style="774" customWidth="1"/>
    <col min="11779" max="11779" width="25" style="774" customWidth="1"/>
    <col min="11780" max="12032" width="9.33203125" style="774"/>
    <col min="12033" max="12033" width="13.83203125" style="774" customWidth="1"/>
    <col min="12034" max="12034" width="79.1640625" style="774" customWidth="1"/>
    <col min="12035" max="12035" width="25" style="774" customWidth="1"/>
    <col min="12036" max="12288" width="9.33203125" style="774"/>
    <col min="12289" max="12289" width="13.83203125" style="774" customWidth="1"/>
    <col min="12290" max="12290" width="79.1640625" style="774" customWidth="1"/>
    <col min="12291" max="12291" width="25" style="774" customWidth="1"/>
    <col min="12292" max="12544" width="9.33203125" style="774"/>
    <col min="12545" max="12545" width="13.83203125" style="774" customWidth="1"/>
    <col min="12546" max="12546" width="79.1640625" style="774" customWidth="1"/>
    <col min="12547" max="12547" width="25" style="774" customWidth="1"/>
    <col min="12548" max="12800" width="9.33203125" style="774"/>
    <col min="12801" max="12801" width="13.83203125" style="774" customWidth="1"/>
    <col min="12802" max="12802" width="79.1640625" style="774" customWidth="1"/>
    <col min="12803" max="12803" width="25" style="774" customWidth="1"/>
    <col min="12804" max="13056" width="9.33203125" style="774"/>
    <col min="13057" max="13057" width="13.83203125" style="774" customWidth="1"/>
    <col min="13058" max="13058" width="79.1640625" style="774" customWidth="1"/>
    <col min="13059" max="13059" width="25" style="774" customWidth="1"/>
    <col min="13060" max="13312" width="9.33203125" style="774"/>
    <col min="13313" max="13313" width="13.83203125" style="774" customWidth="1"/>
    <col min="13314" max="13314" width="79.1640625" style="774" customWidth="1"/>
    <col min="13315" max="13315" width="25" style="774" customWidth="1"/>
    <col min="13316" max="13568" width="9.33203125" style="774"/>
    <col min="13569" max="13569" width="13.83203125" style="774" customWidth="1"/>
    <col min="13570" max="13570" width="79.1640625" style="774" customWidth="1"/>
    <col min="13571" max="13571" width="25" style="774" customWidth="1"/>
    <col min="13572" max="13824" width="9.33203125" style="774"/>
    <col min="13825" max="13825" width="13.83203125" style="774" customWidth="1"/>
    <col min="13826" max="13826" width="79.1640625" style="774" customWidth="1"/>
    <col min="13827" max="13827" width="25" style="774" customWidth="1"/>
    <col min="13828" max="14080" width="9.33203125" style="774"/>
    <col min="14081" max="14081" width="13.83203125" style="774" customWidth="1"/>
    <col min="14082" max="14082" width="79.1640625" style="774" customWidth="1"/>
    <col min="14083" max="14083" width="25" style="774" customWidth="1"/>
    <col min="14084" max="14336" width="9.33203125" style="774"/>
    <col min="14337" max="14337" width="13.83203125" style="774" customWidth="1"/>
    <col min="14338" max="14338" width="79.1640625" style="774" customWidth="1"/>
    <col min="14339" max="14339" width="25" style="774" customWidth="1"/>
    <col min="14340" max="14592" width="9.33203125" style="774"/>
    <col min="14593" max="14593" width="13.83203125" style="774" customWidth="1"/>
    <col min="14594" max="14594" width="79.1640625" style="774" customWidth="1"/>
    <col min="14595" max="14595" width="25" style="774" customWidth="1"/>
    <col min="14596" max="14848" width="9.33203125" style="774"/>
    <col min="14849" max="14849" width="13.83203125" style="774" customWidth="1"/>
    <col min="14850" max="14850" width="79.1640625" style="774" customWidth="1"/>
    <col min="14851" max="14851" width="25" style="774" customWidth="1"/>
    <col min="14852" max="15104" width="9.33203125" style="774"/>
    <col min="15105" max="15105" width="13.83203125" style="774" customWidth="1"/>
    <col min="15106" max="15106" width="79.1640625" style="774" customWidth="1"/>
    <col min="15107" max="15107" width="25" style="774" customWidth="1"/>
    <col min="15108" max="15360" width="9.33203125" style="774"/>
    <col min="15361" max="15361" width="13.83203125" style="774" customWidth="1"/>
    <col min="15362" max="15362" width="79.1640625" style="774" customWidth="1"/>
    <col min="15363" max="15363" width="25" style="774" customWidth="1"/>
    <col min="15364" max="15616" width="9.33203125" style="774"/>
    <col min="15617" max="15617" width="13.83203125" style="774" customWidth="1"/>
    <col min="15618" max="15618" width="79.1640625" style="774" customWidth="1"/>
    <col min="15619" max="15619" width="25" style="774" customWidth="1"/>
    <col min="15620" max="15872" width="9.33203125" style="774"/>
    <col min="15873" max="15873" width="13.83203125" style="774" customWidth="1"/>
    <col min="15874" max="15874" width="79.1640625" style="774" customWidth="1"/>
    <col min="15875" max="15875" width="25" style="774" customWidth="1"/>
    <col min="15876" max="16128" width="9.33203125" style="774"/>
    <col min="16129" max="16129" width="13.83203125" style="774" customWidth="1"/>
    <col min="16130" max="16130" width="79.1640625" style="774" customWidth="1"/>
    <col min="16131" max="16131" width="25" style="774" customWidth="1"/>
    <col min="16132" max="16384" width="9.33203125" style="774"/>
  </cols>
  <sheetData>
    <row r="1" spans="1:6" ht="12.75" customHeight="1" x14ac:dyDescent="0.2">
      <c r="A1" s="1482" t="str">
        <f>CONCATENATE("24. melléklet"," ",ALAPADATOK!A7," ",ALAPADATOK!B7," ",ALAPADATOK!C7," ",ALAPADATOK!D7," ",ALAPADATOK!E7," ",ALAPADATOK!F7," ",ALAPADATOK!G7," ",ALAPADATOK!H7)</f>
        <v>24. melléklet a 19 / 2021. ( XI.29. ) önkormányzati rendelethez</v>
      </c>
      <c r="B1" s="1482"/>
      <c r="C1" s="1482"/>
    </row>
    <row r="2" spans="1:6" s="77" customFormat="1" ht="21" customHeight="1" x14ac:dyDescent="0.2">
      <c r="A2" s="76"/>
      <c r="B2" s="78"/>
      <c r="C2" s="961"/>
      <c r="E2" s="797"/>
      <c r="F2" s="797"/>
    </row>
    <row r="3" spans="1:6" s="217" customFormat="1" ht="33" customHeight="1" thickBot="1" x14ac:dyDescent="0.25">
      <c r="A3" s="1442" t="s">
        <v>1041</v>
      </c>
      <c r="B3" s="1442"/>
      <c r="C3" s="1442"/>
      <c r="E3" s="497"/>
      <c r="F3" s="497"/>
    </row>
    <row r="4" spans="1:6" ht="13.5" thickBot="1" x14ac:dyDescent="0.25">
      <c r="A4" s="1310" t="s">
        <v>154</v>
      </c>
      <c r="B4" s="81" t="s">
        <v>50</v>
      </c>
      <c r="C4" s="330" t="s">
        <v>1033</v>
      </c>
    </row>
    <row r="5" spans="1:6" s="219" customFormat="1" ht="12.95" customHeight="1" thickBot="1" x14ac:dyDescent="0.25">
      <c r="A5" s="71" t="s">
        <v>391</v>
      </c>
      <c r="B5" s="72" t="s">
        <v>392</v>
      </c>
      <c r="C5" s="331" t="s">
        <v>393</v>
      </c>
      <c r="E5" s="498"/>
      <c r="F5" s="498"/>
    </row>
    <row r="6" spans="1:6" s="219" customFormat="1" ht="15.95" customHeight="1" thickBot="1" x14ac:dyDescent="0.25">
      <c r="A6" s="83"/>
      <c r="B6" s="84" t="s">
        <v>52</v>
      </c>
      <c r="C6" s="332"/>
      <c r="E6" s="498"/>
      <c r="F6" s="498"/>
    </row>
    <row r="7" spans="1:6" s="168" customFormat="1" ht="12" customHeight="1" thickBot="1" x14ac:dyDescent="0.25">
      <c r="A7" s="71" t="s">
        <v>16</v>
      </c>
      <c r="B7" s="86" t="s">
        <v>467</v>
      </c>
      <c r="C7" s="569">
        <f>SUM(C8:C18)</f>
        <v>26965328</v>
      </c>
      <c r="E7" s="499">
        <f>'9.5.1. sz. mell VK '!C7+'9.5.2. sz. mell VK'!C9</f>
        <v>26965328</v>
      </c>
      <c r="F7" s="499">
        <f>C7-E7</f>
        <v>0</v>
      </c>
    </row>
    <row r="8" spans="1:6" s="168" customFormat="1" ht="12" customHeight="1" x14ac:dyDescent="0.2">
      <c r="A8" s="211" t="s">
        <v>86</v>
      </c>
      <c r="B8" s="7" t="s">
        <v>209</v>
      </c>
      <c r="C8" s="570"/>
      <c r="E8" s="499">
        <f>'9.5.1. sz. mell VK '!C8+'9.5.2. sz. mell VK'!C10</f>
        <v>0</v>
      </c>
      <c r="F8" s="499">
        <f t="shared" ref="F8:F56" si="0">C8-E8</f>
        <v>0</v>
      </c>
    </row>
    <row r="9" spans="1:6" s="168" customFormat="1" ht="12" customHeight="1" x14ac:dyDescent="0.2">
      <c r="A9" s="212" t="s">
        <v>87</v>
      </c>
      <c r="B9" s="5" t="s">
        <v>210</v>
      </c>
      <c r="C9" s="854">
        <f>25515233-2000000-13776736</f>
        <v>9738497</v>
      </c>
      <c r="E9" s="499">
        <f>'9.5.1. sz. mell VK '!C9+'9.5.2. sz. mell VK'!C11</f>
        <v>9738497</v>
      </c>
      <c r="F9" s="499">
        <f t="shared" si="0"/>
        <v>0</v>
      </c>
    </row>
    <row r="10" spans="1:6" s="168" customFormat="1" ht="12" customHeight="1" x14ac:dyDescent="0.2">
      <c r="A10" s="212" t="s">
        <v>88</v>
      </c>
      <c r="B10" s="5" t="s">
        <v>211</v>
      </c>
      <c r="C10" s="854">
        <f>1270000-613120</f>
        <v>656880</v>
      </c>
      <c r="E10" s="499">
        <f>'9.5.1. sz. mell VK '!C10+'9.5.2. sz. mell VK'!C12</f>
        <v>656880</v>
      </c>
      <c r="F10" s="499">
        <f t="shared" si="0"/>
        <v>0</v>
      </c>
    </row>
    <row r="11" spans="1:6" s="168" customFormat="1" ht="12" customHeight="1" x14ac:dyDescent="0.2">
      <c r="A11" s="212" t="s">
        <v>89</v>
      </c>
      <c r="B11" s="5" t="s">
        <v>212</v>
      </c>
      <c r="C11" s="854"/>
      <c r="E11" s="499">
        <f>'9.5.1. sz. mell VK '!C11+'9.5.2. sz. mell VK'!C13</f>
        <v>0</v>
      </c>
      <c r="F11" s="499">
        <f t="shared" si="0"/>
        <v>0</v>
      </c>
    </row>
    <row r="12" spans="1:6" s="168" customFormat="1" ht="12" customHeight="1" x14ac:dyDescent="0.2">
      <c r="A12" s="212" t="s">
        <v>112</v>
      </c>
      <c r="B12" s="5" t="s">
        <v>213</v>
      </c>
      <c r="C12" s="854">
        <f>23682732-17732140</f>
        <v>5950592</v>
      </c>
      <c r="E12" s="499">
        <f>'9.5.1. sz. mell VK '!C12+'9.5.2. sz. mell VK'!C14</f>
        <v>5950592</v>
      </c>
      <c r="F12" s="499">
        <f t="shared" si="0"/>
        <v>0</v>
      </c>
    </row>
    <row r="13" spans="1:6" s="168" customFormat="1" ht="12" customHeight="1" x14ac:dyDescent="0.2">
      <c r="A13" s="212" t="s">
        <v>90</v>
      </c>
      <c r="B13" s="5" t="s">
        <v>333</v>
      </c>
      <c r="C13" s="854">
        <f>6457815-4775456</f>
        <v>1682359</v>
      </c>
      <c r="E13" s="499">
        <f>'9.5.1. sz. mell VK '!C13+'9.5.2. sz. mell VK'!C15</f>
        <v>1682359</v>
      </c>
      <c r="F13" s="499">
        <f t="shared" si="0"/>
        <v>0</v>
      </c>
    </row>
    <row r="14" spans="1:6" s="168" customFormat="1" ht="12" customHeight="1" x14ac:dyDescent="0.2">
      <c r="A14" s="212" t="s">
        <v>91</v>
      </c>
      <c r="B14" s="4" t="s">
        <v>334</v>
      </c>
      <c r="C14" s="854">
        <f>9450092-2573092</f>
        <v>6877000</v>
      </c>
      <c r="E14" s="499">
        <f>'9.5.1. sz. mell VK '!C14+'9.5.2. sz. mell VK'!C16</f>
        <v>6877000</v>
      </c>
      <c r="F14" s="499">
        <f t="shared" si="0"/>
        <v>0</v>
      </c>
    </row>
    <row r="15" spans="1:6" s="168" customFormat="1" ht="12" customHeight="1" x14ac:dyDescent="0.2">
      <c r="A15" s="212" t="s">
        <v>101</v>
      </c>
      <c r="B15" s="5" t="s">
        <v>216</v>
      </c>
      <c r="C15" s="127"/>
      <c r="E15" s="499">
        <f>'9.5.1. sz. mell VK '!C15+'9.5.2. sz. mell VK'!C17</f>
        <v>0</v>
      </c>
      <c r="F15" s="499">
        <f t="shared" si="0"/>
        <v>0</v>
      </c>
    </row>
    <row r="16" spans="1:6" s="220" customFormat="1" ht="12" customHeight="1" x14ac:dyDescent="0.2">
      <c r="A16" s="212" t="s">
        <v>102</v>
      </c>
      <c r="B16" s="5" t="s">
        <v>217</v>
      </c>
      <c r="C16" s="854"/>
      <c r="E16" s="499">
        <f>'9.5.1. sz. mell VK '!C16+'9.5.2. sz. mell VK'!C18</f>
        <v>0</v>
      </c>
      <c r="F16" s="499">
        <f t="shared" si="0"/>
        <v>0</v>
      </c>
    </row>
    <row r="17" spans="1:6" s="220" customFormat="1" ht="12" customHeight="1" x14ac:dyDescent="0.2">
      <c r="A17" s="212" t="s">
        <v>103</v>
      </c>
      <c r="B17" s="5" t="s">
        <v>397</v>
      </c>
      <c r="C17" s="414"/>
      <c r="E17" s="499">
        <f>'9.5.1. sz. mell VK '!C17+'9.5.2. sz. mell VK'!C19</f>
        <v>0</v>
      </c>
      <c r="F17" s="499">
        <f t="shared" si="0"/>
        <v>0</v>
      </c>
    </row>
    <row r="18" spans="1:6" s="220" customFormat="1" ht="12" customHeight="1" thickBot="1" x14ac:dyDescent="0.25">
      <c r="A18" s="212" t="s">
        <v>104</v>
      </c>
      <c r="B18" s="4" t="s">
        <v>218</v>
      </c>
      <c r="C18" s="414">
        <f>2000000+60000</f>
        <v>2060000</v>
      </c>
      <c r="E18" s="499">
        <f>'9.5.1. sz. mell VK '!C18+'9.5.2. sz. mell VK'!C20</f>
        <v>2060000</v>
      </c>
      <c r="F18" s="499">
        <f t="shared" si="0"/>
        <v>0</v>
      </c>
    </row>
    <row r="19" spans="1:6" s="168" customFormat="1" ht="12" customHeight="1" thickBot="1" x14ac:dyDescent="0.25">
      <c r="A19" s="71" t="s">
        <v>17</v>
      </c>
      <c r="B19" s="86" t="s">
        <v>335</v>
      </c>
      <c r="C19" s="569">
        <f>SUM(C20:C22)</f>
        <v>0</v>
      </c>
      <c r="E19" s="499">
        <f>'9.5.1. sz. mell VK '!C19+'9.5.2. sz. mell VK'!C21</f>
        <v>0</v>
      </c>
      <c r="F19" s="499">
        <f t="shared" si="0"/>
        <v>0</v>
      </c>
    </row>
    <row r="20" spans="1:6" s="220" customFormat="1" ht="12" customHeight="1" x14ac:dyDescent="0.2">
      <c r="A20" s="212" t="s">
        <v>92</v>
      </c>
      <c r="B20" s="6" t="s">
        <v>187</v>
      </c>
      <c r="C20" s="574"/>
      <c r="E20" s="499">
        <f>'9.5.1. sz. mell VK '!C20+'9.5.2. sz. mell VK'!C22</f>
        <v>0</v>
      </c>
      <c r="F20" s="499">
        <f t="shared" si="0"/>
        <v>0</v>
      </c>
    </row>
    <row r="21" spans="1:6" s="220" customFormat="1" ht="12" customHeight="1" x14ac:dyDescent="0.2">
      <c r="A21" s="212" t="s">
        <v>93</v>
      </c>
      <c r="B21" s="5" t="s">
        <v>336</v>
      </c>
      <c r="C21" s="571"/>
      <c r="E21" s="499">
        <f>'9.5.1. sz. mell VK '!C21+'9.5.2. sz. mell VK'!C23</f>
        <v>0</v>
      </c>
      <c r="F21" s="499">
        <f t="shared" si="0"/>
        <v>0</v>
      </c>
    </row>
    <row r="22" spans="1:6" s="220" customFormat="1" ht="12" customHeight="1" x14ac:dyDescent="0.2">
      <c r="A22" s="212" t="s">
        <v>94</v>
      </c>
      <c r="B22" s="5" t="s">
        <v>337</v>
      </c>
      <c r="C22" s="575"/>
      <c r="E22" s="499">
        <f>'9.5.1. sz. mell VK '!C22+'9.5.2. sz. mell VK'!C24</f>
        <v>0</v>
      </c>
      <c r="F22" s="499">
        <f t="shared" si="0"/>
        <v>0</v>
      </c>
    </row>
    <row r="23" spans="1:6" s="220" customFormat="1" ht="12" customHeight="1" thickBot="1" x14ac:dyDescent="0.25">
      <c r="A23" s="212" t="s">
        <v>95</v>
      </c>
      <c r="B23" s="5" t="s">
        <v>468</v>
      </c>
      <c r="C23" s="571"/>
      <c r="E23" s="499">
        <f>'9.5.1. sz. mell VK '!C23+'9.5.2. sz. mell VK'!C25</f>
        <v>0</v>
      </c>
      <c r="F23" s="499">
        <f t="shared" si="0"/>
        <v>0</v>
      </c>
    </row>
    <row r="24" spans="1:6" s="220" customFormat="1" ht="12" customHeight="1" thickBot="1" x14ac:dyDescent="0.25">
      <c r="A24" s="74" t="s">
        <v>18</v>
      </c>
      <c r="B24" s="54" t="s">
        <v>126</v>
      </c>
      <c r="C24" s="576"/>
      <c r="E24" s="499">
        <f>'9.5.1. sz. mell VK '!C24+'9.5.2. sz. mell VK'!C26</f>
        <v>0</v>
      </c>
      <c r="F24" s="499">
        <f t="shared" si="0"/>
        <v>0</v>
      </c>
    </row>
    <row r="25" spans="1:6" s="220" customFormat="1" ht="12" customHeight="1" thickBot="1" x14ac:dyDescent="0.25">
      <c r="A25" s="74" t="s">
        <v>19</v>
      </c>
      <c r="B25" s="54" t="s">
        <v>469</v>
      </c>
      <c r="C25" s="569">
        <f>+C26+C27+C28</f>
        <v>0</v>
      </c>
      <c r="E25" s="499">
        <f>'9.5.1. sz. mell VK '!C25+'9.5.2. sz. mell VK'!C27</f>
        <v>0</v>
      </c>
      <c r="F25" s="499">
        <f t="shared" si="0"/>
        <v>0</v>
      </c>
    </row>
    <row r="26" spans="1:6" s="220" customFormat="1" ht="12" customHeight="1" x14ac:dyDescent="0.2">
      <c r="A26" s="213" t="s">
        <v>197</v>
      </c>
      <c r="B26" s="214" t="s">
        <v>192</v>
      </c>
      <c r="C26" s="577"/>
      <c r="E26" s="499">
        <f>'9.5.1. sz. mell VK '!C26+'9.5.2. sz. mell VK'!C28</f>
        <v>0</v>
      </c>
      <c r="F26" s="499">
        <f t="shared" si="0"/>
        <v>0</v>
      </c>
    </row>
    <row r="27" spans="1:6" s="220" customFormat="1" ht="12" customHeight="1" x14ac:dyDescent="0.2">
      <c r="A27" s="213" t="s">
        <v>200</v>
      </c>
      <c r="B27" s="214" t="s">
        <v>336</v>
      </c>
      <c r="C27" s="574"/>
      <c r="E27" s="499">
        <f>'9.5.1. sz. mell VK '!C27+'9.5.2. sz. mell VK'!C29</f>
        <v>0</v>
      </c>
      <c r="F27" s="499">
        <f t="shared" si="0"/>
        <v>0</v>
      </c>
    </row>
    <row r="28" spans="1:6" s="220" customFormat="1" ht="12" customHeight="1" x14ac:dyDescent="0.2">
      <c r="A28" s="213" t="s">
        <v>201</v>
      </c>
      <c r="B28" s="215" t="s">
        <v>338</v>
      </c>
      <c r="C28" s="574"/>
      <c r="E28" s="499">
        <f>'9.5.1. sz. mell VK '!C28+'9.5.2. sz. mell VK'!C30</f>
        <v>0</v>
      </c>
      <c r="F28" s="499">
        <f t="shared" si="0"/>
        <v>0</v>
      </c>
    </row>
    <row r="29" spans="1:6" s="220" customFormat="1" ht="12" customHeight="1" thickBot="1" x14ac:dyDescent="0.25">
      <c r="A29" s="212" t="s">
        <v>202</v>
      </c>
      <c r="B29" s="57" t="s">
        <v>470</v>
      </c>
      <c r="C29" s="578"/>
      <c r="E29" s="499">
        <f>'9.5.1. sz. mell VK '!C29+'9.5.2. sz. mell VK'!C31</f>
        <v>0</v>
      </c>
      <c r="F29" s="499">
        <f t="shared" si="0"/>
        <v>0</v>
      </c>
    </row>
    <row r="30" spans="1:6" s="220" customFormat="1" ht="12" customHeight="1" thickBot="1" x14ac:dyDescent="0.25">
      <c r="A30" s="74" t="s">
        <v>20</v>
      </c>
      <c r="B30" s="54" t="s">
        <v>339</v>
      </c>
      <c r="C30" s="569">
        <f>+C31+C32+C33</f>
        <v>0</v>
      </c>
      <c r="E30" s="499">
        <f>'9.5.1. sz. mell VK '!C30+'9.5.2. sz. mell VK'!C32</f>
        <v>0</v>
      </c>
      <c r="F30" s="499">
        <f t="shared" si="0"/>
        <v>0</v>
      </c>
    </row>
    <row r="31" spans="1:6" s="220" customFormat="1" ht="12" customHeight="1" x14ac:dyDescent="0.2">
      <c r="A31" s="213" t="s">
        <v>79</v>
      </c>
      <c r="B31" s="214" t="s">
        <v>223</v>
      </c>
      <c r="C31" s="577"/>
      <c r="E31" s="499">
        <f>'9.5.1. sz. mell VK '!C31+'9.5.2. sz. mell VK'!C33</f>
        <v>0</v>
      </c>
      <c r="F31" s="499">
        <f t="shared" si="0"/>
        <v>0</v>
      </c>
    </row>
    <row r="32" spans="1:6" s="220" customFormat="1" ht="12" customHeight="1" x14ac:dyDescent="0.2">
      <c r="A32" s="213" t="s">
        <v>80</v>
      </c>
      <c r="B32" s="215" t="s">
        <v>224</v>
      </c>
      <c r="C32" s="572"/>
      <c r="E32" s="499">
        <f>'9.5.1. sz. mell VK '!C32+'9.5.2. sz. mell VK'!C34</f>
        <v>0</v>
      </c>
      <c r="F32" s="499">
        <f t="shared" si="0"/>
        <v>0</v>
      </c>
    </row>
    <row r="33" spans="1:6" s="168" customFormat="1" ht="12" customHeight="1" thickBot="1" x14ac:dyDescent="0.25">
      <c r="A33" s="212" t="s">
        <v>81</v>
      </c>
      <c r="B33" s="57" t="s">
        <v>225</v>
      </c>
      <c r="C33" s="578"/>
      <c r="E33" s="499">
        <f>'9.5.1. sz. mell VK '!C33+'9.5.2. sz. mell VK'!C35</f>
        <v>0</v>
      </c>
      <c r="F33" s="499">
        <f t="shared" si="0"/>
        <v>0</v>
      </c>
    </row>
    <row r="34" spans="1:6" s="168" customFormat="1" ht="12" customHeight="1" thickBot="1" x14ac:dyDescent="0.25">
      <c r="A34" s="74" t="s">
        <v>21</v>
      </c>
      <c r="B34" s="54" t="s">
        <v>311</v>
      </c>
      <c r="C34" s="576"/>
      <c r="E34" s="499">
        <f>'9.5.1. sz. mell VK '!C34+'9.5.2. sz. mell VK'!C36</f>
        <v>0</v>
      </c>
      <c r="F34" s="499">
        <f t="shared" si="0"/>
        <v>0</v>
      </c>
    </row>
    <row r="35" spans="1:6" s="168" customFormat="1" ht="12" customHeight="1" thickBot="1" x14ac:dyDescent="0.25">
      <c r="A35" s="74" t="s">
        <v>22</v>
      </c>
      <c r="B35" s="54" t="s">
        <v>340</v>
      </c>
      <c r="C35" s="579"/>
      <c r="E35" s="499">
        <f>'9.5.1. sz. mell VK '!C35+'9.5.2. sz. mell VK'!C37</f>
        <v>0</v>
      </c>
      <c r="F35" s="499">
        <f t="shared" si="0"/>
        <v>0</v>
      </c>
    </row>
    <row r="36" spans="1:6" s="168" customFormat="1" ht="12" customHeight="1" thickBot="1" x14ac:dyDescent="0.25">
      <c r="A36" s="71" t="s">
        <v>23</v>
      </c>
      <c r="B36" s="54" t="s">
        <v>341</v>
      </c>
      <c r="C36" s="580">
        <f>+C7+C19+C24+C25+C30+C34+C35</f>
        <v>26965328</v>
      </c>
      <c r="E36" s="499">
        <f>'9.5.1. sz. mell VK '!C36+'9.5.2. sz. mell VK'!C38</f>
        <v>26965328</v>
      </c>
      <c r="F36" s="499">
        <f t="shared" si="0"/>
        <v>0</v>
      </c>
    </row>
    <row r="37" spans="1:6" s="168" customFormat="1" ht="12" customHeight="1" thickBot="1" x14ac:dyDescent="0.25">
      <c r="A37" s="962" t="s">
        <v>24</v>
      </c>
      <c r="B37" s="54" t="s">
        <v>342</v>
      </c>
      <c r="C37" s="580">
        <f>+C38+C39+C40</f>
        <v>85596898</v>
      </c>
      <c r="E37" s="499">
        <f>'9.5.1. sz. mell VK '!C37+'9.5.2. sz. mell VK'!C39</f>
        <v>85596898</v>
      </c>
      <c r="F37" s="499">
        <f t="shared" si="0"/>
        <v>0</v>
      </c>
    </row>
    <row r="38" spans="1:6" s="168" customFormat="1" ht="12" customHeight="1" x14ac:dyDescent="0.2">
      <c r="A38" s="213" t="s">
        <v>343</v>
      </c>
      <c r="B38" s="214" t="s">
        <v>168</v>
      </c>
      <c r="C38" s="577">
        <v>913769</v>
      </c>
      <c r="E38" s="499">
        <f>'9.5.1. sz. mell VK '!C38+'9.5.2. sz. mell VK'!C40</f>
        <v>913769</v>
      </c>
      <c r="F38" s="499">
        <f t="shared" si="0"/>
        <v>0</v>
      </c>
    </row>
    <row r="39" spans="1:6" s="220" customFormat="1" ht="12" customHeight="1" x14ac:dyDescent="0.2">
      <c r="A39" s="213" t="s">
        <v>344</v>
      </c>
      <c r="B39" s="215" t="s">
        <v>6</v>
      </c>
      <c r="C39" s="572"/>
      <c r="E39" s="499">
        <f>'9.5.1. sz. mell VK '!C39+'9.5.2. sz. mell VK'!C41</f>
        <v>0</v>
      </c>
      <c r="F39" s="499">
        <f t="shared" si="0"/>
        <v>0</v>
      </c>
    </row>
    <row r="40" spans="1:6" s="220" customFormat="1" ht="15" customHeight="1" thickBot="1" x14ac:dyDescent="0.25">
      <c r="A40" s="212" t="s">
        <v>345</v>
      </c>
      <c r="B40" s="57" t="s">
        <v>346</v>
      </c>
      <c r="C40" s="1174">
        <f>166233753-6383081-28971201-51490300+5293958</f>
        <v>84683129</v>
      </c>
      <c r="E40" s="499">
        <f>'9.5.1. sz. mell VK '!C40+'9.5.2. sz. mell VK'!C42</f>
        <v>84683129</v>
      </c>
      <c r="F40" s="499">
        <f t="shared" si="0"/>
        <v>0</v>
      </c>
    </row>
    <row r="41" spans="1:6" s="220" customFormat="1" ht="15" customHeight="1" thickBot="1" x14ac:dyDescent="0.25">
      <c r="A41" s="962" t="s">
        <v>25</v>
      </c>
      <c r="B41" s="963" t="s">
        <v>347</v>
      </c>
      <c r="C41" s="581">
        <f>+C36+C37</f>
        <v>112562226</v>
      </c>
      <c r="E41" s="499">
        <f>'9.5.1. sz. mell VK '!C41+'9.5.2. sz. mell VK'!C43</f>
        <v>112562226</v>
      </c>
      <c r="F41" s="499">
        <f t="shared" si="0"/>
        <v>0</v>
      </c>
    </row>
    <row r="42" spans="1:6" s="221" customFormat="1" ht="12" customHeight="1" thickBot="1" x14ac:dyDescent="0.25">
      <c r="A42" s="93"/>
      <c r="B42" s="94" t="s">
        <v>53</v>
      </c>
      <c r="C42" s="581"/>
      <c r="E42" s="499">
        <f>'9.5.1. sz. mell VK '!C42+'9.5.2. sz. mell VK'!C46</f>
        <v>0</v>
      </c>
      <c r="F42" s="499">
        <f t="shared" si="0"/>
        <v>0</v>
      </c>
    </row>
    <row r="43" spans="1:6" ht="12" customHeight="1" thickBot="1" x14ac:dyDescent="0.25">
      <c r="A43" s="74" t="s">
        <v>16</v>
      </c>
      <c r="B43" s="54" t="s">
        <v>348</v>
      </c>
      <c r="C43" s="569">
        <f>SUM(C44:C48)</f>
        <v>112562226</v>
      </c>
      <c r="E43" s="499">
        <f>'9.5.1. sz. mell VK '!C43+'9.5.2. sz. mell VK'!C47</f>
        <v>112562226</v>
      </c>
      <c r="F43" s="499">
        <f t="shared" si="0"/>
        <v>0</v>
      </c>
    </row>
    <row r="44" spans="1:6" ht="12" customHeight="1" x14ac:dyDescent="0.2">
      <c r="A44" s="212" t="s">
        <v>86</v>
      </c>
      <c r="B44" s="6" t="s">
        <v>46</v>
      </c>
      <c r="C44" s="853">
        <f>71998629-3504528-20794165-11522884</f>
        <v>36177052</v>
      </c>
      <c r="E44" s="499">
        <f>'9.5.1. sz. mell VK '!C44+'9.5.2. sz. mell VK'!C48</f>
        <v>36177052</v>
      </c>
      <c r="F44" s="499">
        <f t="shared" si="0"/>
        <v>0</v>
      </c>
    </row>
    <row r="45" spans="1:6" ht="12" customHeight="1" x14ac:dyDescent="0.2">
      <c r="A45" s="212" t="s">
        <v>87</v>
      </c>
      <c r="B45" s="5" t="s">
        <v>135</v>
      </c>
      <c r="C45" s="854">
        <f>11651828-543202-3177036-2075587</f>
        <v>5856003</v>
      </c>
      <c r="E45" s="499">
        <f>'9.5.1. sz. mell VK '!C45+'9.5.2. sz. mell VK'!C49</f>
        <v>5856003</v>
      </c>
      <c r="F45" s="499">
        <f t="shared" si="0"/>
        <v>0</v>
      </c>
    </row>
    <row r="46" spans="1:6" ht="12" customHeight="1" x14ac:dyDescent="0.2">
      <c r="A46" s="212" t="s">
        <v>88</v>
      </c>
      <c r="B46" s="5" t="s">
        <v>111</v>
      </c>
      <c r="C46" s="859">
        <f>149872937-2335351-5000000-77302373+5293958-36323</f>
        <v>70492848</v>
      </c>
      <c r="E46" s="499">
        <f>'9.5.1. sz. mell VK '!C46+'9.5.2. sz. mell VK'!C50</f>
        <v>70492848</v>
      </c>
      <c r="F46" s="499">
        <f t="shared" si="0"/>
        <v>0</v>
      </c>
    </row>
    <row r="47" spans="1:6" ht="12" customHeight="1" x14ac:dyDescent="0.2">
      <c r="A47" s="212" t="s">
        <v>89</v>
      </c>
      <c r="B47" s="5" t="s">
        <v>136</v>
      </c>
      <c r="C47" s="854"/>
      <c r="E47" s="499">
        <f>'9.5.1. sz. mell VK '!C47+'9.5.2. sz. mell VK'!C51</f>
        <v>0</v>
      </c>
      <c r="F47" s="499">
        <f t="shared" si="0"/>
        <v>0</v>
      </c>
    </row>
    <row r="48" spans="1:6" ht="12" customHeight="1" thickBot="1" x14ac:dyDescent="0.25">
      <c r="A48" s="212" t="s">
        <v>112</v>
      </c>
      <c r="B48" s="5" t="s">
        <v>137</v>
      </c>
      <c r="C48" s="859">
        <v>36323</v>
      </c>
      <c r="E48" s="499">
        <f>'9.5.1. sz. mell VK '!C48+'9.5.2. sz. mell VK'!C52</f>
        <v>36323</v>
      </c>
      <c r="F48" s="499">
        <f t="shared" si="0"/>
        <v>0</v>
      </c>
    </row>
    <row r="49" spans="1:6" s="221" customFormat="1" ht="12" customHeight="1" thickBot="1" x14ac:dyDescent="0.25">
      <c r="A49" s="74" t="s">
        <v>17</v>
      </c>
      <c r="B49" s="54" t="s">
        <v>349</v>
      </c>
      <c r="C49" s="569">
        <f>SUM(C50:C52)</f>
        <v>0</v>
      </c>
      <c r="E49" s="499">
        <f>'9.5.1. sz. mell VK '!C49+'9.5.2. sz. mell VK'!C53</f>
        <v>0</v>
      </c>
      <c r="F49" s="499">
        <f t="shared" si="0"/>
        <v>0</v>
      </c>
    </row>
    <row r="50" spans="1:6" ht="12" customHeight="1" x14ac:dyDescent="0.2">
      <c r="A50" s="212" t="s">
        <v>92</v>
      </c>
      <c r="B50" s="6" t="s">
        <v>159</v>
      </c>
      <c r="C50" s="858"/>
      <c r="E50" s="499">
        <f>'9.5.1. sz. mell VK '!C50+'9.5.2. sz. mell VK'!C54</f>
        <v>0</v>
      </c>
      <c r="F50" s="499">
        <f t="shared" si="0"/>
        <v>0</v>
      </c>
    </row>
    <row r="51" spans="1:6" ht="12" customHeight="1" x14ac:dyDescent="0.2">
      <c r="A51" s="212" t="s">
        <v>93</v>
      </c>
      <c r="B51" s="5" t="s">
        <v>139</v>
      </c>
      <c r="C51" s="571">
        <f>600000-600000</f>
        <v>0</v>
      </c>
      <c r="E51" s="499">
        <f>'9.5.1. sz. mell VK '!C51+'9.5.2. sz. mell VK'!C55</f>
        <v>0</v>
      </c>
      <c r="F51" s="499">
        <f t="shared" si="0"/>
        <v>0</v>
      </c>
    </row>
    <row r="52" spans="1:6" ht="12" customHeight="1" x14ac:dyDescent="0.2">
      <c r="A52" s="212" t="s">
        <v>94</v>
      </c>
      <c r="B52" s="5" t="s">
        <v>54</v>
      </c>
      <c r="C52" s="571"/>
      <c r="E52" s="499">
        <f>'9.5.1. sz. mell VK '!C52+'9.5.2. sz. mell VK'!C56</f>
        <v>0</v>
      </c>
      <c r="F52" s="499">
        <f t="shared" si="0"/>
        <v>0</v>
      </c>
    </row>
    <row r="53" spans="1:6" ht="15" customHeight="1" thickBot="1" x14ac:dyDescent="0.25">
      <c r="A53" s="212" t="s">
        <v>95</v>
      </c>
      <c r="B53" s="5" t="s">
        <v>471</v>
      </c>
      <c r="C53" s="571"/>
      <c r="E53" s="499">
        <f>'9.5.1. sz. mell VK '!C53+'9.5.2. sz. mell VK'!C57</f>
        <v>0</v>
      </c>
      <c r="F53" s="499">
        <f t="shared" si="0"/>
        <v>0</v>
      </c>
    </row>
    <row r="54" spans="1:6" ht="13.5" thickBot="1" x14ac:dyDescent="0.25">
      <c r="A54" s="74" t="s">
        <v>18</v>
      </c>
      <c r="B54" s="54" t="s">
        <v>12</v>
      </c>
      <c r="C54" s="576"/>
      <c r="E54" s="499">
        <f>'9.5.1. sz. mell VK '!C54+'9.5.2. sz. mell VK'!C58</f>
        <v>0</v>
      </c>
      <c r="F54" s="499">
        <f t="shared" si="0"/>
        <v>0</v>
      </c>
    </row>
    <row r="55" spans="1:6" ht="15" customHeight="1" thickBot="1" x14ac:dyDescent="0.25">
      <c r="A55" s="74" t="s">
        <v>19</v>
      </c>
      <c r="B55" s="95" t="s">
        <v>472</v>
      </c>
      <c r="C55" s="584">
        <f>+C43+C49+C54</f>
        <v>112562226</v>
      </c>
      <c r="E55" s="499">
        <f>'9.5.1. sz. mell VK '!C55+'9.5.2. sz. mell VK'!C59</f>
        <v>112562226</v>
      </c>
      <c r="F55" s="499">
        <f t="shared" si="0"/>
        <v>0</v>
      </c>
    </row>
    <row r="56" spans="1:6" x14ac:dyDescent="0.2">
      <c r="A56" s="1485" t="s">
        <v>465</v>
      </c>
      <c r="B56" s="1486"/>
      <c r="C56" s="644">
        <f>(22.5-1.33)/2</f>
        <v>10.585000000000001</v>
      </c>
      <c r="E56" s="499" t="e">
        <f>#REF!+#REF!</f>
        <v>#REF!</v>
      </c>
      <c r="F56" s="499" t="e">
        <f t="shared" si="0"/>
        <v>#REF!</v>
      </c>
    </row>
    <row r="57" spans="1:6" ht="13.5" thickBot="1" x14ac:dyDescent="0.25">
      <c r="A57" s="1483" t="s">
        <v>952</v>
      </c>
      <c r="B57" s="1484"/>
      <c r="C57" s="645"/>
    </row>
  </sheetData>
  <sheetProtection formatCells="0"/>
  <mergeCells count="4">
    <mergeCell ref="A1:C1"/>
    <mergeCell ref="A57:B57"/>
    <mergeCell ref="A56:B56"/>
    <mergeCell ref="A3:C3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35"/>
  <dimension ref="A1:F57"/>
  <sheetViews>
    <sheetView topLeftCell="A3" zoomScaleNormal="100" workbookViewId="0">
      <selection activeCell="B51" sqref="B51"/>
    </sheetView>
  </sheetViews>
  <sheetFormatPr defaultRowHeight="12.75" x14ac:dyDescent="0.2"/>
  <cols>
    <col min="1" max="1" width="13.83203125" style="96" customWidth="1"/>
    <col min="2" max="2" width="79.1640625" style="774" customWidth="1"/>
    <col min="3" max="3" width="25" style="333" customWidth="1"/>
    <col min="4" max="256" width="9.33203125" style="774"/>
    <col min="257" max="257" width="13.83203125" style="774" customWidth="1"/>
    <col min="258" max="258" width="79.1640625" style="774" customWidth="1"/>
    <col min="259" max="259" width="25" style="774" customWidth="1"/>
    <col min="260" max="512" width="9.33203125" style="774"/>
    <col min="513" max="513" width="13.83203125" style="774" customWidth="1"/>
    <col min="514" max="514" width="79.1640625" style="774" customWidth="1"/>
    <col min="515" max="515" width="25" style="774" customWidth="1"/>
    <col min="516" max="768" width="9.33203125" style="774"/>
    <col min="769" max="769" width="13.83203125" style="774" customWidth="1"/>
    <col min="770" max="770" width="79.1640625" style="774" customWidth="1"/>
    <col min="771" max="771" width="25" style="774" customWidth="1"/>
    <col min="772" max="1024" width="9.33203125" style="774"/>
    <col min="1025" max="1025" width="13.83203125" style="774" customWidth="1"/>
    <col min="1026" max="1026" width="79.1640625" style="774" customWidth="1"/>
    <col min="1027" max="1027" width="25" style="774" customWidth="1"/>
    <col min="1028" max="1280" width="9.33203125" style="774"/>
    <col min="1281" max="1281" width="13.83203125" style="774" customWidth="1"/>
    <col min="1282" max="1282" width="79.1640625" style="774" customWidth="1"/>
    <col min="1283" max="1283" width="25" style="774" customWidth="1"/>
    <col min="1284" max="1536" width="9.33203125" style="774"/>
    <col min="1537" max="1537" width="13.83203125" style="774" customWidth="1"/>
    <col min="1538" max="1538" width="79.1640625" style="774" customWidth="1"/>
    <col min="1539" max="1539" width="25" style="774" customWidth="1"/>
    <col min="1540" max="1792" width="9.33203125" style="774"/>
    <col min="1793" max="1793" width="13.83203125" style="774" customWidth="1"/>
    <col min="1794" max="1794" width="79.1640625" style="774" customWidth="1"/>
    <col min="1795" max="1795" width="25" style="774" customWidth="1"/>
    <col min="1796" max="2048" width="9.33203125" style="774"/>
    <col min="2049" max="2049" width="13.83203125" style="774" customWidth="1"/>
    <col min="2050" max="2050" width="79.1640625" style="774" customWidth="1"/>
    <col min="2051" max="2051" width="25" style="774" customWidth="1"/>
    <col min="2052" max="2304" width="9.33203125" style="774"/>
    <col min="2305" max="2305" width="13.83203125" style="774" customWidth="1"/>
    <col min="2306" max="2306" width="79.1640625" style="774" customWidth="1"/>
    <col min="2307" max="2307" width="25" style="774" customWidth="1"/>
    <col min="2308" max="2560" width="9.33203125" style="774"/>
    <col min="2561" max="2561" width="13.83203125" style="774" customWidth="1"/>
    <col min="2562" max="2562" width="79.1640625" style="774" customWidth="1"/>
    <col min="2563" max="2563" width="25" style="774" customWidth="1"/>
    <col min="2564" max="2816" width="9.33203125" style="774"/>
    <col min="2817" max="2817" width="13.83203125" style="774" customWidth="1"/>
    <col min="2818" max="2818" width="79.1640625" style="774" customWidth="1"/>
    <col min="2819" max="2819" width="25" style="774" customWidth="1"/>
    <col min="2820" max="3072" width="9.33203125" style="774"/>
    <col min="3073" max="3073" width="13.83203125" style="774" customWidth="1"/>
    <col min="3074" max="3074" width="79.1640625" style="774" customWidth="1"/>
    <col min="3075" max="3075" width="25" style="774" customWidth="1"/>
    <col min="3076" max="3328" width="9.33203125" style="774"/>
    <col min="3329" max="3329" width="13.83203125" style="774" customWidth="1"/>
    <col min="3330" max="3330" width="79.1640625" style="774" customWidth="1"/>
    <col min="3331" max="3331" width="25" style="774" customWidth="1"/>
    <col min="3332" max="3584" width="9.33203125" style="774"/>
    <col min="3585" max="3585" width="13.83203125" style="774" customWidth="1"/>
    <col min="3586" max="3586" width="79.1640625" style="774" customWidth="1"/>
    <col min="3587" max="3587" width="25" style="774" customWidth="1"/>
    <col min="3588" max="3840" width="9.33203125" style="774"/>
    <col min="3841" max="3841" width="13.83203125" style="774" customWidth="1"/>
    <col min="3842" max="3842" width="79.1640625" style="774" customWidth="1"/>
    <col min="3843" max="3843" width="25" style="774" customWidth="1"/>
    <col min="3844" max="4096" width="9.33203125" style="774"/>
    <col min="4097" max="4097" width="13.83203125" style="774" customWidth="1"/>
    <col min="4098" max="4098" width="79.1640625" style="774" customWidth="1"/>
    <col min="4099" max="4099" width="25" style="774" customWidth="1"/>
    <col min="4100" max="4352" width="9.33203125" style="774"/>
    <col min="4353" max="4353" width="13.83203125" style="774" customWidth="1"/>
    <col min="4354" max="4354" width="79.1640625" style="774" customWidth="1"/>
    <col min="4355" max="4355" width="25" style="774" customWidth="1"/>
    <col min="4356" max="4608" width="9.33203125" style="774"/>
    <col min="4609" max="4609" width="13.83203125" style="774" customWidth="1"/>
    <col min="4610" max="4610" width="79.1640625" style="774" customWidth="1"/>
    <col min="4611" max="4611" width="25" style="774" customWidth="1"/>
    <col min="4612" max="4864" width="9.33203125" style="774"/>
    <col min="4865" max="4865" width="13.83203125" style="774" customWidth="1"/>
    <col min="4866" max="4866" width="79.1640625" style="774" customWidth="1"/>
    <col min="4867" max="4867" width="25" style="774" customWidth="1"/>
    <col min="4868" max="5120" width="9.33203125" style="774"/>
    <col min="5121" max="5121" width="13.83203125" style="774" customWidth="1"/>
    <col min="5122" max="5122" width="79.1640625" style="774" customWidth="1"/>
    <col min="5123" max="5123" width="25" style="774" customWidth="1"/>
    <col min="5124" max="5376" width="9.33203125" style="774"/>
    <col min="5377" max="5377" width="13.83203125" style="774" customWidth="1"/>
    <col min="5378" max="5378" width="79.1640625" style="774" customWidth="1"/>
    <col min="5379" max="5379" width="25" style="774" customWidth="1"/>
    <col min="5380" max="5632" width="9.33203125" style="774"/>
    <col min="5633" max="5633" width="13.83203125" style="774" customWidth="1"/>
    <col min="5634" max="5634" width="79.1640625" style="774" customWidth="1"/>
    <col min="5635" max="5635" width="25" style="774" customWidth="1"/>
    <col min="5636" max="5888" width="9.33203125" style="774"/>
    <col min="5889" max="5889" width="13.83203125" style="774" customWidth="1"/>
    <col min="5890" max="5890" width="79.1640625" style="774" customWidth="1"/>
    <col min="5891" max="5891" width="25" style="774" customWidth="1"/>
    <col min="5892" max="6144" width="9.33203125" style="774"/>
    <col min="6145" max="6145" width="13.83203125" style="774" customWidth="1"/>
    <col min="6146" max="6146" width="79.1640625" style="774" customWidth="1"/>
    <col min="6147" max="6147" width="25" style="774" customWidth="1"/>
    <col min="6148" max="6400" width="9.33203125" style="774"/>
    <col min="6401" max="6401" width="13.83203125" style="774" customWidth="1"/>
    <col min="6402" max="6402" width="79.1640625" style="774" customWidth="1"/>
    <col min="6403" max="6403" width="25" style="774" customWidth="1"/>
    <col min="6404" max="6656" width="9.33203125" style="774"/>
    <col min="6657" max="6657" width="13.83203125" style="774" customWidth="1"/>
    <col min="6658" max="6658" width="79.1640625" style="774" customWidth="1"/>
    <col min="6659" max="6659" width="25" style="774" customWidth="1"/>
    <col min="6660" max="6912" width="9.33203125" style="774"/>
    <col min="6913" max="6913" width="13.83203125" style="774" customWidth="1"/>
    <col min="6914" max="6914" width="79.1640625" style="774" customWidth="1"/>
    <col min="6915" max="6915" width="25" style="774" customWidth="1"/>
    <col min="6916" max="7168" width="9.33203125" style="774"/>
    <col min="7169" max="7169" width="13.83203125" style="774" customWidth="1"/>
    <col min="7170" max="7170" width="79.1640625" style="774" customWidth="1"/>
    <col min="7171" max="7171" width="25" style="774" customWidth="1"/>
    <col min="7172" max="7424" width="9.33203125" style="774"/>
    <col min="7425" max="7425" width="13.83203125" style="774" customWidth="1"/>
    <col min="7426" max="7426" width="79.1640625" style="774" customWidth="1"/>
    <col min="7427" max="7427" width="25" style="774" customWidth="1"/>
    <col min="7428" max="7680" width="9.33203125" style="774"/>
    <col min="7681" max="7681" width="13.83203125" style="774" customWidth="1"/>
    <col min="7682" max="7682" width="79.1640625" style="774" customWidth="1"/>
    <col min="7683" max="7683" width="25" style="774" customWidth="1"/>
    <col min="7684" max="7936" width="9.33203125" style="774"/>
    <col min="7937" max="7937" width="13.83203125" style="774" customWidth="1"/>
    <col min="7938" max="7938" width="79.1640625" style="774" customWidth="1"/>
    <col min="7939" max="7939" width="25" style="774" customWidth="1"/>
    <col min="7940" max="8192" width="9.33203125" style="774"/>
    <col min="8193" max="8193" width="13.83203125" style="774" customWidth="1"/>
    <col min="8194" max="8194" width="79.1640625" style="774" customWidth="1"/>
    <col min="8195" max="8195" width="25" style="774" customWidth="1"/>
    <col min="8196" max="8448" width="9.33203125" style="774"/>
    <col min="8449" max="8449" width="13.83203125" style="774" customWidth="1"/>
    <col min="8450" max="8450" width="79.1640625" style="774" customWidth="1"/>
    <col min="8451" max="8451" width="25" style="774" customWidth="1"/>
    <col min="8452" max="8704" width="9.33203125" style="774"/>
    <col min="8705" max="8705" width="13.83203125" style="774" customWidth="1"/>
    <col min="8706" max="8706" width="79.1640625" style="774" customWidth="1"/>
    <col min="8707" max="8707" width="25" style="774" customWidth="1"/>
    <col min="8708" max="8960" width="9.33203125" style="774"/>
    <col min="8961" max="8961" width="13.83203125" style="774" customWidth="1"/>
    <col min="8962" max="8962" width="79.1640625" style="774" customWidth="1"/>
    <col min="8963" max="8963" width="25" style="774" customWidth="1"/>
    <col min="8964" max="9216" width="9.33203125" style="774"/>
    <col min="9217" max="9217" width="13.83203125" style="774" customWidth="1"/>
    <col min="9218" max="9218" width="79.1640625" style="774" customWidth="1"/>
    <col min="9219" max="9219" width="25" style="774" customWidth="1"/>
    <col min="9220" max="9472" width="9.33203125" style="774"/>
    <col min="9473" max="9473" width="13.83203125" style="774" customWidth="1"/>
    <col min="9474" max="9474" width="79.1640625" style="774" customWidth="1"/>
    <col min="9475" max="9475" width="25" style="774" customWidth="1"/>
    <col min="9476" max="9728" width="9.33203125" style="774"/>
    <col min="9729" max="9729" width="13.83203125" style="774" customWidth="1"/>
    <col min="9730" max="9730" width="79.1640625" style="774" customWidth="1"/>
    <col min="9731" max="9731" width="25" style="774" customWidth="1"/>
    <col min="9732" max="9984" width="9.33203125" style="774"/>
    <col min="9985" max="9985" width="13.83203125" style="774" customWidth="1"/>
    <col min="9986" max="9986" width="79.1640625" style="774" customWidth="1"/>
    <col min="9987" max="9987" width="25" style="774" customWidth="1"/>
    <col min="9988" max="10240" width="9.33203125" style="774"/>
    <col min="10241" max="10241" width="13.83203125" style="774" customWidth="1"/>
    <col min="10242" max="10242" width="79.1640625" style="774" customWidth="1"/>
    <col min="10243" max="10243" width="25" style="774" customWidth="1"/>
    <col min="10244" max="10496" width="9.33203125" style="774"/>
    <col min="10497" max="10497" width="13.83203125" style="774" customWidth="1"/>
    <col min="10498" max="10498" width="79.1640625" style="774" customWidth="1"/>
    <col min="10499" max="10499" width="25" style="774" customWidth="1"/>
    <col min="10500" max="10752" width="9.33203125" style="774"/>
    <col min="10753" max="10753" width="13.83203125" style="774" customWidth="1"/>
    <col min="10754" max="10754" width="79.1640625" style="774" customWidth="1"/>
    <col min="10755" max="10755" width="25" style="774" customWidth="1"/>
    <col min="10756" max="11008" width="9.33203125" style="774"/>
    <col min="11009" max="11009" width="13.83203125" style="774" customWidth="1"/>
    <col min="11010" max="11010" width="79.1640625" style="774" customWidth="1"/>
    <col min="11011" max="11011" width="25" style="774" customWidth="1"/>
    <col min="11012" max="11264" width="9.33203125" style="774"/>
    <col min="11265" max="11265" width="13.83203125" style="774" customWidth="1"/>
    <col min="11266" max="11266" width="79.1640625" style="774" customWidth="1"/>
    <col min="11267" max="11267" width="25" style="774" customWidth="1"/>
    <col min="11268" max="11520" width="9.33203125" style="774"/>
    <col min="11521" max="11521" width="13.83203125" style="774" customWidth="1"/>
    <col min="11522" max="11522" width="79.1640625" style="774" customWidth="1"/>
    <col min="11523" max="11523" width="25" style="774" customWidth="1"/>
    <col min="11524" max="11776" width="9.33203125" style="774"/>
    <col min="11777" max="11777" width="13.83203125" style="774" customWidth="1"/>
    <col min="11778" max="11778" width="79.1640625" style="774" customWidth="1"/>
    <col min="11779" max="11779" width="25" style="774" customWidth="1"/>
    <col min="11780" max="12032" width="9.33203125" style="774"/>
    <col min="12033" max="12033" width="13.83203125" style="774" customWidth="1"/>
    <col min="12034" max="12034" width="79.1640625" style="774" customWidth="1"/>
    <col min="12035" max="12035" width="25" style="774" customWidth="1"/>
    <col min="12036" max="12288" width="9.33203125" style="774"/>
    <col min="12289" max="12289" width="13.83203125" style="774" customWidth="1"/>
    <col min="12290" max="12290" width="79.1640625" style="774" customWidth="1"/>
    <col min="12291" max="12291" width="25" style="774" customWidth="1"/>
    <col min="12292" max="12544" width="9.33203125" style="774"/>
    <col min="12545" max="12545" width="13.83203125" style="774" customWidth="1"/>
    <col min="12546" max="12546" width="79.1640625" style="774" customWidth="1"/>
    <col min="12547" max="12547" width="25" style="774" customWidth="1"/>
    <col min="12548" max="12800" width="9.33203125" style="774"/>
    <col min="12801" max="12801" width="13.83203125" style="774" customWidth="1"/>
    <col min="12802" max="12802" width="79.1640625" style="774" customWidth="1"/>
    <col min="12803" max="12803" width="25" style="774" customWidth="1"/>
    <col min="12804" max="13056" width="9.33203125" style="774"/>
    <col min="13057" max="13057" width="13.83203125" style="774" customWidth="1"/>
    <col min="13058" max="13058" width="79.1640625" style="774" customWidth="1"/>
    <col min="13059" max="13059" width="25" style="774" customWidth="1"/>
    <col min="13060" max="13312" width="9.33203125" style="774"/>
    <col min="13313" max="13313" width="13.83203125" style="774" customWidth="1"/>
    <col min="13314" max="13314" width="79.1640625" style="774" customWidth="1"/>
    <col min="13315" max="13315" width="25" style="774" customWidth="1"/>
    <col min="13316" max="13568" width="9.33203125" style="774"/>
    <col min="13569" max="13569" width="13.83203125" style="774" customWidth="1"/>
    <col min="13570" max="13570" width="79.1640625" style="774" customWidth="1"/>
    <col min="13571" max="13571" width="25" style="774" customWidth="1"/>
    <col min="13572" max="13824" width="9.33203125" style="774"/>
    <col min="13825" max="13825" width="13.83203125" style="774" customWidth="1"/>
    <col min="13826" max="13826" width="79.1640625" style="774" customWidth="1"/>
    <col min="13827" max="13827" width="25" style="774" customWidth="1"/>
    <col min="13828" max="14080" width="9.33203125" style="774"/>
    <col min="14081" max="14081" width="13.83203125" style="774" customWidth="1"/>
    <col min="14082" max="14082" width="79.1640625" style="774" customWidth="1"/>
    <col min="14083" max="14083" width="25" style="774" customWidth="1"/>
    <col min="14084" max="14336" width="9.33203125" style="774"/>
    <col min="14337" max="14337" width="13.83203125" style="774" customWidth="1"/>
    <col min="14338" max="14338" width="79.1640625" style="774" customWidth="1"/>
    <col min="14339" max="14339" width="25" style="774" customWidth="1"/>
    <col min="14340" max="14592" width="9.33203125" style="774"/>
    <col min="14593" max="14593" width="13.83203125" style="774" customWidth="1"/>
    <col min="14594" max="14594" width="79.1640625" style="774" customWidth="1"/>
    <col min="14595" max="14595" width="25" style="774" customWidth="1"/>
    <col min="14596" max="14848" width="9.33203125" style="774"/>
    <col min="14849" max="14849" width="13.83203125" style="774" customWidth="1"/>
    <col min="14850" max="14850" width="79.1640625" style="774" customWidth="1"/>
    <col min="14851" max="14851" width="25" style="774" customWidth="1"/>
    <col min="14852" max="15104" width="9.33203125" style="774"/>
    <col min="15105" max="15105" width="13.83203125" style="774" customWidth="1"/>
    <col min="15106" max="15106" width="79.1640625" style="774" customWidth="1"/>
    <col min="15107" max="15107" width="25" style="774" customWidth="1"/>
    <col min="15108" max="15360" width="9.33203125" style="774"/>
    <col min="15361" max="15361" width="13.83203125" style="774" customWidth="1"/>
    <col min="15362" max="15362" width="79.1640625" style="774" customWidth="1"/>
    <col min="15363" max="15363" width="25" style="774" customWidth="1"/>
    <col min="15364" max="15616" width="9.33203125" style="774"/>
    <col min="15617" max="15617" width="13.83203125" style="774" customWidth="1"/>
    <col min="15618" max="15618" width="79.1640625" style="774" customWidth="1"/>
    <col min="15619" max="15619" width="25" style="774" customWidth="1"/>
    <col min="15620" max="15872" width="9.33203125" style="774"/>
    <col min="15873" max="15873" width="13.83203125" style="774" customWidth="1"/>
    <col min="15874" max="15874" width="79.1640625" style="774" customWidth="1"/>
    <col min="15875" max="15875" width="25" style="774" customWidth="1"/>
    <col min="15876" max="16128" width="9.33203125" style="774"/>
    <col min="16129" max="16129" width="13.83203125" style="774" customWidth="1"/>
    <col min="16130" max="16130" width="79.1640625" style="774" customWidth="1"/>
    <col min="16131" max="16131" width="25" style="774" customWidth="1"/>
    <col min="16132" max="16384" width="9.33203125" style="774"/>
  </cols>
  <sheetData>
    <row r="1" spans="1:6" ht="12.75" customHeight="1" x14ac:dyDescent="0.2">
      <c r="A1" s="1482" t="str">
        <f>CONCATENATE("25. melléklet"," ",ALAPADATOK!A7," ",ALAPADATOK!B7," ",ALAPADATOK!C7," ",ALAPADATOK!D7," ",ALAPADATOK!E7," ",ALAPADATOK!F7," ",ALAPADATOK!G7," ",ALAPADATOK!H7)</f>
        <v>25. melléklet a 19 / 2021. ( XI.29. ) önkormányzati rendelethez</v>
      </c>
      <c r="B1" s="1482"/>
      <c r="C1" s="1482"/>
    </row>
    <row r="2" spans="1:6" s="77" customFormat="1" ht="21" customHeight="1" x14ac:dyDescent="0.2">
      <c r="A2" s="76"/>
      <c r="B2" s="78"/>
      <c r="C2" s="961"/>
    </row>
    <row r="3" spans="1:6" s="217" customFormat="1" ht="33" customHeight="1" thickBot="1" x14ac:dyDescent="0.25">
      <c r="A3" s="1442" t="s">
        <v>1042</v>
      </c>
      <c r="B3" s="1442"/>
      <c r="C3" s="1442"/>
      <c r="E3" s="497"/>
      <c r="F3" s="497"/>
    </row>
    <row r="4" spans="1:6" ht="13.5" thickBot="1" x14ac:dyDescent="0.25">
      <c r="A4" s="1310" t="s">
        <v>154</v>
      </c>
      <c r="B4" s="81" t="s">
        <v>50</v>
      </c>
      <c r="C4" s="330" t="s">
        <v>1033</v>
      </c>
      <c r="E4" s="797"/>
      <c r="F4" s="797"/>
    </row>
    <row r="5" spans="1:6" s="219" customFormat="1" ht="12.95" customHeight="1" thickBot="1" x14ac:dyDescent="0.25">
      <c r="A5" s="71" t="s">
        <v>391</v>
      </c>
      <c r="B5" s="72" t="s">
        <v>392</v>
      </c>
      <c r="C5" s="331" t="s">
        <v>393</v>
      </c>
    </row>
    <row r="6" spans="1:6" s="219" customFormat="1" ht="15.95" customHeight="1" thickBot="1" x14ac:dyDescent="0.25">
      <c r="A6" s="83"/>
      <c r="B6" s="84" t="s">
        <v>52</v>
      </c>
      <c r="C6" s="332"/>
    </row>
    <row r="7" spans="1:6" s="168" customFormat="1" ht="12" customHeight="1" thickBot="1" x14ac:dyDescent="0.25">
      <c r="A7" s="71" t="s">
        <v>16</v>
      </c>
      <c r="B7" s="86" t="s">
        <v>467</v>
      </c>
      <c r="C7" s="569">
        <f>SUM(C8:C18)</f>
        <v>26965328</v>
      </c>
    </row>
    <row r="8" spans="1:6" s="168" customFormat="1" ht="12" customHeight="1" x14ac:dyDescent="0.2">
      <c r="A8" s="211" t="s">
        <v>86</v>
      </c>
      <c r="B8" s="7" t="s">
        <v>209</v>
      </c>
      <c r="C8" s="570"/>
    </row>
    <row r="9" spans="1:6" s="168" customFormat="1" ht="12" customHeight="1" x14ac:dyDescent="0.2">
      <c r="A9" s="212" t="s">
        <v>87</v>
      </c>
      <c r="B9" s="5" t="s">
        <v>210</v>
      </c>
      <c r="C9" s="854">
        <f>25515233-2000000-13776736</f>
        <v>9738497</v>
      </c>
    </row>
    <row r="10" spans="1:6" s="168" customFormat="1" ht="12" customHeight="1" x14ac:dyDescent="0.2">
      <c r="A10" s="212" t="s">
        <v>88</v>
      </c>
      <c r="B10" s="5" t="s">
        <v>211</v>
      </c>
      <c r="C10" s="854">
        <f>1270000-613120</f>
        <v>656880</v>
      </c>
    </row>
    <row r="11" spans="1:6" s="168" customFormat="1" ht="12" customHeight="1" x14ac:dyDescent="0.2">
      <c r="A11" s="212" t="s">
        <v>89</v>
      </c>
      <c r="B11" s="5" t="s">
        <v>212</v>
      </c>
      <c r="C11" s="854"/>
    </row>
    <row r="12" spans="1:6" s="168" customFormat="1" ht="12" customHeight="1" x14ac:dyDescent="0.2">
      <c r="A12" s="212" t="s">
        <v>112</v>
      </c>
      <c r="B12" s="5" t="s">
        <v>213</v>
      </c>
      <c r="C12" s="854">
        <f>23682732-17732140</f>
        <v>5950592</v>
      </c>
    </row>
    <row r="13" spans="1:6" s="168" customFormat="1" ht="12" customHeight="1" x14ac:dyDescent="0.2">
      <c r="A13" s="212" t="s">
        <v>90</v>
      </c>
      <c r="B13" s="5" t="s">
        <v>333</v>
      </c>
      <c r="C13" s="854">
        <f>6457815-4775456</f>
        <v>1682359</v>
      </c>
    </row>
    <row r="14" spans="1:6" s="168" customFormat="1" ht="12" customHeight="1" x14ac:dyDescent="0.2">
      <c r="A14" s="212" t="s">
        <v>91</v>
      </c>
      <c r="B14" s="4" t="s">
        <v>334</v>
      </c>
      <c r="C14" s="854">
        <f>9450092-2573092</f>
        <v>6877000</v>
      </c>
    </row>
    <row r="15" spans="1:6" s="168" customFormat="1" ht="12" customHeight="1" x14ac:dyDescent="0.2">
      <c r="A15" s="212" t="s">
        <v>101</v>
      </c>
      <c r="B15" s="5" t="s">
        <v>216</v>
      </c>
      <c r="C15" s="127"/>
    </row>
    <row r="16" spans="1:6" s="220" customFormat="1" ht="12" customHeight="1" x14ac:dyDescent="0.2">
      <c r="A16" s="212" t="s">
        <v>102</v>
      </c>
      <c r="B16" s="5" t="s">
        <v>217</v>
      </c>
      <c r="C16" s="854"/>
    </row>
    <row r="17" spans="1:3" s="220" customFormat="1" ht="12" customHeight="1" x14ac:dyDescent="0.2">
      <c r="A17" s="212" t="s">
        <v>103</v>
      </c>
      <c r="B17" s="5" t="s">
        <v>397</v>
      </c>
      <c r="C17" s="414"/>
    </row>
    <row r="18" spans="1:3" s="220" customFormat="1" ht="12" customHeight="1" thickBot="1" x14ac:dyDescent="0.25">
      <c r="A18" s="212" t="s">
        <v>104</v>
      </c>
      <c r="B18" s="4" t="s">
        <v>218</v>
      </c>
      <c r="C18" s="414">
        <f>2000000+60000</f>
        <v>2060000</v>
      </c>
    </row>
    <row r="19" spans="1:3" s="168" customFormat="1" ht="12" customHeight="1" thickBot="1" x14ac:dyDescent="0.25">
      <c r="A19" s="71" t="s">
        <v>17</v>
      </c>
      <c r="B19" s="86" t="s">
        <v>335</v>
      </c>
      <c r="C19" s="569">
        <f>SUM(C20:C22)</f>
        <v>0</v>
      </c>
    </row>
    <row r="20" spans="1:3" s="220" customFormat="1" ht="12" customHeight="1" x14ac:dyDescent="0.2">
      <c r="A20" s="212" t="s">
        <v>92</v>
      </c>
      <c r="B20" s="6" t="s">
        <v>187</v>
      </c>
      <c r="C20" s="574"/>
    </row>
    <row r="21" spans="1:3" s="220" customFormat="1" ht="12" customHeight="1" x14ac:dyDescent="0.2">
      <c r="A21" s="212" t="s">
        <v>93</v>
      </c>
      <c r="B21" s="5" t="s">
        <v>336</v>
      </c>
      <c r="C21" s="571"/>
    </row>
    <row r="22" spans="1:3" s="220" customFormat="1" ht="12" customHeight="1" x14ac:dyDescent="0.2">
      <c r="A22" s="212" t="s">
        <v>94</v>
      </c>
      <c r="B22" s="5" t="s">
        <v>337</v>
      </c>
      <c r="C22" s="571"/>
    </row>
    <row r="23" spans="1:3" s="220" customFormat="1" ht="12" customHeight="1" thickBot="1" x14ac:dyDescent="0.25">
      <c r="A23" s="212" t="s">
        <v>95</v>
      </c>
      <c r="B23" s="5" t="s">
        <v>468</v>
      </c>
      <c r="C23" s="571"/>
    </row>
    <row r="24" spans="1:3" s="220" customFormat="1" ht="12" customHeight="1" thickBot="1" x14ac:dyDescent="0.25">
      <c r="A24" s="74" t="s">
        <v>18</v>
      </c>
      <c r="B24" s="54" t="s">
        <v>126</v>
      </c>
      <c r="C24" s="576"/>
    </row>
    <row r="25" spans="1:3" s="220" customFormat="1" ht="12" customHeight="1" thickBot="1" x14ac:dyDescent="0.25">
      <c r="A25" s="74" t="s">
        <v>19</v>
      </c>
      <c r="B25" s="54" t="s">
        <v>469</v>
      </c>
      <c r="C25" s="569">
        <f>+C26+C27+C28</f>
        <v>0</v>
      </c>
    </row>
    <row r="26" spans="1:3" s="220" customFormat="1" ht="12" customHeight="1" x14ac:dyDescent="0.2">
      <c r="A26" s="213" t="s">
        <v>197</v>
      </c>
      <c r="B26" s="214" t="s">
        <v>192</v>
      </c>
      <c r="C26" s="577"/>
    </row>
    <row r="27" spans="1:3" s="220" customFormat="1" ht="12" customHeight="1" x14ac:dyDescent="0.2">
      <c r="A27" s="213" t="s">
        <v>200</v>
      </c>
      <c r="B27" s="214" t="s">
        <v>336</v>
      </c>
      <c r="C27" s="574"/>
    </row>
    <row r="28" spans="1:3" s="220" customFormat="1" ht="12" customHeight="1" x14ac:dyDescent="0.2">
      <c r="A28" s="213" t="s">
        <v>201</v>
      </c>
      <c r="B28" s="215" t="s">
        <v>338</v>
      </c>
      <c r="C28" s="574"/>
    </row>
    <row r="29" spans="1:3" s="220" customFormat="1" ht="12" customHeight="1" thickBot="1" x14ac:dyDescent="0.25">
      <c r="A29" s="212" t="s">
        <v>202</v>
      </c>
      <c r="B29" s="57" t="s">
        <v>470</v>
      </c>
      <c r="C29" s="578"/>
    </row>
    <row r="30" spans="1:3" s="220" customFormat="1" ht="12" customHeight="1" thickBot="1" x14ac:dyDescent="0.25">
      <c r="A30" s="74" t="s">
        <v>20</v>
      </c>
      <c r="B30" s="54" t="s">
        <v>339</v>
      </c>
      <c r="C30" s="569">
        <f>+C31+C32+C33</f>
        <v>0</v>
      </c>
    </row>
    <row r="31" spans="1:3" s="220" customFormat="1" ht="12" customHeight="1" x14ac:dyDescent="0.2">
      <c r="A31" s="213" t="s">
        <v>79</v>
      </c>
      <c r="B31" s="214" t="s">
        <v>223</v>
      </c>
      <c r="C31" s="577"/>
    </row>
    <row r="32" spans="1:3" s="220" customFormat="1" ht="12" customHeight="1" x14ac:dyDescent="0.2">
      <c r="A32" s="213" t="s">
        <v>80</v>
      </c>
      <c r="B32" s="215" t="s">
        <v>224</v>
      </c>
      <c r="C32" s="572"/>
    </row>
    <row r="33" spans="1:3" s="168" customFormat="1" ht="12" customHeight="1" thickBot="1" x14ac:dyDescent="0.25">
      <c r="A33" s="212" t="s">
        <v>81</v>
      </c>
      <c r="B33" s="57" t="s">
        <v>225</v>
      </c>
      <c r="C33" s="578"/>
    </row>
    <row r="34" spans="1:3" s="168" customFormat="1" ht="12" customHeight="1" thickBot="1" x14ac:dyDescent="0.25">
      <c r="A34" s="74" t="s">
        <v>21</v>
      </c>
      <c r="B34" s="54" t="s">
        <v>311</v>
      </c>
      <c r="C34" s="576"/>
    </row>
    <row r="35" spans="1:3" s="168" customFormat="1" ht="12" customHeight="1" thickBot="1" x14ac:dyDescent="0.25">
      <c r="A35" s="74" t="s">
        <v>22</v>
      </c>
      <c r="B35" s="54" t="s">
        <v>340</v>
      </c>
      <c r="C35" s="579"/>
    </row>
    <row r="36" spans="1:3" s="168" customFormat="1" ht="12" customHeight="1" thickBot="1" x14ac:dyDescent="0.25">
      <c r="A36" s="71" t="s">
        <v>23</v>
      </c>
      <c r="B36" s="54" t="s">
        <v>341</v>
      </c>
      <c r="C36" s="580">
        <f>+C7+C19+C24+C25+C30+C34+C35</f>
        <v>26965328</v>
      </c>
    </row>
    <row r="37" spans="1:3" s="168" customFormat="1" ht="12" customHeight="1" thickBot="1" x14ac:dyDescent="0.25">
      <c r="A37" s="962" t="s">
        <v>24</v>
      </c>
      <c r="B37" s="54" t="s">
        <v>342</v>
      </c>
      <c r="C37" s="580">
        <f>+C38+C39+C40</f>
        <v>85596898</v>
      </c>
    </row>
    <row r="38" spans="1:3" s="168" customFormat="1" ht="12" customHeight="1" x14ac:dyDescent="0.2">
      <c r="A38" s="213" t="s">
        <v>343</v>
      </c>
      <c r="B38" s="214" t="s">
        <v>168</v>
      </c>
      <c r="C38" s="577">
        <v>913769</v>
      </c>
    </row>
    <row r="39" spans="1:3" s="220" customFormat="1" ht="12" customHeight="1" x14ac:dyDescent="0.2">
      <c r="A39" s="213" t="s">
        <v>344</v>
      </c>
      <c r="B39" s="215" t="s">
        <v>6</v>
      </c>
      <c r="C39" s="572"/>
    </row>
    <row r="40" spans="1:3" s="220" customFormat="1" ht="15" customHeight="1" thickBot="1" x14ac:dyDescent="0.25">
      <c r="A40" s="212" t="s">
        <v>345</v>
      </c>
      <c r="B40" s="57" t="s">
        <v>346</v>
      </c>
      <c r="C40" s="1174">
        <f>166233753-6383081-28971201-51490300+5293958</f>
        <v>84683129</v>
      </c>
    </row>
    <row r="41" spans="1:3" s="220" customFormat="1" ht="15" customHeight="1" thickBot="1" x14ac:dyDescent="0.25">
      <c r="A41" s="962" t="s">
        <v>25</v>
      </c>
      <c r="B41" s="963" t="s">
        <v>347</v>
      </c>
      <c r="C41" s="581">
        <f>+C36+C37</f>
        <v>112562226</v>
      </c>
    </row>
    <row r="42" spans="1:3" s="221" customFormat="1" ht="12" customHeight="1" thickBot="1" x14ac:dyDescent="0.25">
      <c r="A42" s="93"/>
      <c r="B42" s="94" t="s">
        <v>53</v>
      </c>
      <c r="C42" s="581"/>
    </row>
    <row r="43" spans="1:3" ht="12" customHeight="1" thickBot="1" x14ac:dyDescent="0.25">
      <c r="A43" s="74" t="s">
        <v>16</v>
      </c>
      <c r="B43" s="54" t="s">
        <v>348</v>
      </c>
      <c r="C43" s="569">
        <f>SUM(C44:C48)</f>
        <v>112562226</v>
      </c>
    </row>
    <row r="44" spans="1:3" ht="12" customHeight="1" x14ac:dyDescent="0.2">
      <c r="A44" s="212" t="s">
        <v>86</v>
      </c>
      <c r="B44" s="6" t="s">
        <v>46</v>
      </c>
      <c r="C44" s="853">
        <f>71998629-3504528-20794165-11522884</f>
        <v>36177052</v>
      </c>
    </row>
    <row r="45" spans="1:3" ht="12" customHeight="1" x14ac:dyDescent="0.2">
      <c r="A45" s="212" t="s">
        <v>87</v>
      </c>
      <c r="B45" s="5" t="s">
        <v>135</v>
      </c>
      <c r="C45" s="854">
        <f>11651828-543202-3177036-2075587</f>
        <v>5856003</v>
      </c>
    </row>
    <row r="46" spans="1:3" ht="12" customHeight="1" x14ac:dyDescent="0.2">
      <c r="A46" s="212" t="s">
        <v>88</v>
      </c>
      <c r="B46" s="5" t="s">
        <v>111</v>
      </c>
      <c r="C46" s="859">
        <f>149872937-2335351-5000000-77302373-36323+5293958</f>
        <v>70492848</v>
      </c>
    </row>
    <row r="47" spans="1:3" ht="12" customHeight="1" x14ac:dyDescent="0.2">
      <c r="A47" s="212" t="s">
        <v>89</v>
      </c>
      <c r="B47" s="5" t="s">
        <v>136</v>
      </c>
      <c r="C47" s="571"/>
    </row>
    <row r="48" spans="1:3" ht="12" customHeight="1" thickBot="1" x14ac:dyDescent="0.25">
      <c r="A48" s="212" t="s">
        <v>112</v>
      </c>
      <c r="B48" s="5" t="s">
        <v>137</v>
      </c>
      <c r="C48" s="859">
        <v>36323</v>
      </c>
    </row>
    <row r="49" spans="1:6" s="221" customFormat="1" ht="12" customHeight="1" thickBot="1" x14ac:dyDescent="0.25">
      <c r="A49" s="74" t="s">
        <v>17</v>
      </c>
      <c r="B49" s="54" t="s">
        <v>349</v>
      </c>
      <c r="C49" s="569">
        <f>SUM(C50:C52)</f>
        <v>0</v>
      </c>
    </row>
    <row r="50" spans="1:6" ht="12" customHeight="1" x14ac:dyDescent="0.2">
      <c r="A50" s="212" t="s">
        <v>92</v>
      </c>
      <c r="B50" s="6" t="s">
        <v>159</v>
      </c>
      <c r="C50" s="858"/>
    </row>
    <row r="51" spans="1:6" ht="12" customHeight="1" x14ac:dyDescent="0.2">
      <c r="A51" s="212" t="s">
        <v>93</v>
      </c>
      <c r="B51" s="5" t="s">
        <v>139</v>
      </c>
      <c r="C51" s="571">
        <f>600000-600000</f>
        <v>0</v>
      </c>
    </row>
    <row r="52" spans="1:6" ht="12" customHeight="1" x14ac:dyDescent="0.2">
      <c r="A52" s="212" t="s">
        <v>94</v>
      </c>
      <c r="B52" s="5" t="s">
        <v>54</v>
      </c>
      <c r="C52" s="571"/>
    </row>
    <row r="53" spans="1:6" ht="15" customHeight="1" thickBot="1" x14ac:dyDescent="0.25">
      <c r="A53" s="212" t="s">
        <v>95</v>
      </c>
      <c r="B53" s="5" t="s">
        <v>471</v>
      </c>
      <c r="C53" s="571"/>
    </row>
    <row r="54" spans="1:6" ht="13.5" thickBot="1" x14ac:dyDescent="0.25">
      <c r="A54" s="74" t="s">
        <v>18</v>
      </c>
      <c r="B54" s="54" t="s">
        <v>12</v>
      </c>
      <c r="C54" s="576"/>
    </row>
    <row r="55" spans="1:6" ht="15" customHeight="1" thickBot="1" x14ac:dyDescent="0.25">
      <c r="A55" s="74" t="s">
        <v>19</v>
      </c>
      <c r="B55" s="95" t="s">
        <v>472</v>
      </c>
      <c r="C55" s="584">
        <f>+C43+C49+C54</f>
        <v>112562226</v>
      </c>
    </row>
    <row r="56" spans="1:6" x14ac:dyDescent="0.2">
      <c r="A56" s="1485" t="s">
        <v>465</v>
      </c>
      <c r="B56" s="1486"/>
      <c r="C56" s="644">
        <f>(22.5-1.33)/2</f>
        <v>10.585000000000001</v>
      </c>
      <c r="E56" s="499"/>
      <c r="F56" s="499"/>
    </row>
    <row r="57" spans="1:6" ht="13.5" customHeight="1" thickBot="1" x14ac:dyDescent="0.25">
      <c r="A57" s="1483" t="s">
        <v>952</v>
      </c>
      <c r="B57" s="1484"/>
      <c r="C57" s="645">
        <v>0</v>
      </c>
      <c r="E57" s="797"/>
      <c r="F57" s="797"/>
    </row>
  </sheetData>
  <sheetProtection formatCells="0"/>
  <mergeCells count="4">
    <mergeCell ref="A1:C1"/>
    <mergeCell ref="A57:B57"/>
    <mergeCell ref="A56:B56"/>
    <mergeCell ref="A3:C3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36"/>
  <dimension ref="A1:C61"/>
  <sheetViews>
    <sheetView topLeftCell="A34" zoomScale="145" zoomScaleNormal="145" workbookViewId="0">
      <selection activeCell="B51" sqref="B51"/>
    </sheetView>
  </sheetViews>
  <sheetFormatPr defaultRowHeight="12.75" x14ac:dyDescent="0.2"/>
  <cols>
    <col min="1" max="1" width="13.83203125" style="96" customWidth="1"/>
    <col min="2" max="2" width="79.1640625" style="774" customWidth="1"/>
    <col min="3" max="3" width="25" style="774" customWidth="1"/>
    <col min="4" max="256" width="9.33203125" style="774"/>
    <col min="257" max="257" width="13.83203125" style="774" customWidth="1"/>
    <col min="258" max="258" width="79.1640625" style="774" customWidth="1"/>
    <col min="259" max="259" width="25" style="774" customWidth="1"/>
    <col min="260" max="512" width="9.33203125" style="774"/>
    <col min="513" max="513" width="13.83203125" style="774" customWidth="1"/>
    <col min="514" max="514" width="79.1640625" style="774" customWidth="1"/>
    <col min="515" max="515" width="25" style="774" customWidth="1"/>
    <col min="516" max="768" width="9.33203125" style="774"/>
    <col min="769" max="769" width="13.83203125" style="774" customWidth="1"/>
    <col min="770" max="770" width="79.1640625" style="774" customWidth="1"/>
    <col min="771" max="771" width="25" style="774" customWidth="1"/>
    <col min="772" max="1024" width="9.33203125" style="774"/>
    <col min="1025" max="1025" width="13.83203125" style="774" customWidth="1"/>
    <col min="1026" max="1026" width="79.1640625" style="774" customWidth="1"/>
    <col min="1027" max="1027" width="25" style="774" customWidth="1"/>
    <col min="1028" max="1280" width="9.33203125" style="774"/>
    <col min="1281" max="1281" width="13.83203125" style="774" customWidth="1"/>
    <col min="1282" max="1282" width="79.1640625" style="774" customWidth="1"/>
    <col min="1283" max="1283" width="25" style="774" customWidth="1"/>
    <col min="1284" max="1536" width="9.33203125" style="774"/>
    <col min="1537" max="1537" width="13.83203125" style="774" customWidth="1"/>
    <col min="1538" max="1538" width="79.1640625" style="774" customWidth="1"/>
    <col min="1539" max="1539" width="25" style="774" customWidth="1"/>
    <col min="1540" max="1792" width="9.33203125" style="774"/>
    <col min="1793" max="1793" width="13.83203125" style="774" customWidth="1"/>
    <col min="1794" max="1794" width="79.1640625" style="774" customWidth="1"/>
    <col min="1795" max="1795" width="25" style="774" customWidth="1"/>
    <col min="1796" max="2048" width="9.33203125" style="774"/>
    <col min="2049" max="2049" width="13.83203125" style="774" customWidth="1"/>
    <col min="2050" max="2050" width="79.1640625" style="774" customWidth="1"/>
    <col min="2051" max="2051" width="25" style="774" customWidth="1"/>
    <col min="2052" max="2304" width="9.33203125" style="774"/>
    <col min="2305" max="2305" width="13.83203125" style="774" customWidth="1"/>
    <col min="2306" max="2306" width="79.1640625" style="774" customWidth="1"/>
    <col min="2307" max="2307" width="25" style="774" customWidth="1"/>
    <col min="2308" max="2560" width="9.33203125" style="774"/>
    <col min="2561" max="2561" width="13.83203125" style="774" customWidth="1"/>
    <col min="2562" max="2562" width="79.1640625" style="774" customWidth="1"/>
    <col min="2563" max="2563" width="25" style="774" customWidth="1"/>
    <col min="2564" max="2816" width="9.33203125" style="774"/>
    <col min="2817" max="2817" width="13.83203125" style="774" customWidth="1"/>
    <col min="2818" max="2818" width="79.1640625" style="774" customWidth="1"/>
    <col min="2819" max="2819" width="25" style="774" customWidth="1"/>
    <col min="2820" max="3072" width="9.33203125" style="774"/>
    <col min="3073" max="3073" width="13.83203125" style="774" customWidth="1"/>
    <col min="3074" max="3074" width="79.1640625" style="774" customWidth="1"/>
    <col min="3075" max="3075" width="25" style="774" customWidth="1"/>
    <col min="3076" max="3328" width="9.33203125" style="774"/>
    <col min="3329" max="3329" width="13.83203125" style="774" customWidth="1"/>
    <col min="3330" max="3330" width="79.1640625" style="774" customWidth="1"/>
    <col min="3331" max="3331" width="25" style="774" customWidth="1"/>
    <col min="3332" max="3584" width="9.33203125" style="774"/>
    <col min="3585" max="3585" width="13.83203125" style="774" customWidth="1"/>
    <col min="3586" max="3586" width="79.1640625" style="774" customWidth="1"/>
    <col min="3587" max="3587" width="25" style="774" customWidth="1"/>
    <col min="3588" max="3840" width="9.33203125" style="774"/>
    <col min="3841" max="3841" width="13.83203125" style="774" customWidth="1"/>
    <col min="3842" max="3842" width="79.1640625" style="774" customWidth="1"/>
    <col min="3843" max="3843" width="25" style="774" customWidth="1"/>
    <col min="3844" max="4096" width="9.33203125" style="774"/>
    <col min="4097" max="4097" width="13.83203125" style="774" customWidth="1"/>
    <col min="4098" max="4098" width="79.1640625" style="774" customWidth="1"/>
    <col min="4099" max="4099" width="25" style="774" customWidth="1"/>
    <col min="4100" max="4352" width="9.33203125" style="774"/>
    <col min="4353" max="4353" width="13.83203125" style="774" customWidth="1"/>
    <col min="4354" max="4354" width="79.1640625" style="774" customWidth="1"/>
    <col min="4355" max="4355" width="25" style="774" customWidth="1"/>
    <col min="4356" max="4608" width="9.33203125" style="774"/>
    <col min="4609" max="4609" width="13.83203125" style="774" customWidth="1"/>
    <col min="4610" max="4610" width="79.1640625" style="774" customWidth="1"/>
    <col min="4611" max="4611" width="25" style="774" customWidth="1"/>
    <col min="4612" max="4864" width="9.33203125" style="774"/>
    <col min="4865" max="4865" width="13.83203125" style="774" customWidth="1"/>
    <col min="4866" max="4866" width="79.1640625" style="774" customWidth="1"/>
    <col min="4867" max="4867" width="25" style="774" customWidth="1"/>
    <col min="4868" max="5120" width="9.33203125" style="774"/>
    <col min="5121" max="5121" width="13.83203125" style="774" customWidth="1"/>
    <col min="5122" max="5122" width="79.1640625" style="774" customWidth="1"/>
    <col min="5123" max="5123" width="25" style="774" customWidth="1"/>
    <col min="5124" max="5376" width="9.33203125" style="774"/>
    <col min="5377" max="5377" width="13.83203125" style="774" customWidth="1"/>
    <col min="5378" max="5378" width="79.1640625" style="774" customWidth="1"/>
    <col min="5379" max="5379" width="25" style="774" customWidth="1"/>
    <col min="5380" max="5632" width="9.33203125" style="774"/>
    <col min="5633" max="5633" width="13.83203125" style="774" customWidth="1"/>
    <col min="5634" max="5634" width="79.1640625" style="774" customWidth="1"/>
    <col min="5635" max="5635" width="25" style="774" customWidth="1"/>
    <col min="5636" max="5888" width="9.33203125" style="774"/>
    <col min="5889" max="5889" width="13.83203125" style="774" customWidth="1"/>
    <col min="5890" max="5890" width="79.1640625" style="774" customWidth="1"/>
    <col min="5891" max="5891" width="25" style="774" customWidth="1"/>
    <col min="5892" max="6144" width="9.33203125" style="774"/>
    <col min="6145" max="6145" width="13.83203125" style="774" customWidth="1"/>
    <col min="6146" max="6146" width="79.1640625" style="774" customWidth="1"/>
    <col min="6147" max="6147" width="25" style="774" customWidth="1"/>
    <col min="6148" max="6400" width="9.33203125" style="774"/>
    <col min="6401" max="6401" width="13.83203125" style="774" customWidth="1"/>
    <col min="6402" max="6402" width="79.1640625" style="774" customWidth="1"/>
    <col min="6403" max="6403" width="25" style="774" customWidth="1"/>
    <col min="6404" max="6656" width="9.33203125" style="774"/>
    <col min="6657" max="6657" width="13.83203125" style="774" customWidth="1"/>
    <col min="6658" max="6658" width="79.1640625" style="774" customWidth="1"/>
    <col min="6659" max="6659" width="25" style="774" customWidth="1"/>
    <col min="6660" max="6912" width="9.33203125" style="774"/>
    <col min="6913" max="6913" width="13.83203125" style="774" customWidth="1"/>
    <col min="6914" max="6914" width="79.1640625" style="774" customWidth="1"/>
    <col min="6915" max="6915" width="25" style="774" customWidth="1"/>
    <col min="6916" max="7168" width="9.33203125" style="774"/>
    <col min="7169" max="7169" width="13.83203125" style="774" customWidth="1"/>
    <col min="7170" max="7170" width="79.1640625" style="774" customWidth="1"/>
    <col min="7171" max="7171" width="25" style="774" customWidth="1"/>
    <col min="7172" max="7424" width="9.33203125" style="774"/>
    <col min="7425" max="7425" width="13.83203125" style="774" customWidth="1"/>
    <col min="7426" max="7426" width="79.1640625" style="774" customWidth="1"/>
    <col min="7427" max="7427" width="25" style="774" customWidth="1"/>
    <col min="7428" max="7680" width="9.33203125" style="774"/>
    <col min="7681" max="7681" width="13.83203125" style="774" customWidth="1"/>
    <col min="7682" max="7682" width="79.1640625" style="774" customWidth="1"/>
    <col min="7683" max="7683" width="25" style="774" customWidth="1"/>
    <col min="7684" max="7936" width="9.33203125" style="774"/>
    <col min="7937" max="7937" width="13.83203125" style="774" customWidth="1"/>
    <col min="7938" max="7938" width="79.1640625" style="774" customWidth="1"/>
    <col min="7939" max="7939" width="25" style="774" customWidth="1"/>
    <col min="7940" max="8192" width="9.33203125" style="774"/>
    <col min="8193" max="8193" width="13.83203125" style="774" customWidth="1"/>
    <col min="8194" max="8194" width="79.1640625" style="774" customWidth="1"/>
    <col min="8195" max="8195" width="25" style="774" customWidth="1"/>
    <col min="8196" max="8448" width="9.33203125" style="774"/>
    <col min="8449" max="8449" width="13.83203125" style="774" customWidth="1"/>
    <col min="8450" max="8450" width="79.1640625" style="774" customWidth="1"/>
    <col min="8451" max="8451" width="25" style="774" customWidth="1"/>
    <col min="8452" max="8704" width="9.33203125" style="774"/>
    <col min="8705" max="8705" width="13.83203125" style="774" customWidth="1"/>
    <col min="8706" max="8706" width="79.1640625" style="774" customWidth="1"/>
    <col min="8707" max="8707" width="25" style="774" customWidth="1"/>
    <col min="8708" max="8960" width="9.33203125" style="774"/>
    <col min="8961" max="8961" width="13.83203125" style="774" customWidth="1"/>
    <col min="8962" max="8962" width="79.1640625" style="774" customWidth="1"/>
    <col min="8963" max="8963" width="25" style="774" customWidth="1"/>
    <col min="8964" max="9216" width="9.33203125" style="774"/>
    <col min="9217" max="9217" width="13.83203125" style="774" customWidth="1"/>
    <col min="9218" max="9218" width="79.1640625" style="774" customWidth="1"/>
    <col min="9219" max="9219" width="25" style="774" customWidth="1"/>
    <col min="9220" max="9472" width="9.33203125" style="774"/>
    <col min="9473" max="9473" width="13.83203125" style="774" customWidth="1"/>
    <col min="9474" max="9474" width="79.1640625" style="774" customWidth="1"/>
    <col min="9475" max="9475" width="25" style="774" customWidth="1"/>
    <col min="9476" max="9728" width="9.33203125" style="774"/>
    <col min="9729" max="9729" width="13.83203125" style="774" customWidth="1"/>
    <col min="9730" max="9730" width="79.1640625" style="774" customWidth="1"/>
    <col min="9731" max="9731" width="25" style="774" customWidth="1"/>
    <col min="9732" max="9984" width="9.33203125" style="774"/>
    <col min="9985" max="9985" width="13.83203125" style="774" customWidth="1"/>
    <col min="9986" max="9986" width="79.1640625" style="774" customWidth="1"/>
    <col min="9987" max="9987" width="25" style="774" customWidth="1"/>
    <col min="9988" max="10240" width="9.33203125" style="774"/>
    <col min="10241" max="10241" width="13.83203125" style="774" customWidth="1"/>
    <col min="10242" max="10242" width="79.1640625" style="774" customWidth="1"/>
    <col min="10243" max="10243" width="25" style="774" customWidth="1"/>
    <col min="10244" max="10496" width="9.33203125" style="774"/>
    <col min="10497" max="10497" width="13.83203125" style="774" customWidth="1"/>
    <col min="10498" max="10498" width="79.1640625" style="774" customWidth="1"/>
    <col min="10499" max="10499" width="25" style="774" customWidth="1"/>
    <col min="10500" max="10752" width="9.33203125" style="774"/>
    <col min="10753" max="10753" width="13.83203125" style="774" customWidth="1"/>
    <col min="10754" max="10754" width="79.1640625" style="774" customWidth="1"/>
    <col min="10755" max="10755" width="25" style="774" customWidth="1"/>
    <col min="10756" max="11008" width="9.33203125" style="774"/>
    <col min="11009" max="11009" width="13.83203125" style="774" customWidth="1"/>
    <col min="11010" max="11010" width="79.1640625" style="774" customWidth="1"/>
    <col min="11011" max="11011" width="25" style="774" customWidth="1"/>
    <col min="11012" max="11264" width="9.33203125" style="774"/>
    <col min="11265" max="11265" width="13.83203125" style="774" customWidth="1"/>
    <col min="11266" max="11266" width="79.1640625" style="774" customWidth="1"/>
    <col min="11267" max="11267" width="25" style="774" customWidth="1"/>
    <col min="11268" max="11520" width="9.33203125" style="774"/>
    <col min="11521" max="11521" width="13.83203125" style="774" customWidth="1"/>
    <col min="11522" max="11522" width="79.1640625" style="774" customWidth="1"/>
    <col min="11523" max="11523" width="25" style="774" customWidth="1"/>
    <col min="11524" max="11776" width="9.33203125" style="774"/>
    <col min="11777" max="11777" width="13.83203125" style="774" customWidth="1"/>
    <col min="11778" max="11778" width="79.1640625" style="774" customWidth="1"/>
    <col min="11779" max="11779" width="25" style="774" customWidth="1"/>
    <col min="11780" max="12032" width="9.33203125" style="774"/>
    <col min="12033" max="12033" width="13.83203125" style="774" customWidth="1"/>
    <col min="12034" max="12034" width="79.1640625" style="774" customWidth="1"/>
    <col min="12035" max="12035" width="25" style="774" customWidth="1"/>
    <col min="12036" max="12288" width="9.33203125" style="774"/>
    <col min="12289" max="12289" width="13.83203125" style="774" customWidth="1"/>
    <col min="12290" max="12290" width="79.1640625" style="774" customWidth="1"/>
    <col min="12291" max="12291" width="25" style="774" customWidth="1"/>
    <col min="12292" max="12544" width="9.33203125" style="774"/>
    <col min="12545" max="12545" width="13.83203125" style="774" customWidth="1"/>
    <col min="12546" max="12546" width="79.1640625" style="774" customWidth="1"/>
    <col min="12547" max="12547" width="25" style="774" customWidth="1"/>
    <col min="12548" max="12800" width="9.33203125" style="774"/>
    <col min="12801" max="12801" width="13.83203125" style="774" customWidth="1"/>
    <col min="12802" max="12802" width="79.1640625" style="774" customWidth="1"/>
    <col min="12803" max="12803" width="25" style="774" customWidth="1"/>
    <col min="12804" max="13056" width="9.33203125" style="774"/>
    <col min="13057" max="13057" width="13.83203125" style="774" customWidth="1"/>
    <col min="13058" max="13058" width="79.1640625" style="774" customWidth="1"/>
    <col min="13059" max="13059" width="25" style="774" customWidth="1"/>
    <col min="13060" max="13312" width="9.33203125" style="774"/>
    <col min="13313" max="13313" width="13.83203125" style="774" customWidth="1"/>
    <col min="13314" max="13314" width="79.1640625" style="774" customWidth="1"/>
    <col min="13315" max="13315" width="25" style="774" customWidth="1"/>
    <col min="13316" max="13568" width="9.33203125" style="774"/>
    <col min="13569" max="13569" width="13.83203125" style="774" customWidth="1"/>
    <col min="13570" max="13570" width="79.1640625" style="774" customWidth="1"/>
    <col min="13571" max="13571" width="25" style="774" customWidth="1"/>
    <col min="13572" max="13824" width="9.33203125" style="774"/>
    <col min="13825" max="13825" width="13.83203125" style="774" customWidth="1"/>
    <col min="13826" max="13826" width="79.1640625" style="774" customWidth="1"/>
    <col min="13827" max="13827" width="25" style="774" customWidth="1"/>
    <col min="13828" max="14080" width="9.33203125" style="774"/>
    <col min="14081" max="14081" width="13.83203125" style="774" customWidth="1"/>
    <col min="14082" max="14082" width="79.1640625" style="774" customWidth="1"/>
    <col min="14083" max="14083" width="25" style="774" customWidth="1"/>
    <col min="14084" max="14336" width="9.33203125" style="774"/>
    <col min="14337" max="14337" width="13.83203125" style="774" customWidth="1"/>
    <col min="14338" max="14338" width="79.1640625" style="774" customWidth="1"/>
    <col min="14339" max="14339" width="25" style="774" customWidth="1"/>
    <col min="14340" max="14592" width="9.33203125" style="774"/>
    <col min="14593" max="14593" width="13.83203125" style="774" customWidth="1"/>
    <col min="14594" max="14594" width="79.1640625" style="774" customWidth="1"/>
    <col min="14595" max="14595" width="25" style="774" customWidth="1"/>
    <col min="14596" max="14848" width="9.33203125" style="774"/>
    <col min="14849" max="14849" width="13.83203125" style="774" customWidth="1"/>
    <col min="14850" max="14850" width="79.1640625" style="774" customWidth="1"/>
    <col min="14851" max="14851" width="25" style="774" customWidth="1"/>
    <col min="14852" max="15104" width="9.33203125" style="774"/>
    <col min="15105" max="15105" width="13.83203125" style="774" customWidth="1"/>
    <col min="15106" max="15106" width="79.1640625" style="774" customWidth="1"/>
    <col min="15107" max="15107" width="25" style="774" customWidth="1"/>
    <col min="15108" max="15360" width="9.33203125" style="774"/>
    <col min="15361" max="15361" width="13.83203125" style="774" customWidth="1"/>
    <col min="15362" max="15362" width="79.1640625" style="774" customWidth="1"/>
    <col min="15363" max="15363" width="25" style="774" customWidth="1"/>
    <col min="15364" max="15616" width="9.33203125" style="774"/>
    <col min="15617" max="15617" width="13.83203125" style="774" customWidth="1"/>
    <col min="15618" max="15618" width="79.1640625" style="774" customWidth="1"/>
    <col min="15619" max="15619" width="25" style="774" customWidth="1"/>
    <col min="15620" max="15872" width="9.33203125" style="774"/>
    <col min="15873" max="15873" width="13.83203125" style="774" customWidth="1"/>
    <col min="15874" max="15874" width="79.1640625" style="774" customWidth="1"/>
    <col min="15875" max="15875" width="25" style="774" customWidth="1"/>
    <col min="15876" max="16128" width="9.33203125" style="774"/>
    <col min="16129" max="16129" width="13.83203125" style="774" customWidth="1"/>
    <col min="16130" max="16130" width="79.1640625" style="774" customWidth="1"/>
    <col min="16131" max="16131" width="25" style="774" customWidth="1"/>
    <col min="16132" max="16384" width="9.33203125" style="774"/>
  </cols>
  <sheetData>
    <row r="1" spans="1:3" ht="12.75" customHeight="1" x14ac:dyDescent="0.2">
      <c r="A1" s="1482" t="str">
        <f>CONCATENATE("19. melléklet"," ",ALAPADATOK!A7," ",ALAPADATOK!B7," ",ALAPADATOK!C7," ",ALAPADATOK!D7," ",ALAPADATOK!E7," ",ALAPADATOK!F7," ",ALAPADATOK!G7," ",ALAPADATOK!H7)</f>
        <v>19. melléklet a 19 / 2021. ( XI.29. ) önkormányzati rendelethez</v>
      </c>
      <c r="B1" s="1482"/>
      <c r="C1" s="1482"/>
    </row>
    <row r="2" spans="1:3" s="77" customFormat="1" ht="21" customHeight="1" thickBot="1" x14ac:dyDescent="0.25">
      <c r="A2" s="76"/>
      <c r="B2" s="78"/>
      <c r="C2" s="964"/>
    </row>
    <row r="3" spans="1:3" s="217" customFormat="1" ht="33.75" customHeight="1" x14ac:dyDescent="0.2">
      <c r="A3" s="174" t="s">
        <v>153</v>
      </c>
      <c r="B3" s="154" t="s">
        <v>477</v>
      </c>
      <c r="C3" s="166" t="s">
        <v>57</v>
      </c>
    </row>
    <row r="4" spans="1:3" s="217" customFormat="1" ht="24.75" thickBot="1" x14ac:dyDescent="0.25">
      <c r="A4" s="210" t="s">
        <v>152</v>
      </c>
      <c r="B4" s="155" t="s">
        <v>350</v>
      </c>
      <c r="C4" s="167" t="s">
        <v>57</v>
      </c>
    </row>
    <row r="5" spans="1:3" s="218" customFormat="1" ht="15.95" customHeight="1" thickBot="1" x14ac:dyDescent="0.3">
      <c r="A5" s="79"/>
      <c r="B5" s="79"/>
      <c r="C5" s="80" t="s">
        <v>495</v>
      </c>
    </row>
    <row r="6" spans="1:3" ht="13.5" thickBot="1" x14ac:dyDescent="0.25">
      <c r="A6" s="175" t="s">
        <v>154</v>
      </c>
      <c r="B6" s="81" t="s">
        <v>50</v>
      </c>
      <c r="C6" s="82" t="s">
        <v>51</v>
      </c>
    </row>
    <row r="7" spans="1:3" s="219" customFormat="1" ht="12.95" customHeight="1" thickBot="1" x14ac:dyDescent="0.25">
      <c r="A7" s="71" t="s">
        <v>391</v>
      </c>
      <c r="B7" s="72" t="s">
        <v>392</v>
      </c>
      <c r="C7" s="73" t="s">
        <v>393</v>
      </c>
    </row>
    <row r="8" spans="1:3" s="219" customFormat="1" ht="15.95" customHeight="1" thickBot="1" x14ac:dyDescent="0.25">
      <c r="A8" s="83"/>
      <c r="B8" s="84" t="s">
        <v>52</v>
      </c>
      <c r="C8" s="85"/>
    </row>
    <row r="9" spans="1:3" s="168" customFormat="1" ht="12" customHeight="1" thickBot="1" x14ac:dyDescent="0.25">
      <c r="A9" s="71" t="s">
        <v>16</v>
      </c>
      <c r="B9" s="86" t="s">
        <v>467</v>
      </c>
      <c r="C9" s="856">
        <f>SUM(C10:C20)</f>
        <v>0</v>
      </c>
    </row>
    <row r="10" spans="1:3" s="168" customFormat="1" ht="12" customHeight="1" x14ac:dyDescent="0.2">
      <c r="A10" s="211" t="s">
        <v>86</v>
      </c>
      <c r="B10" s="7" t="s">
        <v>209</v>
      </c>
      <c r="C10" s="158"/>
    </row>
    <row r="11" spans="1:3" s="168" customFormat="1" ht="12" customHeight="1" x14ac:dyDescent="0.2">
      <c r="A11" s="212" t="s">
        <v>87</v>
      </c>
      <c r="B11" s="5" t="s">
        <v>210</v>
      </c>
      <c r="C11" s="854"/>
    </row>
    <row r="12" spans="1:3" s="168" customFormat="1" ht="12" customHeight="1" x14ac:dyDescent="0.2">
      <c r="A12" s="212" t="s">
        <v>88</v>
      </c>
      <c r="B12" s="5" t="s">
        <v>211</v>
      </c>
      <c r="C12" s="854"/>
    </row>
    <row r="13" spans="1:3" s="168" customFormat="1" ht="12" customHeight="1" x14ac:dyDescent="0.2">
      <c r="A13" s="212" t="s">
        <v>89</v>
      </c>
      <c r="B13" s="5" t="s">
        <v>212</v>
      </c>
      <c r="C13" s="854"/>
    </row>
    <row r="14" spans="1:3" s="168" customFormat="1" ht="12" customHeight="1" x14ac:dyDescent="0.2">
      <c r="A14" s="212" t="s">
        <v>112</v>
      </c>
      <c r="B14" s="5" t="s">
        <v>213</v>
      </c>
      <c r="C14" s="854"/>
    </row>
    <row r="15" spans="1:3" s="168" customFormat="1" ht="12" customHeight="1" x14ac:dyDescent="0.2">
      <c r="A15" s="212" t="s">
        <v>90</v>
      </c>
      <c r="B15" s="5" t="s">
        <v>333</v>
      </c>
      <c r="C15" s="854"/>
    </row>
    <row r="16" spans="1:3" s="168" customFormat="1" ht="12" customHeight="1" x14ac:dyDescent="0.2">
      <c r="A16" s="212" t="s">
        <v>91</v>
      </c>
      <c r="B16" s="4" t="s">
        <v>334</v>
      </c>
      <c r="C16" s="854"/>
    </row>
    <row r="17" spans="1:3" s="168" customFormat="1" ht="12" customHeight="1" x14ac:dyDescent="0.2">
      <c r="A17" s="212" t="s">
        <v>101</v>
      </c>
      <c r="B17" s="5" t="s">
        <v>216</v>
      </c>
      <c r="C17" s="127"/>
    </row>
    <row r="18" spans="1:3" s="220" customFormat="1" ht="12" customHeight="1" x14ac:dyDescent="0.2">
      <c r="A18" s="212" t="s">
        <v>102</v>
      </c>
      <c r="B18" s="5" t="s">
        <v>217</v>
      </c>
      <c r="C18" s="854"/>
    </row>
    <row r="19" spans="1:3" s="220" customFormat="1" ht="12" customHeight="1" x14ac:dyDescent="0.2">
      <c r="A19" s="212" t="s">
        <v>103</v>
      </c>
      <c r="B19" s="5" t="s">
        <v>397</v>
      </c>
      <c r="C19" s="414"/>
    </row>
    <row r="20" spans="1:3" s="220" customFormat="1" ht="12" customHeight="1" thickBot="1" x14ac:dyDescent="0.25">
      <c r="A20" s="212" t="s">
        <v>104</v>
      </c>
      <c r="B20" s="4" t="s">
        <v>218</v>
      </c>
      <c r="C20" s="414"/>
    </row>
    <row r="21" spans="1:3" s="168" customFormat="1" ht="12" customHeight="1" thickBot="1" x14ac:dyDescent="0.25">
      <c r="A21" s="71" t="s">
        <v>17</v>
      </c>
      <c r="B21" s="86" t="s">
        <v>335</v>
      </c>
      <c r="C21" s="856">
        <f>SUM(C22:C24)</f>
        <v>0</v>
      </c>
    </row>
    <row r="22" spans="1:3" s="220" customFormat="1" ht="12" customHeight="1" x14ac:dyDescent="0.2">
      <c r="A22" s="212" t="s">
        <v>92</v>
      </c>
      <c r="B22" s="6" t="s">
        <v>187</v>
      </c>
      <c r="C22" s="124"/>
    </row>
    <row r="23" spans="1:3" s="220" customFormat="1" ht="12" customHeight="1" x14ac:dyDescent="0.2">
      <c r="A23" s="212" t="s">
        <v>93</v>
      </c>
      <c r="B23" s="5" t="s">
        <v>336</v>
      </c>
      <c r="C23" s="854"/>
    </row>
    <row r="24" spans="1:3" s="220" customFormat="1" ht="12" customHeight="1" x14ac:dyDescent="0.2">
      <c r="A24" s="212" t="s">
        <v>94</v>
      </c>
      <c r="B24" s="5" t="s">
        <v>337</v>
      </c>
      <c r="C24" s="859"/>
    </row>
    <row r="25" spans="1:3" s="220" customFormat="1" ht="12" customHeight="1" thickBot="1" x14ac:dyDescent="0.25">
      <c r="A25" s="212" t="s">
        <v>95</v>
      </c>
      <c r="B25" s="5" t="s">
        <v>468</v>
      </c>
      <c r="C25" s="854"/>
    </row>
    <row r="26" spans="1:3" s="220" customFormat="1" ht="12" customHeight="1" thickBot="1" x14ac:dyDescent="0.25">
      <c r="A26" s="74" t="s">
        <v>18</v>
      </c>
      <c r="B26" s="54" t="s">
        <v>126</v>
      </c>
      <c r="C26" s="144"/>
    </row>
    <row r="27" spans="1:3" s="220" customFormat="1" ht="12" customHeight="1" thickBot="1" x14ac:dyDescent="0.25">
      <c r="A27" s="74" t="s">
        <v>19</v>
      </c>
      <c r="B27" s="54" t="s">
        <v>469</v>
      </c>
      <c r="C27" s="856">
        <f>+C28+C29+C30</f>
        <v>0</v>
      </c>
    </row>
    <row r="28" spans="1:3" s="220" customFormat="1" ht="12" customHeight="1" x14ac:dyDescent="0.2">
      <c r="A28" s="213" t="s">
        <v>197</v>
      </c>
      <c r="B28" s="214" t="s">
        <v>192</v>
      </c>
      <c r="C28" s="853"/>
    </row>
    <row r="29" spans="1:3" s="220" customFormat="1" ht="12" customHeight="1" x14ac:dyDescent="0.2">
      <c r="A29" s="213" t="s">
        <v>200</v>
      </c>
      <c r="B29" s="214" t="s">
        <v>336</v>
      </c>
      <c r="C29" s="124"/>
    </row>
    <row r="30" spans="1:3" s="220" customFormat="1" ht="12" customHeight="1" x14ac:dyDescent="0.2">
      <c r="A30" s="213" t="s">
        <v>201</v>
      </c>
      <c r="B30" s="215" t="s">
        <v>338</v>
      </c>
      <c r="C30" s="124"/>
    </row>
    <row r="31" spans="1:3" s="220" customFormat="1" ht="12" customHeight="1" thickBot="1" x14ac:dyDescent="0.25">
      <c r="A31" s="212" t="s">
        <v>202</v>
      </c>
      <c r="B31" s="57" t="s">
        <v>470</v>
      </c>
      <c r="C31" s="855"/>
    </row>
    <row r="32" spans="1:3" s="220" customFormat="1" ht="12" customHeight="1" thickBot="1" x14ac:dyDescent="0.25">
      <c r="A32" s="74" t="s">
        <v>20</v>
      </c>
      <c r="B32" s="54" t="s">
        <v>339</v>
      </c>
      <c r="C32" s="856">
        <f>+C33+C34+C35</f>
        <v>0</v>
      </c>
    </row>
    <row r="33" spans="1:3" s="220" customFormat="1" ht="12" customHeight="1" x14ac:dyDescent="0.2">
      <c r="A33" s="213" t="s">
        <v>79</v>
      </c>
      <c r="B33" s="214" t="s">
        <v>223</v>
      </c>
      <c r="C33" s="853"/>
    </row>
    <row r="34" spans="1:3" s="220" customFormat="1" ht="12" customHeight="1" x14ac:dyDescent="0.2">
      <c r="A34" s="213" t="s">
        <v>80</v>
      </c>
      <c r="B34" s="215" t="s">
        <v>224</v>
      </c>
      <c r="C34" s="127"/>
    </row>
    <row r="35" spans="1:3" s="168" customFormat="1" ht="12" customHeight="1" thickBot="1" x14ac:dyDescent="0.25">
      <c r="A35" s="212" t="s">
        <v>81</v>
      </c>
      <c r="B35" s="57" t="s">
        <v>225</v>
      </c>
      <c r="C35" s="855"/>
    </row>
    <row r="36" spans="1:3" s="168" customFormat="1" ht="12" customHeight="1" thickBot="1" x14ac:dyDescent="0.25">
      <c r="A36" s="74" t="s">
        <v>21</v>
      </c>
      <c r="B36" s="54" t="s">
        <v>311</v>
      </c>
      <c r="C36" s="144"/>
    </row>
    <row r="37" spans="1:3" s="168" customFormat="1" ht="12" customHeight="1" thickBot="1" x14ac:dyDescent="0.25">
      <c r="A37" s="74" t="s">
        <v>22</v>
      </c>
      <c r="B37" s="54" t="s">
        <v>340</v>
      </c>
      <c r="C37" s="160"/>
    </row>
    <row r="38" spans="1:3" s="168" customFormat="1" ht="12" customHeight="1" thickBot="1" x14ac:dyDescent="0.25">
      <c r="A38" s="71" t="s">
        <v>23</v>
      </c>
      <c r="B38" s="54" t="s">
        <v>341</v>
      </c>
      <c r="C38" s="857">
        <f>+C9+C21+C26+C27+C32+C36+C37</f>
        <v>0</v>
      </c>
    </row>
    <row r="39" spans="1:3" s="168" customFormat="1" ht="12" customHeight="1" thickBot="1" x14ac:dyDescent="0.25">
      <c r="A39" s="962" t="s">
        <v>24</v>
      </c>
      <c r="B39" s="54" t="s">
        <v>342</v>
      </c>
      <c r="C39" s="857">
        <f>+C40+C41+C42</f>
        <v>0</v>
      </c>
    </row>
    <row r="40" spans="1:3" s="168" customFormat="1" ht="12" customHeight="1" x14ac:dyDescent="0.2">
      <c r="A40" s="213" t="s">
        <v>343</v>
      </c>
      <c r="B40" s="214" t="s">
        <v>168</v>
      </c>
      <c r="C40" s="853"/>
    </row>
    <row r="41" spans="1:3" s="220" customFormat="1" ht="12" customHeight="1" x14ac:dyDescent="0.2">
      <c r="A41" s="213" t="s">
        <v>344</v>
      </c>
      <c r="B41" s="215" t="s">
        <v>6</v>
      </c>
      <c r="C41" s="127"/>
    </row>
    <row r="42" spans="1:3" s="220" customFormat="1" ht="15" customHeight="1" thickBot="1" x14ac:dyDescent="0.25">
      <c r="A42" s="212" t="s">
        <v>345</v>
      </c>
      <c r="B42" s="57" t="s">
        <v>346</v>
      </c>
      <c r="C42" s="855"/>
    </row>
    <row r="43" spans="1:3" s="220" customFormat="1" ht="15" customHeight="1" thickBot="1" x14ac:dyDescent="0.25">
      <c r="A43" s="962" t="s">
        <v>25</v>
      </c>
      <c r="B43" s="963" t="s">
        <v>347</v>
      </c>
      <c r="C43" s="163">
        <f>+C38+C39</f>
        <v>0</v>
      </c>
    </row>
    <row r="44" spans="1:3" x14ac:dyDescent="0.2">
      <c r="A44" s="89"/>
      <c r="B44" s="90"/>
      <c r="C44" s="161"/>
    </row>
    <row r="45" spans="1:3" s="219" customFormat="1" ht="16.5" customHeight="1" thickBot="1" x14ac:dyDescent="0.25">
      <c r="A45" s="91"/>
      <c r="B45" s="92"/>
      <c r="C45" s="162"/>
    </row>
    <row r="46" spans="1:3" s="221" customFormat="1" ht="12" customHeight="1" thickBot="1" x14ac:dyDescent="0.25">
      <c r="A46" s="93"/>
      <c r="B46" s="94" t="s">
        <v>53</v>
      </c>
      <c r="C46" s="163"/>
    </row>
    <row r="47" spans="1:3" ht="12" customHeight="1" thickBot="1" x14ac:dyDescent="0.25">
      <c r="A47" s="74" t="s">
        <v>16</v>
      </c>
      <c r="B47" s="54" t="s">
        <v>348</v>
      </c>
      <c r="C47" s="856">
        <f>SUM(C48:C52)</f>
        <v>0</v>
      </c>
    </row>
    <row r="48" spans="1:3" ht="12" customHeight="1" x14ac:dyDescent="0.2">
      <c r="A48" s="212" t="s">
        <v>86</v>
      </c>
      <c r="B48" s="6" t="s">
        <v>46</v>
      </c>
      <c r="C48" s="858"/>
    </row>
    <row r="49" spans="1:3" ht="12" customHeight="1" x14ac:dyDescent="0.2">
      <c r="A49" s="212" t="s">
        <v>87</v>
      </c>
      <c r="B49" s="5" t="s">
        <v>135</v>
      </c>
      <c r="C49" s="859"/>
    </row>
    <row r="50" spans="1:3" ht="12" customHeight="1" x14ac:dyDescent="0.2">
      <c r="A50" s="212" t="s">
        <v>88</v>
      </c>
      <c r="B50" s="5" t="s">
        <v>111</v>
      </c>
      <c r="C50" s="859"/>
    </row>
    <row r="51" spans="1:3" ht="12" customHeight="1" x14ac:dyDescent="0.2">
      <c r="A51" s="212" t="s">
        <v>89</v>
      </c>
      <c r="B51" s="5" t="s">
        <v>136</v>
      </c>
      <c r="C51" s="854"/>
    </row>
    <row r="52" spans="1:3" ht="12" customHeight="1" thickBot="1" x14ac:dyDescent="0.25">
      <c r="A52" s="212" t="s">
        <v>112</v>
      </c>
      <c r="B52" s="5" t="s">
        <v>137</v>
      </c>
      <c r="C52" s="854"/>
    </row>
    <row r="53" spans="1:3" s="221" customFormat="1" ht="12" customHeight="1" thickBot="1" x14ac:dyDescent="0.25">
      <c r="A53" s="74" t="s">
        <v>17</v>
      </c>
      <c r="B53" s="54" t="s">
        <v>349</v>
      </c>
      <c r="C53" s="856">
        <f>SUM(C54:C56)</f>
        <v>0</v>
      </c>
    </row>
    <row r="54" spans="1:3" ht="12" customHeight="1" x14ac:dyDescent="0.2">
      <c r="A54" s="212" t="s">
        <v>92</v>
      </c>
      <c r="B54" s="6" t="s">
        <v>159</v>
      </c>
      <c r="C54" s="858"/>
    </row>
    <row r="55" spans="1:3" ht="12" customHeight="1" x14ac:dyDescent="0.2">
      <c r="A55" s="212" t="s">
        <v>93</v>
      </c>
      <c r="B55" s="5" t="s">
        <v>139</v>
      </c>
      <c r="C55" s="854"/>
    </row>
    <row r="56" spans="1:3" ht="12" customHeight="1" x14ac:dyDescent="0.2">
      <c r="A56" s="212" t="s">
        <v>94</v>
      </c>
      <c r="B56" s="5" t="s">
        <v>54</v>
      </c>
      <c r="C56" s="854"/>
    </row>
    <row r="57" spans="1:3" ht="15" customHeight="1" thickBot="1" x14ac:dyDescent="0.25">
      <c r="A57" s="212" t="s">
        <v>95</v>
      </c>
      <c r="B57" s="5" t="s">
        <v>471</v>
      </c>
      <c r="C57" s="854"/>
    </row>
    <row r="58" spans="1:3" ht="13.5" thickBot="1" x14ac:dyDescent="0.25">
      <c r="A58" s="74" t="s">
        <v>18</v>
      </c>
      <c r="B58" s="54" t="s">
        <v>12</v>
      </c>
      <c r="C58" s="144"/>
    </row>
    <row r="59" spans="1:3" ht="15" customHeight="1" thickBot="1" x14ac:dyDescent="0.25">
      <c r="A59" s="74" t="s">
        <v>19</v>
      </c>
      <c r="B59" s="95" t="s">
        <v>472</v>
      </c>
      <c r="C59" s="164">
        <f>+C47+C53+C58</f>
        <v>0</v>
      </c>
    </row>
    <row r="60" spans="1:3" ht="14.25" customHeight="1" thickBot="1" x14ac:dyDescent="0.25">
      <c r="C60" s="319"/>
    </row>
    <row r="61" spans="1:3" ht="13.5" thickBot="1" x14ac:dyDescent="0.25">
      <c r="A61" s="97" t="s">
        <v>465</v>
      </c>
      <c r="B61" s="98"/>
      <c r="C61" s="416"/>
    </row>
  </sheetData>
  <sheetProtection formatCells="0"/>
  <mergeCells count="1">
    <mergeCell ref="A1:C1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37"/>
  <dimension ref="A1:F59"/>
  <sheetViews>
    <sheetView workbookViewId="0">
      <selection activeCell="H11" sqref="H11"/>
    </sheetView>
  </sheetViews>
  <sheetFormatPr defaultRowHeight="12.75" x14ac:dyDescent="0.2"/>
  <cols>
    <col min="1" max="1" width="13.83203125" style="96" customWidth="1"/>
    <col min="2" max="2" width="79.1640625" style="774" customWidth="1"/>
    <col min="3" max="3" width="25" style="333" customWidth="1"/>
    <col min="4" max="4" width="9.33203125" style="774" customWidth="1"/>
    <col min="5" max="5" width="11.83203125" style="797" hidden="1" customWidth="1"/>
    <col min="6" max="6" width="12.5" style="797" hidden="1" customWidth="1"/>
    <col min="7" max="8" width="9.33203125" style="774" customWidth="1"/>
    <col min="9" max="256" width="9.33203125" style="774"/>
    <col min="257" max="257" width="13.83203125" style="774" customWidth="1"/>
    <col min="258" max="258" width="79.1640625" style="774" customWidth="1"/>
    <col min="259" max="259" width="25" style="774" customWidth="1"/>
    <col min="260" max="512" width="9.33203125" style="774"/>
    <col min="513" max="513" width="13.83203125" style="774" customWidth="1"/>
    <col min="514" max="514" width="79.1640625" style="774" customWidth="1"/>
    <col min="515" max="515" width="25" style="774" customWidth="1"/>
    <col min="516" max="768" width="9.33203125" style="774"/>
    <col min="769" max="769" width="13.83203125" style="774" customWidth="1"/>
    <col min="770" max="770" width="79.1640625" style="774" customWidth="1"/>
    <col min="771" max="771" width="25" style="774" customWidth="1"/>
    <col min="772" max="1024" width="9.33203125" style="774"/>
    <col min="1025" max="1025" width="13.83203125" style="774" customWidth="1"/>
    <col min="1026" max="1026" width="79.1640625" style="774" customWidth="1"/>
    <col min="1027" max="1027" width="25" style="774" customWidth="1"/>
    <col min="1028" max="1280" width="9.33203125" style="774"/>
    <col min="1281" max="1281" width="13.83203125" style="774" customWidth="1"/>
    <col min="1282" max="1282" width="79.1640625" style="774" customWidth="1"/>
    <col min="1283" max="1283" width="25" style="774" customWidth="1"/>
    <col min="1284" max="1536" width="9.33203125" style="774"/>
    <col min="1537" max="1537" width="13.83203125" style="774" customWidth="1"/>
    <col min="1538" max="1538" width="79.1640625" style="774" customWidth="1"/>
    <col min="1539" max="1539" width="25" style="774" customWidth="1"/>
    <col min="1540" max="1792" width="9.33203125" style="774"/>
    <col min="1793" max="1793" width="13.83203125" style="774" customWidth="1"/>
    <col min="1794" max="1794" width="79.1640625" style="774" customWidth="1"/>
    <col min="1795" max="1795" width="25" style="774" customWidth="1"/>
    <col min="1796" max="2048" width="9.33203125" style="774"/>
    <col min="2049" max="2049" width="13.83203125" style="774" customWidth="1"/>
    <col min="2050" max="2050" width="79.1640625" style="774" customWidth="1"/>
    <col min="2051" max="2051" width="25" style="774" customWidth="1"/>
    <col min="2052" max="2304" width="9.33203125" style="774"/>
    <col min="2305" max="2305" width="13.83203125" style="774" customWidth="1"/>
    <col min="2306" max="2306" width="79.1640625" style="774" customWidth="1"/>
    <col min="2307" max="2307" width="25" style="774" customWidth="1"/>
    <col min="2308" max="2560" width="9.33203125" style="774"/>
    <col min="2561" max="2561" width="13.83203125" style="774" customWidth="1"/>
    <col min="2562" max="2562" width="79.1640625" style="774" customWidth="1"/>
    <col min="2563" max="2563" width="25" style="774" customWidth="1"/>
    <col min="2564" max="2816" width="9.33203125" style="774"/>
    <col min="2817" max="2817" width="13.83203125" style="774" customWidth="1"/>
    <col min="2818" max="2818" width="79.1640625" style="774" customWidth="1"/>
    <col min="2819" max="2819" width="25" style="774" customWidth="1"/>
    <col min="2820" max="3072" width="9.33203125" style="774"/>
    <col min="3073" max="3073" width="13.83203125" style="774" customWidth="1"/>
    <col min="3074" max="3074" width="79.1640625" style="774" customWidth="1"/>
    <col min="3075" max="3075" width="25" style="774" customWidth="1"/>
    <col min="3076" max="3328" width="9.33203125" style="774"/>
    <col min="3329" max="3329" width="13.83203125" style="774" customWidth="1"/>
    <col min="3330" max="3330" width="79.1640625" style="774" customWidth="1"/>
    <col min="3331" max="3331" width="25" style="774" customWidth="1"/>
    <col min="3332" max="3584" width="9.33203125" style="774"/>
    <col min="3585" max="3585" width="13.83203125" style="774" customWidth="1"/>
    <col min="3586" max="3586" width="79.1640625" style="774" customWidth="1"/>
    <col min="3587" max="3587" width="25" style="774" customWidth="1"/>
    <col min="3588" max="3840" width="9.33203125" style="774"/>
    <col min="3841" max="3841" width="13.83203125" style="774" customWidth="1"/>
    <col min="3842" max="3842" width="79.1640625" style="774" customWidth="1"/>
    <col min="3843" max="3843" width="25" style="774" customWidth="1"/>
    <col min="3844" max="4096" width="9.33203125" style="774"/>
    <col min="4097" max="4097" width="13.83203125" style="774" customWidth="1"/>
    <col min="4098" max="4098" width="79.1640625" style="774" customWidth="1"/>
    <col min="4099" max="4099" width="25" style="774" customWidth="1"/>
    <col min="4100" max="4352" width="9.33203125" style="774"/>
    <col min="4353" max="4353" width="13.83203125" style="774" customWidth="1"/>
    <col min="4354" max="4354" width="79.1640625" style="774" customWidth="1"/>
    <col min="4355" max="4355" width="25" style="774" customWidth="1"/>
    <col min="4356" max="4608" width="9.33203125" style="774"/>
    <col min="4609" max="4609" width="13.83203125" style="774" customWidth="1"/>
    <col min="4610" max="4610" width="79.1640625" style="774" customWidth="1"/>
    <col min="4611" max="4611" width="25" style="774" customWidth="1"/>
    <col min="4612" max="4864" width="9.33203125" style="774"/>
    <col min="4865" max="4865" width="13.83203125" style="774" customWidth="1"/>
    <col min="4866" max="4866" width="79.1640625" style="774" customWidth="1"/>
    <col min="4867" max="4867" width="25" style="774" customWidth="1"/>
    <col min="4868" max="5120" width="9.33203125" style="774"/>
    <col min="5121" max="5121" width="13.83203125" style="774" customWidth="1"/>
    <col min="5122" max="5122" width="79.1640625" style="774" customWidth="1"/>
    <col min="5123" max="5123" width="25" style="774" customWidth="1"/>
    <col min="5124" max="5376" width="9.33203125" style="774"/>
    <col min="5377" max="5377" width="13.83203125" style="774" customWidth="1"/>
    <col min="5378" max="5378" width="79.1640625" style="774" customWidth="1"/>
    <col min="5379" max="5379" width="25" style="774" customWidth="1"/>
    <col min="5380" max="5632" width="9.33203125" style="774"/>
    <col min="5633" max="5633" width="13.83203125" style="774" customWidth="1"/>
    <col min="5634" max="5634" width="79.1640625" style="774" customWidth="1"/>
    <col min="5635" max="5635" width="25" style="774" customWidth="1"/>
    <col min="5636" max="5888" width="9.33203125" style="774"/>
    <col min="5889" max="5889" width="13.83203125" style="774" customWidth="1"/>
    <col min="5890" max="5890" width="79.1640625" style="774" customWidth="1"/>
    <col min="5891" max="5891" width="25" style="774" customWidth="1"/>
    <col min="5892" max="6144" width="9.33203125" style="774"/>
    <col min="6145" max="6145" width="13.83203125" style="774" customWidth="1"/>
    <col min="6146" max="6146" width="79.1640625" style="774" customWidth="1"/>
    <col min="6147" max="6147" width="25" style="774" customWidth="1"/>
    <col min="6148" max="6400" width="9.33203125" style="774"/>
    <col min="6401" max="6401" width="13.83203125" style="774" customWidth="1"/>
    <col min="6402" max="6402" width="79.1640625" style="774" customWidth="1"/>
    <col min="6403" max="6403" width="25" style="774" customWidth="1"/>
    <col min="6404" max="6656" width="9.33203125" style="774"/>
    <col min="6657" max="6657" width="13.83203125" style="774" customWidth="1"/>
    <col min="6658" max="6658" width="79.1640625" style="774" customWidth="1"/>
    <col min="6659" max="6659" width="25" style="774" customWidth="1"/>
    <col min="6660" max="6912" width="9.33203125" style="774"/>
    <col min="6913" max="6913" width="13.83203125" style="774" customWidth="1"/>
    <col min="6914" max="6914" width="79.1640625" style="774" customWidth="1"/>
    <col min="6915" max="6915" width="25" style="774" customWidth="1"/>
    <col min="6916" max="7168" width="9.33203125" style="774"/>
    <col min="7169" max="7169" width="13.83203125" style="774" customWidth="1"/>
    <col min="7170" max="7170" width="79.1640625" style="774" customWidth="1"/>
    <col min="7171" max="7171" width="25" style="774" customWidth="1"/>
    <col min="7172" max="7424" width="9.33203125" style="774"/>
    <col min="7425" max="7425" width="13.83203125" style="774" customWidth="1"/>
    <col min="7426" max="7426" width="79.1640625" style="774" customWidth="1"/>
    <col min="7427" max="7427" width="25" style="774" customWidth="1"/>
    <col min="7428" max="7680" width="9.33203125" style="774"/>
    <col min="7681" max="7681" width="13.83203125" style="774" customWidth="1"/>
    <col min="7682" max="7682" width="79.1640625" style="774" customWidth="1"/>
    <col min="7683" max="7683" width="25" style="774" customWidth="1"/>
    <col min="7684" max="7936" width="9.33203125" style="774"/>
    <col min="7937" max="7937" width="13.83203125" style="774" customWidth="1"/>
    <col min="7938" max="7938" width="79.1640625" style="774" customWidth="1"/>
    <col min="7939" max="7939" width="25" style="774" customWidth="1"/>
    <col min="7940" max="8192" width="9.33203125" style="774"/>
    <col min="8193" max="8193" width="13.83203125" style="774" customWidth="1"/>
    <col min="8194" max="8194" width="79.1640625" style="774" customWidth="1"/>
    <col min="8195" max="8195" width="25" style="774" customWidth="1"/>
    <col min="8196" max="8448" width="9.33203125" style="774"/>
    <col min="8449" max="8449" width="13.83203125" style="774" customWidth="1"/>
    <col min="8450" max="8450" width="79.1640625" style="774" customWidth="1"/>
    <col min="8451" max="8451" width="25" style="774" customWidth="1"/>
    <col min="8452" max="8704" width="9.33203125" style="774"/>
    <col min="8705" max="8705" width="13.83203125" style="774" customWidth="1"/>
    <col min="8706" max="8706" width="79.1640625" style="774" customWidth="1"/>
    <col min="8707" max="8707" width="25" style="774" customWidth="1"/>
    <col min="8708" max="8960" width="9.33203125" style="774"/>
    <col min="8961" max="8961" width="13.83203125" style="774" customWidth="1"/>
    <col min="8962" max="8962" width="79.1640625" style="774" customWidth="1"/>
    <col min="8963" max="8963" width="25" style="774" customWidth="1"/>
    <col min="8964" max="9216" width="9.33203125" style="774"/>
    <col min="9217" max="9217" width="13.83203125" style="774" customWidth="1"/>
    <col min="9218" max="9218" width="79.1640625" style="774" customWidth="1"/>
    <col min="9219" max="9219" width="25" style="774" customWidth="1"/>
    <col min="9220" max="9472" width="9.33203125" style="774"/>
    <col min="9473" max="9473" width="13.83203125" style="774" customWidth="1"/>
    <col min="9474" max="9474" width="79.1640625" style="774" customWidth="1"/>
    <col min="9475" max="9475" width="25" style="774" customWidth="1"/>
    <col min="9476" max="9728" width="9.33203125" style="774"/>
    <col min="9729" max="9729" width="13.83203125" style="774" customWidth="1"/>
    <col min="9730" max="9730" width="79.1640625" style="774" customWidth="1"/>
    <col min="9731" max="9731" width="25" style="774" customWidth="1"/>
    <col min="9732" max="9984" width="9.33203125" style="774"/>
    <col min="9985" max="9985" width="13.83203125" style="774" customWidth="1"/>
    <col min="9986" max="9986" width="79.1640625" style="774" customWidth="1"/>
    <col min="9987" max="9987" width="25" style="774" customWidth="1"/>
    <col min="9988" max="10240" width="9.33203125" style="774"/>
    <col min="10241" max="10241" width="13.83203125" style="774" customWidth="1"/>
    <col min="10242" max="10242" width="79.1640625" style="774" customWidth="1"/>
    <col min="10243" max="10243" width="25" style="774" customWidth="1"/>
    <col min="10244" max="10496" width="9.33203125" style="774"/>
    <col min="10497" max="10497" width="13.83203125" style="774" customWidth="1"/>
    <col min="10498" max="10498" width="79.1640625" style="774" customWidth="1"/>
    <col min="10499" max="10499" width="25" style="774" customWidth="1"/>
    <col min="10500" max="10752" width="9.33203125" style="774"/>
    <col min="10753" max="10753" width="13.83203125" style="774" customWidth="1"/>
    <col min="10754" max="10754" width="79.1640625" style="774" customWidth="1"/>
    <col min="10755" max="10755" width="25" style="774" customWidth="1"/>
    <col min="10756" max="11008" width="9.33203125" style="774"/>
    <col min="11009" max="11009" width="13.83203125" style="774" customWidth="1"/>
    <col min="11010" max="11010" width="79.1640625" style="774" customWidth="1"/>
    <col min="11011" max="11011" width="25" style="774" customWidth="1"/>
    <col min="11012" max="11264" width="9.33203125" style="774"/>
    <col min="11265" max="11265" width="13.83203125" style="774" customWidth="1"/>
    <col min="11266" max="11266" width="79.1640625" style="774" customWidth="1"/>
    <col min="11267" max="11267" width="25" style="774" customWidth="1"/>
    <col min="11268" max="11520" width="9.33203125" style="774"/>
    <col min="11521" max="11521" width="13.83203125" style="774" customWidth="1"/>
    <col min="11522" max="11522" width="79.1640625" style="774" customWidth="1"/>
    <col min="11523" max="11523" width="25" style="774" customWidth="1"/>
    <col min="11524" max="11776" width="9.33203125" style="774"/>
    <col min="11777" max="11777" width="13.83203125" style="774" customWidth="1"/>
    <col min="11778" max="11778" width="79.1640625" style="774" customWidth="1"/>
    <col min="11779" max="11779" width="25" style="774" customWidth="1"/>
    <col min="11780" max="12032" width="9.33203125" style="774"/>
    <col min="12033" max="12033" width="13.83203125" style="774" customWidth="1"/>
    <col min="12034" max="12034" width="79.1640625" style="774" customWidth="1"/>
    <col min="12035" max="12035" width="25" style="774" customWidth="1"/>
    <col min="12036" max="12288" width="9.33203125" style="774"/>
    <col min="12289" max="12289" width="13.83203125" style="774" customWidth="1"/>
    <col min="12290" max="12290" width="79.1640625" style="774" customWidth="1"/>
    <col min="12291" max="12291" width="25" style="774" customWidth="1"/>
    <col min="12292" max="12544" width="9.33203125" style="774"/>
    <col min="12545" max="12545" width="13.83203125" style="774" customWidth="1"/>
    <col min="12546" max="12546" width="79.1640625" style="774" customWidth="1"/>
    <col min="12547" max="12547" width="25" style="774" customWidth="1"/>
    <col min="12548" max="12800" width="9.33203125" style="774"/>
    <col min="12801" max="12801" width="13.83203125" style="774" customWidth="1"/>
    <col min="12802" max="12802" width="79.1640625" style="774" customWidth="1"/>
    <col min="12803" max="12803" width="25" style="774" customWidth="1"/>
    <col min="12804" max="13056" width="9.33203125" style="774"/>
    <col min="13057" max="13057" width="13.83203125" style="774" customWidth="1"/>
    <col min="13058" max="13058" width="79.1640625" style="774" customWidth="1"/>
    <col min="13059" max="13059" width="25" style="774" customWidth="1"/>
    <col min="13060" max="13312" width="9.33203125" style="774"/>
    <col min="13313" max="13313" width="13.83203125" style="774" customWidth="1"/>
    <col min="13314" max="13314" width="79.1640625" style="774" customWidth="1"/>
    <col min="13315" max="13315" width="25" style="774" customWidth="1"/>
    <col min="13316" max="13568" width="9.33203125" style="774"/>
    <col min="13569" max="13569" width="13.83203125" style="774" customWidth="1"/>
    <col min="13570" max="13570" width="79.1640625" style="774" customWidth="1"/>
    <col min="13571" max="13571" width="25" style="774" customWidth="1"/>
    <col min="13572" max="13824" width="9.33203125" style="774"/>
    <col min="13825" max="13825" width="13.83203125" style="774" customWidth="1"/>
    <col min="13826" max="13826" width="79.1640625" style="774" customWidth="1"/>
    <col min="13827" max="13827" width="25" style="774" customWidth="1"/>
    <col min="13828" max="14080" width="9.33203125" style="774"/>
    <col min="14081" max="14081" width="13.83203125" style="774" customWidth="1"/>
    <col min="14082" max="14082" width="79.1640625" style="774" customWidth="1"/>
    <col min="14083" max="14083" width="25" style="774" customWidth="1"/>
    <col min="14084" max="14336" width="9.33203125" style="774"/>
    <col min="14337" max="14337" width="13.83203125" style="774" customWidth="1"/>
    <col min="14338" max="14338" width="79.1640625" style="774" customWidth="1"/>
    <col min="14339" max="14339" width="25" style="774" customWidth="1"/>
    <col min="14340" max="14592" width="9.33203125" style="774"/>
    <col min="14593" max="14593" width="13.83203125" style="774" customWidth="1"/>
    <col min="14594" max="14594" width="79.1640625" style="774" customWidth="1"/>
    <col min="14595" max="14595" width="25" style="774" customWidth="1"/>
    <col min="14596" max="14848" width="9.33203125" style="774"/>
    <col min="14849" max="14849" width="13.83203125" style="774" customWidth="1"/>
    <col min="14850" max="14850" width="79.1640625" style="774" customWidth="1"/>
    <col min="14851" max="14851" width="25" style="774" customWidth="1"/>
    <col min="14852" max="15104" width="9.33203125" style="774"/>
    <col min="15105" max="15105" width="13.83203125" style="774" customWidth="1"/>
    <col min="15106" max="15106" width="79.1640625" style="774" customWidth="1"/>
    <col min="15107" max="15107" width="25" style="774" customWidth="1"/>
    <col min="15108" max="15360" width="9.33203125" style="774"/>
    <col min="15361" max="15361" width="13.83203125" style="774" customWidth="1"/>
    <col min="15362" max="15362" width="79.1640625" style="774" customWidth="1"/>
    <col min="15363" max="15363" width="25" style="774" customWidth="1"/>
    <col min="15364" max="15616" width="9.33203125" style="774"/>
    <col min="15617" max="15617" width="13.83203125" style="774" customWidth="1"/>
    <col min="15618" max="15618" width="79.1640625" style="774" customWidth="1"/>
    <col min="15619" max="15619" width="25" style="774" customWidth="1"/>
    <col min="15620" max="15872" width="9.33203125" style="774"/>
    <col min="15873" max="15873" width="13.83203125" style="774" customWidth="1"/>
    <col min="15874" max="15874" width="79.1640625" style="774" customWidth="1"/>
    <col min="15875" max="15875" width="25" style="774" customWidth="1"/>
    <col min="15876" max="16128" width="9.33203125" style="774"/>
    <col min="16129" max="16129" width="13.83203125" style="774" customWidth="1"/>
    <col min="16130" max="16130" width="79.1640625" style="774" customWidth="1"/>
    <col min="16131" max="16131" width="25" style="774" customWidth="1"/>
    <col min="16132" max="16384" width="9.33203125" style="774"/>
  </cols>
  <sheetData>
    <row r="1" spans="1:6" ht="12.75" customHeight="1" x14ac:dyDescent="0.2">
      <c r="A1" s="1482" t="str">
        <f>CONCATENATE("17. melléklet"," ",ALAPADATOK!A7," ",ALAPADATOK!B7," ",ALAPADATOK!C7," ",ALAPADATOK!D7," ",ALAPADATOK!E7," ",ALAPADATOK!F7," ",ALAPADATOK!G7," ",ALAPADATOK!H7)</f>
        <v>17. melléklet a 19 / 2021. ( XI.29. ) önkormányzati rendelethez</v>
      </c>
      <c r="B1" s="1482"/>
      <c r="C1" s="1482"/>
    </row>
    <row r="2" spans="1:6" s="77" customFormat="1" ht="21" customHeight="1" x14ac:dyDescent="0.2">
      <c r="A2" s="76"/>
      <c r="B2" s="78"/>
      <c r="C2" s="961"/>
      <c r="E2" s="797"/>
      <c r="F2" s="797"/>
    </row>
    <row r="3" spans="1:6" s="217" customFormat="1" ht="33" customHeight="1" thickBot="1" x14ac:dyDescent="0.25">
      <c r="A3" s="1442" t="s">
        <v>1043</v>
      </c>
      <c r="B3" s="1442"/>
      <c r="C3" s="1442"/>
      <c r="E3" s="497"/>
      <c r="F3" s="497"/>
    </row>
    <row r="4" spans="1:6" ht="13.5" thickBot="1" x14ac:dyDescent="0.25">
      <c r="A4" s="1310" t="s">
        <v>154</v>
      </c>
      <c r="B4" s="81" t="s">
        <v>50</v>
      </c>
      <c r="C4" s="330" t="s">
        <v>1033</v>
      </c>
    </row>
    <row r="5" spans="1:6" s="219" customFormat="1" ht="12.95" customHeight="1" thickBot="1" x14ac:dyDescent="0.25">
      <c r="A5" s="71" t="s">
        <v>391</v>
      </c>
      <c r="B5" s="72" t="s">
        <v>392</v>
      </c>
      <c r="C5" s="331" t="s">
        <v>393</v>
      </c>
      <c r="E5" s="498"/>
      <c r="F5" s="498"/>
    </row>
    <row r="6" spans="1:6" s="219" customFormat="1" ht="15.95" customHeight="1" thickBot="1" x14ac:dyDescent="0.25">
      <c r="A6" s="83"/>
      <c r="B6" s="84" t="s">
        <v>52</v>
      </c>
      <c r="C6" s="332"/>
      <c r="E6" s="498"/>
      <c r="F6" s="498"/>
    </row>
    <row r="7" spans="1:6" s="168" customFormat="1" ht="12" customHeight="1" thickBot="1" x14ac:dyDescent="0.25">
      <c r="A7" s="71" t="s">
        <v>16</v>
      </c>
      <c r="B7" s="86" t="s">
        <v>467</v>
      </c>
      <c r="C7" s="569">
        <f>SUM(C8:C18)</f>
        <v>200227485</v>
      </c>
      <c r="E7" s="499">
        <f>'9.6.1. sz. mell Kornisné Kp. '!C7+'9.6.2. sz. mell Kornisné Kp.'!C7+'9.6.3. sz. mell Kornisné Kp '!C9</f>
        <v>200227485</v>
      </c>
      <c r="F7" s="499">
        <f>C7-E7</f>
        <v>0</v>
      </c>
    </row>
    <row r="8" spans="1:6" s="168" customFormat="1" ht="12" customHeight="1" x14ac:dyDescent="0.2">
      <c r="A8" s="211" t="s">
        <v>86</v>
      </c>
      <c r="B8" s="7" t="s">
        <v>209</v>
      </c>
      <c r="C8" s="570"/>
      <c r="E8" s="499">
        <f>'9.6.1. sz. mell Kornisné Kp. '!C8+'9.6.2. sz. mell Kornisné Kp.'!C8+'9.6.3. sz. mell Kornisné Kp '!C10</f>
        <v>0</v>
      </c>
      <c r="F8" s="499">
        <f t="shared" ref="F8:F58" si="0">C8-E8</f>
        <v>0</v>
      </c>
    </row>
    <row r="9" spans="1:6" s="168" customFormat="1" ht="12" customHeight="1" x14ac:dyDescent="0.2">
      <c r="A9" s="212" t="s">
        <v>87</v>
      </c>
      <c r="B9" s="5" t="s">
        <v>210</v>
      </c>
      <c r="C9" s="854">
        <f>11413000+972000</f>
        <v>12385000</v>
      </c>
      <c r="E9" s="499">
        <f>'9.6.1. sz. mell Kornisné Kp. '!C9+'9.6.2. sz. mell Kornisné Kp.'!C9+'9.6.3. sz. mell Kornisné Kp '!C11</f>
        <v>12385000</v>
      </c>
      <c r="F9" s="499">
        <f t="shared" si="0"/>
        <v>0</v>
      </c>
    </row>
    <row r="10" spans="1:6" s="168" customFormat="1" ht="12" customHeight="1" x14ac:dyDescent="0.2">
      <c r="A10" s="212" t="s">
        <v>88</v>
      </c>
      <c r="B10" s="5" t="s">
        <v>211</v>
      </c>
      <c r="C10" s="571">
        <f>10090000</f>
        <v>10090000</v>
      </c>
      <c r="E10" s="499">
        <f>'9.6.1. sz. mell Kornisné Kp. '!C10+'9.6.2. sz. mell Kornisné Kp.'!C10+'9.6.3. sz. mell Kornisné Kp '!C12</f>
        <v>10090000</v>
      </c>
      <c r="F10" s="499">
        <f t="shared" si="0"/>
        <v>0</v>
      </c>
    </row>
    <row r="11" spans="1:6" s="168" customFormat="1" ht="12" customHeight="1" x14ac:dyDescent="0.2">
      <c r="A11" s="212" t="s">
        <v>89</v>
      </c>
      <c r="B11" s="5" t="s">
        <v>212</v>
      </c>
      <c r="C11" s="571"/>
      <c r="E11" s="499">
        <f>'9.6.1. sz. mell Kornisné Kp. '!C11+'9.6.2. sz. mell Kornisné Kp.'!C11+'9.6.3. sz. mell Kornisné Kp '!C13</f>
        <v>0</v>
      </c>
      <c r="F11" s="499">
        <f t="shared" si="0"/>
        <v>0</v>
      </c>
    </row>
    <row r="12" spans="1:6" s="168" customFormat="1" ht="12" customHeight="1" x14ac:dyDescent="0.2">
      <c r="A12" s="212" t="s">
        <v>112</v>
      </c>
      <c r="B12" s="5" t="s">
        <v>213</v>
      </c>
      <c r="C12" s="571">
        <v>173575135</v>
      </c>
      <c r="E12" s="499">
        <f>'9.6.1. sz. mell Kornisné Kp. '!C12+'9.6.2. sz. mell Kornisné Kp.'!C12+'9.6.3. sz. mell Kornisné Kp '!C14</f>
        <v>173575135</v>
      </c>
      <c r="F12" s="499">
        <f t="shared" si="0"/>
        <v>0</v>
      </c>
    </row>
    <row r="13" spans="1:6" s="168" customFormat="1" ht="12" customHeight="1" x14ac:dyDescent="0.2">
      <c r="A13" s="212" t="s">
        <v>90</v>
      </c>
      <c r="B13" s="5" t="s">
        <v>333</v>
      </c>
      <c r="C13" s="854">
        <f>3914910+262440</f>
        <v>4177350</v>
      </c>
      <c r="E13" s="499">
        <f>'9.6.1. sz. mell Kornisné Kp. '!C13+'9.6.2. sz. mell Kornisné Kp.'!C13+'9.6.3. sz. mell Kornisné Kp '!C15</f>
        <v>4177350</v>
      </c>
      <c r="F13" s="499">
        <f t="shared" si="0"/>
        <v>0</v>
      </c>
    </row>
    <row r="14" spans="1:6" s="168" customFormat="1" ht="12" customHeight="1" x14ac:dyDescent="0.2">
      <c r="A14" s="212" t="s">
        <v>91</v>
      </c>
      <c r="B14" s="4" t="s">
        <v>334</v>
      </c>
      <c r="C14" s="571"/>
      <c r="E14" s="499">
        <f>'9.6.1. sz. mell Kornisné Kp. '!C14+'9.6.2. sz. mell Kornisné Kp.'!C14+'9.6.3. sz. mell Kornisné Kp '!C16</f>
        <v>0</v>
      </c>
      <c r="F14" s="499">
        <f t="shared" si="0"/>
        <v>0</v>
      </c>
    </row>
    <row r="15" spans="1:6" s="168" customFormat="1" ht="12" customHeight="1" x14ac:dyDescent="0.2">
      <c r="A15" s="212" t="s">
        <v>101</v>
      </c>
      <c r="B15" s="5" t="s">
        <v>216</v>
      </c>
      <c r="C15" s="572"/>
      <c r="E15" s="499">
        <f>'9.6.1. sz. mell Kornisné Kp. '!C15+'9.6.2. sz. mell Kornisné Kp.'!C15+'9.6.3. sz. mell Kornisné Kp '!C17</f>
        <v>0</v>
      </c>
      <c r="F15" s="499">
        <f t="shared" si="0"/>
        <v>0</v>
      </c>
    </row>
    <row r="16" spans="1:6" s="220" customFormat="1" ht="12" customHeight="1" x14ac:dyDescent="0.2">
      <c r="A16" s="212" t="s">
        <v>102</v>
      </c>
      <c r="B16" s="5" t="s">
        <v>217</v>
      </c>
      <c r="C16" s="571"/>
      <c r="E16" s="499">
        <f>'9.6.1. sz. mell Kornisné Kp. '!C16+'9.6.2. sz. mell Kornisné Kp.'!C16+'9.6.3. sz. mell Kornisné Kp '!C18</f>
        <v>0</v>
      </c>
      <c r="F16" s="499">
        <f t="shared" si="0"/>
        <v>0</v>
      </c>
    </row>
    <row r="17" spans="1:6" s="220" customFormat="1" ht="12" customHeight="1" x14ac:dyDescent="0.2">
      <c r="A17" s="212" t="s">
        <v>103</v>
      </c>
      <c r="B17" s="5" t="s">
        <v>397</v>
      </c>
      <c r="C17" s="573"/>
      <c r="E17" s="499">
        <f>'9.6.1. sz. mell Kornisné Kp. '!C17+'9.6.2. sz. mell Kornisné Kp.'!C17+'9.6.3. sz. mell Kornisné Kp '!C19</f>
        <v>0</v>
      </c>
      <c r="F17" s="499">
        <f t="shared" si="0"/>
        <v>0</v>
      </c>
    </row>
    <row r="18" spans="1:6" s="220" customFormat="1" ht="12" customHeight="1" thickBot="1" x14ac:dyDescent="0.25">
      <c r="A18" s="212" t="s">
        <v>104</v>
      </c>
      <c r="B18" s="4" t="s">
        <v>218</v>
      </c>
      <c r="C18" s="573"/>
      <c r="E18" s="499">
        <f>'9.6.1. sz. mell Kornisné Kp. '!C18+'9.6.2. sz. mell Kornisné Kp.'!C18+'9.6.3. sz. mell Kornisné Kp '!C20</f>
        <v>0</v>
      </c>
      <c r="F18" s="499">
        <f t="shared" si="0"/>
        <v>0</v>
      </c>
    </row>
    <row r="19" spans="1:6" s="168" customFormat="1" ht="12" customHeight="1" thickBot="1" x14ac:dyDescent="0.25">
      <c r="A19" s="71" t="s">
        <v>17</v>
      </c>
      <c r="B19" s="86" t="s">
        <v>335</v>
      </c>
      <c r="C19" s="856">
        <f>SUM(C20:C22)</f>
        <v>115146660</v>
      </c>
      <c r="E19" s="499">
        <f>'9.6.1. sz. mell Kornisné Kp. '!C19+'9.6.2. sz. mell Kornisné Kp.'!C19+'9.6.3. sz. mell Kornisné Kp '!C21</f>
        <v>115146660</v>
      </c>
      <c r="F19" s="499">
        <f t="shared" si="0"/>
        <v>0</v>
      </c>
    </row>
    <row r="20" spans="1:6" s="220" customFormat="1" ht="12" customHeight="1" x14ac:dyDescent="0.2">
      <c r="A20" s="212" t="s">
        <v>92</v>
      </c>
      <c r="B20" s="6" t="s">
        <v>187</v>
      </c>
      <c r="C20" s="571"/>
      <c r="E20" s="499">
        <f>'9.6.1. sz. mell Kornisné Kp. '!C20+'9.6.2. sz. mell Kornisné Kp.'!C20+'9.6.3. sz. mell Kornisné Kp '!C22</f>
        <v>0</v>
      </c>
      <c r="F20" s="499">
        <f t="shared" si="0"/>
        <v>0</v>
      </c>
    </row>
    <row r="21" spans="1:6" s="220" customFormat="1" ht="12" customHeight="1" x14ac:dyDescent="0.2">
      <c r="A21" s="212" t="s">
        <v>93</v>
      </c>
      <c r="B21" s="5" t="s">
        <v>336</v>
      </c>
      <c r="C21" s="571"/>
      <c r="E21" s="499">
        <f>'9.6.1. sz. mell Kornisné Kp. '!C21+'9.6.2. sz. mell Kornisné Kp.'!C21+'9.6.3. sz. mell Kornisné Kp '!C23</f>
        <v>0</v>
      </c>
      <c r="F21" s="499">
        <f t="shared" si="0"/>
        <v>0</v>
      </c>
    </row>
    <row r="22" spans="1:6" s="220" customFormat="1" ht="12" customHeight="1" x14ac:dyDescent="0.2">
      <c r="A22" s="212" t="s">
        <v>94</v>
      </c>
      <c r="B22" s="5" t="s">
        <v>337</v>
      </c>
      <c r="C22" s="571">
        <f>90180220+24966440</f>
        <v>115146660</v>
      </c>
      <c r="E22" s="499">
        <f>'9.6.1. sz. mell Kornisné Kp. '!C22+'9.6.2. sz. mell Kornisné Kp.'!C22+'9.6.3. sz. mell Kornisné Kp '!C24</f>
        <v>115146660</v>
      </c>
      <c r="F22" s="499">
        <f t="shared" si="0"/>
        <v>0</v>
      </c>
    </row>
    <row r="23" spans="1:6" s="220" customFormat="1" ht="12" customHeight="1" thickBot="1" x14ac:dyDescent="0.25">
      <c r="A23" s="212" t="s">
        <v>95</v>
      </c>
      <c r="B23" s="5" t="s">
        <v>468</v>
      </c>
      <c r="C23" s="571">
        <v>73588685</v>
      </c>
      <c r="E23" s="499">
        <f>'9.6.1. sz. mell Kornisné Kp. '!C23+'9.6.2. sz. mell Kornisné Kp.'!C23+'9.6.3. sz. mell Kornisné Kp '!C25</f>
        <v>73588685</v>
      </c>
      <c r="F23" s="499">
        <f t="shared" si="0"/>
        <v>0</v>
      </c>
    </row>
    <row r="24" spans="1:6" s="220" customFormat="1" ht="12" customHeight="1" thickBot="1" x14ac:dyDescent="0.25">
      <c r="A24" s="74" t="s">
        <v>18</v>
      </c>
      <c r="B24" s="54" t="s">
        <v>126</v>
      </c>
      <c r="C24" s="576"/>
      <c r="E24" s="499">
        <f>'9.6.1. sz. mell Kornisné Kp. '!C24+'9.6.2. sz. mell Kornisné Kp.'!C24+'9.6.3. sz. mell Kornisné Kp '!C26</f>
        <v>0</v>
      </c>
      <c r="F24" s="499">
        <f t="shared" si="0"/>
        <v>0</v>
      </c>
    </row>
    <row r="25" spans="1:6" s="220" customFormat="1" ht="12" customHeight="1" thickBot="1" x14ac:dyDescent="0.25">
      <c r="A25" s="74" t="s">
        <v>19</v>
      </c>
      <c r="B25" s="54" t="s">
        <v>469</v>
      </c>
      <c r="C25" s="569">
        <f>+C26+C27+C28</f>
        <v>19140587</v>
      </c>
      <c r="E25" s="499">
        <f>'9.6.1. sz. mell Kornisné Kp. '!C25+'9.6.2. sz. mell Kornisné Kp.'!C25+'9.6.3. sz. mell Kornisné Kp '!C27</f>
        <v>19140587</v>
      </c>
      <c r="F25" s="499">
        <f t="shared" si="0"/>
        <v>0</v>
      </c>
    </row>
    <row r="26" spans="1:6" s="220" customFormat="1" ht="12" customHeight="1" x14ac:dyDescent="0.2">
      <c r="A26" s="213" t="s">
        <v>197</v>
      </c>
      <c r="B26" s="214" t="s">
        <v>192</v>
      </c>
      <c r="C26" s="577"/>
      <c r="E26" s="499">
        <f>'9.6.1. sz. mell Kornisné Kp. '!C26+'9.6.2. sz. mell Kornisné Kp.'!C26+'9.6.3. sz. mell Kornisné Kp '!C28</f>
        <v>0</v>
      </c>
      <c r="F26" s="499">
        <f t="shared" si="0"/>
        <v>0</v>
      </c>
    </row>
    <row r="27" spans="1:6" s="220" customFormat="1" ht="12" customHeight="1" x14ac:dyDescent="0.2">
      <c r="A27" s="213" t="s">
        <v>200</v>
      </c>
      <c r="B27" s="214" t="s">
        <v>336</v>
      </c>
      <c r="C27" s="574"/>
      <c r="E27" s="499">
        <f>'9.6.1. sz. mell Kornisné Kp. '!C27+'9.6.2. sz. mell Kornisné Kp.'!C27+'9.6.3. sz. mell Kornisné Kp '!C29</f>
        <v>0</v>
      </c>
      <c r="F27" s="499">
        <f t="shared" si="0"/>
        <v>0</v>
      </c>
    </row>
    <row r="28" spans="1:6" s="220" customFormat="1" ht="12" customHeight="1" x14ac:dyDescent="0.2">
      <c r="A28" s="213" t="s">
        <v>201</v>
      </c>
      <c r="B28" s="215" t="s">
        <v>338</v>
      </c>
      <c r="C28" s="571">
        <f>10078381+9062206</f>
        <v>19140587</v>
      </c>
      <c r="E28" s="499">
        <f>'9.6.1. sz. mell Kornisné Kp. '!C28+'9.6.2. sz. mell Kornisné Kp.'!C28+'9.6.3. sz. mell Kornisné Kp '!C30</f>
        <v>19140587</v>
      </c>
      <c r="F28" s="499">
        <f t="shared" si="0"/>
        <v>0</v>
      </c>
    </row>
    <row r="29" spans="1:6" s="220" customFormat="1" ht="12" customHeight="1" thickBot="1" x14ac:dyDescent="0.25">
      <c r="A29" s="212" t="s">
        <v>202</v>
      </c>
      <c r="B29" s="57" t="s">
        <v>470</v>
      </c>
      <c r="C29" s="578">
        <v>1193800</v>
      </c>
      <c r="E29" s="499">
        <f>'9.6.1. sz. mell Kornisné Kp. '!C29+'9.6.2. sz. mell Kornisné Kp.'!C29+'9.6.3. sz. mell Kornisné Kp '!C31</f>
        <v>1193800</v>
      </c>
      <c r="F29" s="499">
        <f t="shared" si="0"/>
        <v>0</v>
      </c>
    </row>
    <row r="30" spans="1:6" s="220" customFormat="1" ht="12" customHeight="1" thickBot="1" x14ac:dyDescent="0.25">
      <c r="A30" s="74" t="s">
        <v>20</v>
      </c>
      <c r="B30" s="54" t="s">
        <v>339</v>
      </c>
      <c r="C30" s="569">
        <f>+C31+C32+C33</f>
        <v>0</v>
      </c>
      <c r="E30" s="499">
        <f>'9.6.1. sz. mell Kornisné Kp. '!C30+'9.6.2. sz. mell Kornisné Kp.'!C30+'9.6.3. sz. mell Kornisné Kp '!C32</f>
        <v>0</v>
      </c>
      <c r="F30" s="499">
        <f t="shared" si="0"/>
        <v>0</v>
      </c>
    </row>
    <row r="31" spans="1:6" s="220" customFormat="1" ht="12" customHeight="1" x14ac:dyDescent="0.2">
      <c r="A31" s="213" t="s">
        <v>79</v>
      </c>
      <c r="B31" s="214" t="s">
        <v>223</v>
      </c>
      <c r="C31" s="577"/>
      <c r="E31" s="499">
        <f>'9.6.1. sz. mell Kornisné Kp. '!C31+'9.6.2. sz. mell Kornisné Kp.'!C31+'9.6.3. sz. mell Kornisné Kp '!C33</f>
        <v>0</v>
      </c>
      <c r="F31" s="499">
        <f t="shared" si="0"/>
        <v>0</v>
      </c>
    </row>
    <row r="32" spans="1:6" s="220" customFormat="1" ht="12" customHeight="1" x14ac:dyDescent="0.2">
      <c r="A32" s="213" t="s">
        <v>80</v>
      </c>
      <c r="B32" s="215" t="s">
        <v>224</v>
      </c>
      <c r="C32" s="572"/>
      <c r="E32" s="499">
        <f>'9.6.1. sz. mell Kornisné Kp. '!C32+'9.6.2. sz. mell Kornisné Kp.'!C32+'9.6.3. sz. mell Kornisné Kp '!C34</f>
        <v>0</v>
      </c>
      <c r="F32" s="499">
        <f t="shared" si="0"/>
        <v>0</v>
      </c>
    </row>
    <row r="33" spans="1:6" s="168" customFormat="1" ht="12" customHeight="1" thickBot="1" x14ac:dyDescent="0.25">
      <c r="A33" s="212" t="s">
        <v>81</v>
      </c>
      <c r="B33" s="57" t="s">
        <v>225</v>
      </c>
      <c r="C33" s="578"/>
      <c r="E33" s="499">
        <f>'9.6.1. sz. mell Kornisné Kp. '!C33+'9.6.2. sz. mell Kornisné Kp.'!C33+'9.6.3. sz. mell Kornisné Kp '!C35</f>
        <v>0</v>
      </c>
      <c r="F33" s="499">
        <f t="shared" si="0"/>
        <v>0</v>
      </c>
    </row>
    <row r="34" spans="1:6" s="168" customFormat="1" ht="12" customHeight="1" thickBot="1" x14ac:dyDescent="0.25">
      <c r="A34" s="74" t="s">
        <v>21</v>
      </c>
      <c r="B34" s="54" t="s">
        <v>311</v>
      </c>
      <c r="C34" s="1407">
        <v>133028</v>
      </c>
      <c r="E34" s="499">
        <f>'9.6.1. sz. mell Kornisné Kp. '!C34+'9.6.2. sz. mell Kornisné Kp.'!C34+'9.6.3. sz. mell Kornisné Kp '!C36</f>
        <v>133028</v>
      </c>
      <c r="F34" s="499">
        <f t="shared" si="0"/>
        <v>0</v>
      </c>
    </row>
    <row r="35" spans="1:6" s="168" customFormat="1" ht="12" customHeight="1" thickBot="1" x14ac:dyDescent="0.25">
      <c r="A35" s="74" t="s">
        <v>22</v>
      </c>
      <c r="B35" s="54" t="s">
        <v>340</v>
      </c>
      <c r="C35" s="954"/>
      <c r="E35" s="499">
        <f>'9.6.1. sz. mell Kornisné Kp. '!C35+'9.6.2. sz. mell Kornisné Kp.'!C35+'9.6.3. sz. mell Kornisné Kp '!C37</f>
        <v>0</v>
      </c>
      <c r="F35" s="499">
        <f t="shared" si="0"/>
        <v>0</v>
      </c>
    </row>
    <row r="36" spans="1:6" s="168" customFormat="1" ht="12" customHeight="1" thickBot="1" x14ac:dyDescent="0.25">
      <c r="A36" s="71" t="s">
        <v>23</v>
      </c>
      <c r="B36" s="54" t="s">
        <v>341</v>
      </c>
      <c r="C36" s="580">
        <f>+C7+C19+C24+C25+C30+C34+C35</f>
        <v>334647760</v>
      </c>
      <c r="E36" s="499">
        <f>'9.6.1. sz. mell Kornisné Kp. '!C36+'9.6.2. sz. mell Kornisné Kp.'!C36+'9.6.3. sz. mell Kornisné Kp '!C38</f>
        <v>334647760</v>
      </c>
      <c r="F36" s="499">
        <f t="shared" si="0"/>
        <v>0</v>
      </c>
    </row>
    <row r="37" spans="1:6" s="168" customFormat="1" ht="12" customHeight="1" thickBot="1" x14ac:dyDescent="0.25">
      <c r="A37" s="962" t="s">
        <v>24</v>
      </c>
      <c r="B37" s="54" t="s">
        <v>342</v>
      </c>
      <c r="C37" s="580">
        <f>SUM(C38:C40)</f>
        <v>668719755</v>
      </c>
      <c r="E37" s="499">
        <f>'9.6.1. sz. mell Kornisné Kp. '!C37+'9.6.2. sz. mell Kornisné Kp.'!C37+'9.6.3. sz. mell Kornisné Kp '!C39</f>
        <v>668719755</v>
      </c>
      <c r="F37" s="499">
        <f t="shared" si="0"/>
        <v>0</v>
      </c>
    </row>
    <row r="38" spans="1:6" s="168" customFormat="1" ht="12" customHeight="1" x14ac:dyDescent="0.2">
      <c r="A38" s="213" t="s">
        <v>343</v>
      </c>
      <c r="B38" s="214" t="s">
        <v>168</v>
      </c>
      <c r="C38" s="577">
        <v>6030423</v>
      </c>
      <c r="E38" s="499">
        <f>'9.6.1. sz. mell Kornisné Kp. '!C38+'9.6.2. sz. mell Kornisné Kp.'!C38+'9.6.3. sz. mell Kornisné Kp '!C40</f>
        <v>5873512</v>
      </c>
      <c r="F38" s="499">
        <f t="shared" si="0"/>
        <v>156911</v>
      </c>
    </row>
    <row r="39" spans="1:6" s="220" customFormat="1" ht="12" customHeight="1" x14ac:dyDescent="0.2">
      <c r="A39" s="213" t="s">
        <v>344</v>
      </c>
      <c r="B39" s="215" t="s">
        <v>6</v>
      </c>
      <c r="C39" s="572"/>
      <c r="E39" s="499">
        <f>'9.6.1. sz. mell Kornisné Kp. '!C39+'9.6.2. sz. mell Kornisné Kp.'!C39+'9.6.3. sz. mell Kornisné Kp '!C41</f>
        <v>156911</v>
      </c>
      <c r="F39" s="499">
        <f t="shared" si="0"/>
        <v>-156911</v>
      </c>
    </row>
    <row r="40" spans="1:6" s="220" customFormat="1" ht="15" customHeight="1" thickBot="1" x14ac:dyDescent="0.25">
      <c r="A40" s="212" t="s">
        <v>345</v>
      </c>
      <c r="B40" s="57" t="s">
        <v>346</v>
      </c>
      <c r="C40" s="1174">
        <f>651585517-13290141+2791000+10697320+8205636+160000+2540000</f>
        <v>662689332</v>
      </c>
      <c r="E40" s="499">
        <f>'9.6.1. sz. mell Kornisné Kp. '!C40+'9.6.2. sz. mell Kornisné Kp.'!C40+'9.6.3. sz. mell Kornisné Kp '!C42</f>
        <v>662689332</v>
      </c>
      <c r="F40" s="499">
        <f t="shared" si="0"/>
        <v>0</v>
      </c>
    </row>
    <row r="41" spans="1:6" s="220" customFormat="1" ht="15" customHeight="1" thickBot="1" x14ac:dyDescent="0.25">
      <c r="A41" s="962" t="s">
        <v>25</v>
      </c>
      <c r="B41" s="963" t="s">
        <v>347</v>
      </c>
      <c r="C41" s="580">
        <f>+C36+C37</f>
        <v>1003367515</v>
      </c>
      <c r="E41" s="499">
        <f>'9.6.1. sz. mell Kornisné Kp. '!C41+'9.6.2. sz. mell Kornisné Kp.'!C41+'9.6.3. sz. mell Kornisné Kp '!C43</f>
        <v>1003367515</v>
      </c>
      <c r="F41" s="499">
        <f t="shared" si="0"/>
        <v>0</v>
      </c>
    </row>
    <row r="42" spans="1:6" s="221" customFormat="1" ht="12" customHeight="1" thickBot="1" x14ac:dyDescent="0.25">
      <c r="A42" s="93"/>
      <c r="B42" s="94" t="s">
        <v>53</v>
      </c>
      <c r="C42" s="581"/>
      <c r="E42" s="499">
        <f>'9.6.1. sz. mell Kornisné Kp. '!C42+'9.6.2. sz. mell Kornisné Kp.'!C42+'9.6.3. sz. mell Kornisné Kp '!C46</f>
        <v>0</v>
      </c>
      <c r="F42" s="499">
        <f t="shared" si="0"/>
        <v>0</v>
      </c>
    </row>
    <row r="43" spans="1:6" ht="12" customHeight="1" thickBot="1" x14ac:dyDescent="0.25">
      <c r="A43" s="74" t="s">
        <v>16</v>
      </c>
      <c r="B43" s="54" t="s">
        <v>348</v>
      </c>
      <c r="C43" s="569">
        <f>SUM(C44:C48)</f>
        <v>980824778</v>
      </c>
      <c r="E43" s="499">
        <f>'9.6.1. sz. mell Kornisné Kp. '!C43+'9.6.2. sz. mell Kornisné Kp.'!C43+'9.6.3. sz. mell Kornisné Kp '!C47</f>
        <v>980824778</v>
      </c>
      <c r="F43" s="499">
        <f t="shared" si="0"/>
        <v>0</v>
      </c>
    </row>
    <row r="44" spans="1:6" ht="12" customHeight="1" x14ac:dyDescent="0.2">
      <c r="A44" s="212" t="s">
        <v>86</v>
      </c>
      <c r="B44" s="6" t="s">
        <v>46</v>
      </c>
      <c r="C44" s="858">
        <f>615034869-10221506+1817900+16966440+9270677+1533000+3049440</f>
        <v>637450820</v>
      </c>
      <c r="E44" s="499">
        <f>'9.6.1. sz. mell Kornisné Kp. '!C44+'9.6.2. sz. mell Kornisné Kp.'!C44+'9.6.3. sz. mell Kornisné Kp '!C48</f>
        <v>637450820</v>
      </c>
      <c r="F44" s="499">
        <f t="shared" si="0"/>
        <v>0</v>
      </c>
    </row>
    <row r="45" spans="1:6" ht="12" customHeight="1" x14ac:dyDescent="0.2">
      <c r="A45" s="212" t="s">
        <v>87</v>
      </c>
      <c r="B45" s="5" t="s">
        <v>135</v>
      </c>
      <c r="C45" s="854">
        <f>105575946-1567191+281775+1426643+237615+820163</f>
        <v>106774951</v>
      </c>
      <c r="E45" s="499">
        <f>'9.6.1. sz. mell Kornisné Kp. '!C45+'9.6.2. sz. mell Kornisné Kp.'!C45+'9.6.3. sz. mell Kornisné Kp '!C49</f>
        <v>106774951</v>
      </c>
      <c r="F45" s="499">
        <f t="shared" si="0"/>
        <v>0</v>
      </c>
    </row>
    <row r="46" spans="1:6" ht="12" customHeight="1" x14ac:dyDescent="0.2">
      <c r="A46" s="212" t="s">
        <v>88</v>
      </c>
      <c r="B46" s="5" t="s">
        <v>111</v>
      </c>
      <c r="C46" s="859">
        <f>221374740-1501444+886325+8000000+6435021+2440940-3869603+160000+2540000+133028</f>
        <v>236599007</v>
      </c>
      <c r="E46" s="499">
        <f>'9.6.1. sz. mell Kornisné Kp. '!C46+'9.6.2. sz. mell Kornisné Kp.'!C46+'9.6.3. sz. mell Kornisné Kp '!C50</f>
        <v>236599007</v>
      </c>
      <c r="F46" s="499">
        <f t="shared" si="0"/>
        <v>0</v>
      </c>
    </row>
    <row r="47" spans="1:6" ht="12" customHeight="1" x14ac:dyDescent="0.2">
      <c r="A47" s="212" t="s">
        <v>89</v>
      </c>
      <c r="B47" s="5" t="s">
        <v>136</v>
      </c>
      <c r="C47" s="571"/>
      <c r="E47" s="499">
        <f>'9.6.1. sz. mell Kornisné Kp. '!C47+'9.6.2. sz. mell Kornisné Kp.'!C47+'9.6.3. sz. mell Kornisné Kp '!C51</f>
        <v>0</v>
      </c>
      <c r="F47" s="499">
        <f t="shared" si="0"/>
        <v>0</v>
      </c>
    </row>
    <row r="48" spans="1:6" ht="12" customHeight="1" thickBot="1" x14ac:dyDescent="0.25">
      <c r="A48" s="212" t="s">
        <v>112</v>
      </c>
      <c r="B48" s="5" t="s">
        <v>137</v>
      </c>
      <c r="C48" s="571"/>
      <c r="E48" s="499">
        <f>'9.6.1. sz. mell Kornisné Kp. '!C48+'9.6.2. sz. mell Kornisné Kp.'!C48+'9.6.3. sz. mell Kornisné Kp '!C52</f>
        <v>0</v>
      </c>
      <c r="F48" s="499">
        <f t="shared" si="0"/>
        <v>0</v>
      </c>
    </row>
    <row r="49" spans="1:6" s="221" customFormat="1" ht="12" customHeight="1" thickBot="1" x14ac:dyDescent="0.25">
      <c r="A49" s="74" t="s">
        <v>17</v>
      </c>
      <c r="B49" s="54" t="s">
        <v>349</v>
      </c>
      <c r="C49" s="569">
        <f>SUM(C50:C52)</f>
        <v>22542737</v>
      </c>
      <c r="E49" s="499">
        <f>'9.6.1. sz. mell Kornisné Kp. '!C49+'9.6.2. sz. mell Kornisné Kp.'!C49+'9.6.3. sz. mell Kornisné Kp '!C53</f>
        <v>22542737</v>
      </c>
      <c r="F49" s="499">
        <f t="shared" si="0"/>
        <v>0</v>
      </c>
    </row>
    <row r="50" spans="1:6" ht="12" customHeight="1" x14ac:dyDescent="0.2">
      <c r="A50" s="212" t="s">
        <v>92</v>
      </c>
      <c r="B50" s="6" t="s">
        <v>159</v>
      </c>
      <c r="C50" s="858">
        <f>14882031-195000+9062206-1206500</f>
        <v>22542737</v>
      </c>
      <c r="E50" s="499">
        <f>'9.6.1. sz. mell Kornisné Kp. '!C50+'9.6.2. sz. mell Kornisné Kp.'!C50+'9.6.3. sz. mell Kornisné Kp '!C54</f>
        <v>22542737</v>
      </c>
      <c r="F50" s="499">
        <f t="shared" si="0"/>
        <v>0</v>
      </c>
    </row>
    <row r="51" spans="1:6" ht="12" customHeight="1" x14ac:dyDescent="0.2">
      <c r="A51" s="212" t="s">
        <v>93</v>
      </c>
      <c r="B51" s="5" t="s">
        <v>139</v>
      </c>
      <c r="C51" s="571"/>
      <c r="E51" s="499">
        <f>'9.6.1. sz. mell Kornisné Kp. '!C51+'9.6.2. sz. mell Kornisné Kp.'!C51+'9.6.3. sz. mell Kornisné Kp '!C55</f>
        <v>0</v>
      </c>
      <c r="F51" s="499">
        <f t="shared" si="0"/>
        <v>0</v>
      </c>
    </row>
    <row r="52" spans="1:6" ht="12" customHeight="1" x14ac:dyDescent="0.2">
      <c r="A52" s="212" t="s">
        <v>94</v>
      </c>
      <c r="B52" s="5" t="s">
        <v>54</v>
      </c>
      <c r="C52" s="571"/>
      <c r="E52" s="499">
        <f>'9.6.1. sz. mell Kornisné Kp. '!C52+'9.6.2. sz. mell Kornisné Kp.'!C52+'9.6.3. sz. mell Kornisné Kp '!C56</f>
        <v>0</v>
      </c>
      <c r="F52" s="499">
        <f t="shared" si="0"/>
        <v>0</v>
      </c>
    </row>
    <row r="53" spans="1:6" ht="15" customHeight="1" thickBot="1" x14ac:dyDescent="0.25">
      <c r="A53" s="212" t="s">
        <v>95</v>
      </c>
      <c r="B53" s="5" t="s">
        <v>471</v>
      </c>
      <c r="C53" s="571"/>
      <c r="E53" s="499">
        <f>'9.6.1. sz. mell Kornisné Kp. '!C53+'9.6.2. sz. mell Kornisné Kp.'!C53+'9.6.3. sz. mell Kornisné Kp '!C57</f>
        <v>0</v>
      </c>
      <c r="F53" s="499">
        <f t="shared" si="0"/>
        <v>0</v>
      </c>
    </row>
    <row r="54" spans="1:6" ht="13.5" thickBot="1" x14ac:dyDescent="0.25">
      <c r="A54" s="74" t="s">
        <v>18</v>
      </c>
      <c r="B54" s="54" t="s">
        <v>12</v>
      </c>
      <c r="C54" s="576"/>
      <c r="E54" s="499">
        <f>'9.6.1. sz. mell Kornisné Kp. '!C54+'9.6.2. sz. mell Kornisné Kp.'!C54+'9.6.3. sz. mell Kornisné Kp '!C58</f>
        <v>0</v>
      </c>
      <c r="F54" s="499">
        <f t="shared" si="0"/>
        <v>0</v>
      </c>
    </row>
    <row r="55" spans="1:6" ht="15" customHeight="1" thickBot="1" x14ac:dyDescent="0.25">
      <c r="A55" s="74" t="s">
        <v>19</v>
      </c>
      <c r="B55" s="95" t="s">
        <v>472</v>
      </c>
      <c r="C55" s="584">
        <f>+C43+C49+C54</f>
        <v>1003367515</v>
      </c>
      <c r="E55" s="499">
        <f>'9.6.1. sz. mell Kornisné Kp. '!C55+'9.6.2. sz. mell Kornisné Kp.'!C55+'9.6.3. sz. mell Kornisné Kp '!C59</f>
        <v>1003367515</v>
      </c>
      <c r="F55" s="499">
        <f t="shared" si="0"/>
        <v>0</v>
      </c>
    </row>
    <row r="56" spans="1:6" ht="13.5" thickBot="1" x14ac:dyDescent="0.25">
      <c r="A56" s="1477" t="s">
        <v>465</v>
      </c>
      <c r="B56" s="1478"/>
      <c r="C56" s="1192">
        <f>151-3.33+3</f>
        <v>150.66999999999999</v>
      </c>
      <c r="E56" s="499">
        <f>'9.6.1. sz. mell Kornisné Kp. '!C56+'9.6.2. sz. mell Kornisné Kp.'!C56+'9.6.3. sz. mell Kornisné Kp '!C61</f>
        <v>150.67000000000002</v>
      </c>
      <c r="F56" s="499">
        <f t="shared" si="0"/>
        <v>0</v>
      </c>
    </row>
    <row r="57" spans="1:6" s="333" customFormat="1" ht="13.9" customHeight="1" thickBot="1" x14ac:dyDescent="0.25">
      <c r="A57" s="1491" t="s">
        <v>693</v>
      </c>
      <c r="B57" s="1492"/>
      <c r="C57" s="594">
        <v>2</v>
      </c>
      <c r="E57" s="499"/>
      <c r="F57" s="499"/>
    </row>
    <row r="58" spans="1:6" s="333" customFormat="1" ht="19.899999999999999" customHeight="1" thickBot="1" x14ac:dyDescent="0.25">
      <c r="A58" s="1487" t="s">
        <v>522</v>
      </c>
      <c r="B58" s="1488"/>
      <c r="C58" s="965">
        <v>0</v>
      </c>
      <c r="E58" s="499" t="e">
        <f>'9.6.1. sz. mell Kornisné Kp. '!C58+'9.6.2. sz. mell Kornisné Kp.'!#REF!+'9.6.3. sz. mell Kornisné Kp '!C63</f>
        <v>#REF!</v>
      </c>
      <c r="F58" s="499" t="e">
        <f t="shared" si="0"/>
        <v>#REF!</v>
      </c>
    </row>
    <row r="59" spans="1:6" ht="13.5" thickBot="1" x14ac:dyDescent="0.25">
      <c r="A59" s="1489" t="s">
        <v>953</v>
      </c>
      <c r="B59" s="1490"/>
      <c r="C59" s="965">
        <v>50</v>
      </c>
    </row>
  </sheetData>
  <sheetProtection formatCells="0"/>
  <mergeCells count="6">
    <mergeCell ref="A1:C1"/>
    <mergeCell ref="A58:B58"/>
    <mergeCell ref="A59:B59"/>
    <mergeCell ref="A56:B56"/>
    <mergeCell ref="A57:B57"/>
    <mergeCell ref="A3:C3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38"/>
  <dimension ref="A1:C56"/>
  <sheetViews>
    <sheetView topLeftCell="A31" zoomScale="112" zoomScaleNormal="112" workbookViewId="0">
      <selection activeCell="J40" sqref="J40"/>
    </sheetView>
  </sheetViews>
  <sheetFormatPr defaultRowHeight="12.75" x14ac:dyDescent="0.2"/>
  <cols>
    <col min="1" max="1" width="13.83203125" style="96" customWidth="1"/>
    <col min="2" max="2" width="79.1640625" style="774" customWidth="1"/>
    <col min="3" max="3" width="25" style="333" customWidth="1"/>
    <col min="4" max="256" width="9.33203125" style="774"/>
    <col min="257" max="257" width="13.83203125" style="774" customWidth="1"/>
    <col min="258" max="258" width="79.1640625" style="774" customWidth="1"/>
    <col min="259" max="259" width="25" style="774" customWidth="1"/>
    <col min="260" max="512" width="9.33203125" style="774"/>
    <col min="513" max="513" width="13.83203125" style="774" customWidth="1"/>
    <col min="514" max="514" width="79.1640625" style="774" customWidth="1"/>
    <col min="515" max="515" width="25" style="774" customWidth="1"/>
    <col min="516" max="768" width="9.33203125" style="774"/>
    <col min="769" max="769" width="13.83203125" style="774" customWidth="1"/>
    <col min="770" max="770" width="79.1640625" style="774" customWidth="1"/>
    <col min="771" max="771" width="25" style="774" customWidth="1"/>
    <col min="772" max="1024" width="9.33203125" style="774"/>
    <col min="1025" max="1025" width="13.83203125" style="774" customWidth="1"/>
    <col min="1026" max="1026" width="79.1640625" style="774" customWidth="1"/>
    <col min="1027" max="1027" width="25" style="774" customWidth="1"/>
    <col min="1028" max="1280" width="9.33203125" style="774"/>
    <col min="1281" max="1281" width="13.83203125" style="774" customWidth="1"/>
    <col min="1282" max="1282" width="79.1640625" style="774" customWidth="1"/>
    <col min="1283" max="1283" width="25" style="774" customWidth="1"/>
    <col min="1284" max="1536" width="9.33203125" style="774"/>
    <col min="1537" max="1537" width="13.83203125" style="774" customWidth="1"/>
    <col min="1538" max="1538" width="79.1640625" style="774" customWidth="1"/>
    <col min="1539" max="1539" width="25" style="774" customWidth="1"/>
    <col min="1540" max="1792" width="9.33203125" style="774"/>
    <col min="1793" max="1793" width="13.83203125" style="774" customWidth="1"/>
    <col min="1794" max="1794" width="79.1640625" style="774" customWidth="1"/>
    <col min="1795" max="1795" width="25" style="774" customWidth="1"/>
    <col min="1796" max="2048" width="9.33203125" style="774"/>
    <col min="2049" max="2049" width="13.83203125" style="774" customWidth="1"/>
    <col min="2050" max="2050" width="79.1640625" style="774" customWidth="1"/>
    <col min="2051" max="2051" width="25" style="774" customWidth="1"/>
    <col min="2052" max="2304" width="9.33203125" style="774"/>
    <col min="2305" max="2305" width="13.83203125" style="774" customWidth="1"/>
    <col min="2306" max="2306" width="79.1640625" style="774" customWidth="1"/>
    <col min="2307" max="2307" width="25" style="774" customWidth="1"/>
    <col min="2308" max="2560" width="9.33203125" style="774"/>
    <col min="2561" max="2561" width="13.83203125" style="774" customWidth="1"/>
    <col min="2562" max="2562" width="79.1640625" style="774" customWidth="1"/>
    <col min="2563" max="2563" width="25" style="774" customWidth="1"/>
    <col min="2564" max="2816" width="9.33203125" style="774"/>
    <col min="2817" max="2817" width="13.83203125" style="774" customWidth="1"/>
    <col min="2818" max="2818" width="79.1640625" style="774" customWidth="1"/>
    <col min="2819" max="2819" width="25" style="774" customWidth="1"/>
    <col min="2820" max="3072" width="9.33203125" style="774"/>
    <col min="3073" max="3073" width="13.83203125" style="774" customWidth="1"/>
    <col min="3074" max="3074" width="79.1640625" style="774" customWidth="1"/>
    <col min="3075" max="3075" width="25" style="774" customWidth="1"/>
    <col min="3076" max="3328" width="9.33203125" style="774"/>
    <col min="3329" max="3329" width="13.83203125" style="774" customWidth="1"/>
    <col min="3330" max="3330" width="79.1640625" style="774" customWidth="1"/>
    <col min="3331" max="3331" width="25" style="774" customWidth="1"/>
    <col min="3332" max="3584" width="9.33203125" style="774"/>
    <col min="3585" max="3585" width="13.83203125" style="774" customWidth="1"/>
    <col min="3586" max="3586" width="79.1640625" style="774" customWidth="1"/>
    <col min="3587" max="3587" width="25" style="774" customWidth="1"/>
    <col min="3588" max="3840" width="9.33203125" style="774"/>
    <col min="3841" max="3841" width="13.83203125" style="774" customWidth="1"/>
    <col min="3842" max="3842" width="79.1640625" style="774" customWidth="1"/>
    <col min="3843" max="3843" width="25" style="774" customWidth="1"/>
    <col min="3844" max="4096" width="9.33203125" style="774"/>
    <col min="4097" max="4097" width="13.83203125" style="774" customWidth="1"/>
    <col min="4098" max="4098" width="79.1640625" style="774" customWidth="1"/>
    <col min="4099" max="4099" width="25" style="774" customWidth="1"/>
    <col min="4100" max="4352" width="9.33203125" style="774"/>
    <col min="4353" max="4353" width="13.83203125" style="774" customWidth="1"/>
    <col min="4354" max="4354" width="79.1640625" style="774" customWidth="1"/>
    <col min="4355" max="4355" width="25" style="774" customWidth="1"/>
    <col min="4356" max="4608" width="9.33203125" style="774"/>
    <col min="4609" max="4609" width="13.83203125" style="774" customWidth="1"/>
    <col min="4610" max="4610" width="79.1640625" style="774" customWidth="1"/>
    <col min="4611" max="4611" width="25" style="774" customWidth="1"/>
    <col min="4612" max="4864" width="9.33203125" style="774"/>
    <col min="4865" max="4865" width="13.83203125" style="774" customWidth="1"/>
    <col min="4866" max="4866" width="79.1640625" style="774" customWidth="1"/>
    <col min="4867" max="4867" width="25" style="774" customWidth="1"/>
    <col min="4868" max="5120" width="9.33203125" style="774"/>
    <col min="5121" max="5121" width="13.83203125" style="774" customWidth="1"/>
    <col min="5122" max="5122" width="79.1640625" style="774" customWidth="1"/>
    <col min="5123" max="5123" width="25" style="774" customWidth="1"/>
    <col min="5124" max="5376" width="9.33203125" style="774"/>
    <col min="5377" max="5377" width="13.83203125" style="774" customWidth="1"/>
    <col min="5378" max="5378" width="79.1640625" style="774" customWidth="1"/>
    <col min="5379" max="5379" width="25" style="774" customWidth="1"/>
    <col min="5380" max="5632" width="9.33203125" style="774"/>
    <col min="5633" max="5633" width="13.83203125" style="774" customWidth="1"/>
    <col min="5634" max="5634" width="79.1640625" style="774" customWidth="1"/>
    <col min="5635" max="5635" width="25" style="774" customWidth="1"/>
    <col min="5636" max="5888" width="9.33203125" style="774"/>
    <col min="5889" max="5889" width="13.83203125" style="774" customWidth="1"/>
    <col min="5890" max="5890" width="79.1640625" style="774" customWidth="1"/>
    <col min="5891" max="5891" width="25" style="774" customWidth="1"/>
    <col min="5892" max="6144" width="9.33203125" style="774"/>
    <col min="6145" max="6145" width="13.83203125" style="774" customWidth="1"/>
    <col min="6146" max="6146" width="79.1640625" style="774" customWidth="1"/>
    <col min="6147" max="6147" width="25" style="774" customWidth="1"/>
    <col min="6148" max="6400" width="9.33203125" style="774"/>
    <col min="6401" max="6401" width="13.83203125" style="774" customWidth="1"/>
    <col min="6402" max="6402" width="79.1640625" style="774" customWidth="1"/>
    <col min="6403" max="6403" width="25" style="774" customWidth="1"/>
    <col min="6404" max="6656" width="9.33203125" style="774"/>
    <col min="6657" max="6657" width="13.83203125" style="774" customWidth="1"/>
    <col min="6658" max="6658" width="79.1640625" style="774" customWidth="1"/>
    <col min="6659" max="6659" width="25" style="774" customWidth="1"/>
    <col min="6660" max="6912" width="9.33203125" style="774"/>
    <col min="6913" max="6913" width="13.83203125" style="774" customWidth="1"/>
    <col min="6914" max="6914" width="79.1640625" style="774" customWidth="1"/>
    <col min="6915" max="6915" width="25" style="774" customWidth="1"/>
    <col min="6916" max="7168" width="9.33203125" style="774"/>
    <col min="7169" max="7169" width="13.83203125" style="774" customWidth="1"/>
    <col min="7170" max="7170" width="79.1640625" style="774" customWidth="1"/>
    <col min="7171" max="7171" width="25" style="774" customWidth="1"/>
    <col min="7172" max="7424" width="9.33203125" style="774"/>
    <col min="7425" max="7425" width="13.83203125" style="774" customWidth="1"/>
    <col min="7426" max="7426" width="79.1640625" style="774" customWidth="1"/>
    <col min="7427" max="7427" width="25" style="774" customWidth="1"/>
    <col min="7428" max="7680" width="9.33203125" style="774"/>
    <col min="7681" max="7681" width="13.83203125" style="774" customWidth="1"/>
    <col min="7682" max="7682" width="79.1640625" style="774" customWidth="1"/>
    <col min="7683" max="7683" width="25" style="774" customWidth="1"/>
    <col min="7684" max="7936" width="9.33203125" style="774"/>
    <col min="7937" max="7937" width="13.83203125" style="774" customWidth="1"/>
    <col min="7938" max="7938" width="79.1640625" style="774" customWidth="1"/>
    <col min="7939" max="7939" width="25" style="774" customWidth="1"/>
    <col min="7940" max="8192" width="9.33203125" style="774"/>
    <col min="8193" max="8193" width="13.83203125" style="774" customWidth="1"/>
    <col min="8194" max="8194" width="79.1640625" style="774" customWidth="1"/>
    <col min="8195" max="8195" width="25" style="774" customWidth="1"/>
    <col min="8196" max="8448" width="9.33203125" style="774"/>
    <col min="8449" max="8449" width="13.83203125" style="774" customWidth="1"/>
    <col min="8450" max="8450" width="79.1640625" style="774" customWidth="1"/>
    <col min="8451" max="8451" width="25" style="774" customWidth="1"/>
    <col min="8452" max="8704" width="9.33203125" style="774"/>
    <col min="8705" max="8705" width="13.83203125" style="774" customWidth="1"/>
    <col min="8706" max="8706" width="79.1640625" style="774" customWidth="1"/>
    <col min="8707" max="8707" width="25" style="774" customWidth="1"/>
    <col min="8708" max="8960" width="9.33203125" style="774"/>
    <col min="8961" max="8961" width="13.83203125" style="774" customWidth="1"/>
    <col min="8962" max="8962" width="79.1640625" style="774" customWidth="1"/>
    <col min="8963" max="8963" width="25" style="774" customWidth="1"/>
    <col min="8964" max="9216" width="9.33203125" style="774"/>
    <col min="9217" max="9217" width="13.83203125" style="774" customWidth="1"/>
    <col min="9218" max="9218" width="79.1640625" style="774" customWidth="1"/>
    <col min="9219" max="9219" width="25" style="774" customWidth="1"/>
    <col min="9220" max="9472" width="9.33203125" style="774"/>
    <col min="9473" max="9473" width="13.83203125" style="774" customWidth="1"/>
    <col min="9474" max="9474" width="79.1640625" style="774" customWidth="1"/>
    <col min="9475" max="9475" width="25" style="774" customWidth="1"/>
    <col min="9476" max="9728" width="9.33203125" style="774"/>
    <col min="9729" max="9729" width="13.83203125" style="774" customWidth="1"/>
    <col min="9730" max="9730" width="79.1640625" style="774" customWidth="1"/>
    <col min="9731" max="9731" width="25" style="774" customWidth="1"/>
    <col min="9732" max="9984" width="9.33203125" style="774"/>
    <col min="9985" max="9985" width="13.83203125" style="774" customWidth="1"/>
    <col min="9986" max="9986" width="79.1640625" style="774" customWidth="1"/>
    <col min="9987" max="9987" width="25" style="774" customWidth="1"/>
    <col min="9988" max="10240" width="9.33203125" style="774"/>
    <col min="10241" max="10241" width="13.83203125" style="774" customWidth="1"/>
    <col min="10242" max="10242" width="79.1640625" style="774" customWidth="1"/>
    <col min="10243" max="10243" width="25" style="774" customWidth="1"/>
    <col min="10244" max="10496" width="9.33203125" style="774"/>
    <col min="10497" max="10497" width="13.83203125" style="774" customWidth="1"/>
    <col min="10498" max="10498" width="79.1640625" style="774" customWidth="1"/>
    <col min="10499" max="10499" width="25" style="774" customWidth="1"/>
    <col min="10500" max="10752" width="9.33203125" style="774"/>
    <col min="10753" max="10753" width="13.83203125" style="774" customWidth="1"/>
    <col min="10754" max="10754" width="79.1640625" style="774" customWidth="1"/>
    <col min="10755" max="10755" width="25" style="774" customWidth="1"/>
    <col min="10756" max="11008" width="9.33203125" style="774"/>
    <col min="11009" max="11009" width="13.83203125" style="774" customWidth="1"/>
    <col min="11010" max="11010" width="79.1640625" style="774" customWidth="1"/>
    <col min="11011" max="11011" width="25" style="774" customWidth="1"/>
    <col min="11012" max="11264" width="9.33203125" style="774"/>
    <col min="11265" max="11265" width="13.83203125" style="774" customWidth="1"/>
    <col min="11266" max="11266" width="79.1640625" style="774" customWidth="1"/>
    <col min="11267" max="11267" width="25" style="774" customWidth="1"/>
    <col min="11268" max="11520" width="9.33203125" style="774"/>
    <col min="11521" max="11521" width="13.83203125" style="774" customWidth="1"/>
    <col min="11522" max="11522" width="79.1640625" style="774" customWidth="1"/>
    <col min="11523" max="11523" width="25" style="774" customWidth="1"/>
    <col min="11524" max="11776" width="9.33203125" style="774"/>
    <col min="11777" max="11777" width="13.83203125" style="774" customWidth="1"/>
    <col min="11778" max="11778" width="79.1640625" style="774" customWidth="1"/>
    <col min="11779" max="11779" width="25" style="774" customWidth="1"/>
    <col min="11780" max="12032" width="9.33203125" style="774"/>
    <col min="12033" max="12033" width="13.83203125" style="774" customWidth="1"/>
    <col min="12034" max="12034" width="79.1640625" style="774" customWidth="1"/>
    <col min="12035" max="12035" width="25" style="774" customWidth="1"/>
    <col min="12036" max="12288" width="9.33203125" style="774"/>
    <col min="12289" max="12289" width="13.83203125" style="774" customWidth="1"/>
    <col min="12290" max="12290" width="79.1640625" style="774" customWidth="1"/>
    <col min="12291" max="12291" width="25" style="774" customWidth="1"/>
    <col min="12292" max="12544" width="9.33203125" style="774"/>
    <col min="12545" max="12545" width="13.83203125" style="774" customWidth="1"/>
    <col min="12546" max="12546" width="79.1640625" style="774" customWidth="1"/>
    <col min="12547" max="12547" width="25" style="774" customWidth="1"/>
    <col min="12548" max="12800" width="9.33203125" style="774"/>
    <col min="12801" max="12801" width="13.83203125" style="774" customWidth="1"/>
    <col min="12802" max="12802" width="79.1640625" style="774" customWidth="1"/>
    <col min="12803" max="12803" width="25" style="774" customWidth="1"/>
    <col min="12804" max="13056" width="9.33203125" style="774"/>
    <col min="13057" max="13057" width="13.83203125" style="774" customWidth="1"/>
    <col min="13058" max="13058" width="79.1640625" style="774" customWidth="1"/>
    <col min="13059" max="13059" width="25" style="774" customWidth="1"/>
    <col min="13060" max="13312" width="9.33203125" style="774"/>
    <col min="13313" max="13313" width="13.83203125" style="774" customWidth="1"/>
    <col min="13314" max="13314" width="79.1640625" style="774" customWidth="1"/>
    <col min="13315" max="13315" width="25" style="774" customWidth="1"/>
    <col min="13316" max="13568" width="9.33203125" style="774"/>
    <col min="13569" max="13569" width="13.83203125" style="774" customWidth="1"/>
    <col min="13570" max="13570" width="79.1640625" style="774" customWidth="1"/>
    <col min="13571" max="13571" width="25" style="774" customWidth="1"/>
    <col min="13572" max="13824" width="9.33203125" style="774"/>
    <col min="13825" max="13825" width="13.83203125" style="774" customWidth="1"/>
    <col min="13826" max="13826" width="79.1640625" style="774" customWidth="1"/>
    <col min="13827" max="13827" width="25" style="774" customWidth="1"/>
    <col min="13828" max="14080" width="9.33203125" style="774"/>
    <col min="14081" max="14081" width="13.83203125" style="774" customWidth="1"/>
    <col min="14082" max="14082" width="79.1640625" style="774" customWidth="1"/>
    <col min="14083" max="14083" width="25" style="774" customWidth="1"/>
    <col min="14084" max="14336" width="9.33203125" style="774"/>
    <col min="14337" max="14337" width="13.83203125" style="774" customWidth="1"/>
    <col min="14338" max="14338" width="79.1640625" style="774" customWidth="1"/>
    <col min="14339" max="14339" width="25" style="774" customWidth="1"/>
    <col min="14340" max="14592" width="9.33203125" style="774"/>
    <col min="14593" max="14593" width="13.83203125" style="774" customWidth="1"/>
    <col min="14594" max="14594" width="79.1640625" style="774" customWidth="1"/>
    <col min="14595" max="14595" width="25" style="774" customWidth="1"/>
    <col min="14596" max="14848" width="9.33203125" style="774"/>
    <col min="14849" max="14849" width="13.83203125" style="774" customWidth="1"/>
    <col min="14850" max="14850" width="79.1640625" style="774" customWidth="1"/>
    <col min="14851" max="14851" width="25" style="774" customWidth="1"/>
    <col min="14852" max="15104" width="9.33203125" style="774"/>
    <col min="15105" max="15105" width="13.83203125" style="774" customWidth="1"/>
    <col min="15106" max="15106" width="79.1640625" style="774" customWidth="1"/>
    <col min="15107" max="15107" width="25" style="774" customWidth="1"/>
    <col min="15108" max="15360" width="9.33203125" style="774"/>
    <col min="15361" max="15361" width="13.83203125" style="774" customWidth="1"/>
    <col min="15362" max="15362" width="79.1640625" style="774" customWidth="1"/>
    <col min="15363" max="15363" width="25" style="774" customWidth="1"/>
    <col min="15364" max="15616" width="9.33203125" style="774"/>
    <col min="15617" max="15617" width="13.83203125" style="774" customWidth="1"/>
    <col min="15618" max="15618" width="79.1640625" style="774" customWidth="1"/>
    <col min="15619" max="15619" width="25" style="774" customWidth="1"/>
    <col min="15620" max="15872" width="9.33203125" style="774"/>
    <col min="15873" max="15873" width="13.83203125" style="774" customWidth="1"/>
    <col min="15874" max="15874" width="79.1640625" style="774" customWidth="1"/>
    <col min="15875" max="15875" width="25" style="774" customWidth="1"/>
    <col min="15876" max="16128" width="9.33203125" style="774"/>
    <col min="16129" max="16129" width="13.83203125" style="774" customWidth="1"/>
    <col min="16130" max="16130" width="79.1640625" style="774" customWidth="1"/>
    <col min="16131" max="16131" width="25" style="774" customWidth="1"/>
    <col min="16132" max="16384" width="9.33203125" style="774"/>
  </cols>
  <sheetData>
    <row r="1" spans="1:3" ht="12.75" customHeight="1" x14ac:dyDescent="0.2">
      <c r="A1" s="1482" t="str">
        <f>CONCATENATE("27. melléklet"," ",ALAPADATOK!A7," ",ALAPADATOK!B7," ",ALAPADATOK!C7," ",ALAPADATOK!D7," ",ALAPADATOK!E7," ",ALAPADATOK!F7," ",ALAPADATOK!G7," ",ALAPADATOK!H7)</f>
        <v>27. melléklet a 19 / 2021. ( XI.29. ) önkormányzati rendelethez</v>
      </c>
      <c r="B1" s="1482"/>
      <c r="C1" s="1482"/>
    </row>
    <row r="2" spans="1:3" s="77" customFormat="1" ht="21" customHeight="1" x14ac:dyDescent="0.2">
      <c r="A2" s="76"/>
      <c r="B2" s="78"/>
      <c r="C2" s="961"/>
    </row>
    <row r="3" spans="1:3" s="217" customFormat="1" ht="35.25" customHeight="1" thickBot="1" x14ac:dyDescent="0.25">
      <c r="A3" s="1442" t="s">
        <v>1044</v>
      </c>
      <c r="B3" s="1442"/>
      <c r="C3" s="1442"/>
    </row>
    <row r="4" spans="1:3" ht="13.5" thickBot="1" x14ac:dyDescent="0.25">
      <c r="A4" s="1310" t="s">
        <v>154</v>
      </c>
      <c r="B4" s="81" t="s">
        <v>50</v>
      </c>
      <c r="C4" s="330" t="s">
        <v>1033</v>
      </c>
    </row>
    <row r="5" spans="1:3" s="219" customFormat="1" ht="12.95" customHeight="1" thickBot="1" x14ac:dyDescent="0.25">
      <c r="A5" s="71" t="s">
        <v>391</v>
      </c>
      <c r="B5" s="72" t="s">
        <v>392</v>
      </c>
      <c r="C5" s="331" t="s">
        <v>393</v>
      </c>
    </row>
    <row r="6" spans="1:3" s="219" customFormat="1" ht="15.95" customHeight="1" thickBot="1" x14ac:dyDescent="0.25">
      <c r="A6" s="83"/>
      <c r="B6" s="84" t="s">
        <v>52</v>
      </c>
      <c r="C6" s="332"/>
    </row>
    <row r="7" spans="1:3" s="168" customFormat="1" ht="12" customHeight="1" thickBot="1" x14ac:dyDescent="0.25">
      <c r="A7" s="71" t="s">
        <v>16</v>
      </c>
      <c r="B7" s="86" t="s">
        <v>467</v>
      </c>
      <c r="C7" s="569">
        <f>SUM(C8:C18)</f>
        <v>13177350</v>
      </c>
    </row>
    <row r="8" spans="1:3" s="168" customFormat="1" ht="12" customHeight="1" x14ac:dyDescent="0.2">
      <c r="A8" s="211" t="s">
        <v>86</v>
      </c>
      <c r="B8" s="7" t="s">
        <v>209</v>
      </c>
      <c r="C8" s="570"/>
    </row>
    <row r="9" spans="1:3" s="168" customFormat="1" ht="12" customHeight="1" x14ac:dyDescent="0.2">
      <c r="A9" s="212" t="s">
        <v>87</v>
      </c>
      <c r="B9" s="5" t="s">
        <v>210</v>
      </c>
      <c r="C9" s="854">
        <f>9333000+972000</f>
        <v>10305000</v>
      </c>
    </row>
    <row r="10" spans="1:3" s="168" customFormat="1" ht="12" customHeight="1" x14ac:dyDescent="0.2">
      <c r="A10" s="212" t="s">
        <v>88</v>
      </c>
      <c r="B10" s="5" t="s">
        <v>211</v>
      </c>
      <c r="C10" s="854">
        <v>90000</v>
      </c>
    </row>
    <row r="11" spans="1:3" s="168" customFormat="1" ht="12" customHeight="1" x14ac:dyDescent="0.2">
      <c r="A11" s="212" t="s">
        <v>89</v>
      </c>
      <c r="B11" s="5" t="s">
        <v>212</v>
      </c>
      <c r="C11" s="854"/>
    </row>
    <row r="12" spans="1:3" s="168" customFormat="1" ht="12" customHeight="1" x14ac:dyDescent="0.2">
      <c r="A12" s="212" t="s">
        <v>112</v>
      </c>
      <c r="B12" s="5" t="s">
        <v>213</v>
      </c>
      <c r="C12" s="854"/>
    </row>
    <row r="13" spans="1:3" s="168" customFormat="1" ht="12" customHeight="1" x14ac:dyDescent="0.2">
      <c r="A13" s="212" t="s">
        <v>90</v>
      </c>
      <c r="B13" s="5" t="s">
        <v>333</v>
      </c>
      <c r="C13" s="854">
        <f>2519910+262440</f>
        <v>2782350</v>
      </c>
    </row>
    <row r="14" spans="1:3" s="168" customFormat="1" ht="12" customHeight="1" x14ac:dyDescent="0.2">
      <c r="A14" s="212" t="s">
        <v>91</v>
      </c>
      <c r="B14" s="4" t="s">
        <v>334</v>
      </c>
      <c r="C14" s="854"/>
    </row>
    <row r="15" spans="1:3" s="168" customFormat="1" ht="12" customHeight="1" x14ac:dyDescent="0.2">
      <c r="A15" s="212" t="s">
        <v>101</v>
      </c>
      <c r="B15" s="5" t="s">
        <v>216</v>
      </c>
      <c r="C15" s="572"/>
    </row>
    <row r="16" spans="1:3" s="220" customFormat="1" ht="12" customHeight="1" x14ac:dyDescent="0.2">
      <c r="A16" s="212" t="s">
        <v>102</v>
      </c>
      <c r="B16" s="5" t="s">
        <v>217</v>
      </c>
      <c r="C16" s="571"/>
    </row>
    <row r="17" spans="1:3" s="220" customFormat="1" ht="12" customHeight="1" x14ac:dyDescent="0.2">
      <c r="A17" s="212" t="s">
        <v>103</v>
      </c>
      <c r="B17" s="5" t="s">
        <v>397</v>
      </c>
      <c r="C17" s="573"/>
    </row>
    <row r="18" spans="1:3" s="220" customFormat="1" ht="12" customHeight="1" thickBot="1" x14ac:dyDescent="0.25">
      <c r="A18" s="212" t="s">
        <v>104</v>
      </c>
      <c r="B18" s="4" t="s">
        <v>218</v>
      </c>
      <c r="C18" s="573"/>
    </row>
    <row r="19" spans="1:3" s="168" customFormat="1" ht="12" customHeight="1" thickBot="1" x14ac:dyDescent="0.25">
      <c r="A19" s="71" t="s">
        <v>17</v>
      </c>
      <c r="B19" s="86" t="s">
        <v>335</v>
      </c>
      <c r="C19" s="569">
        <f>SUM(C20:C22)</f>
        <v>0</v>
      </c>
    </row>
    <row r="20" spans="1:3" s="220" customFormat="1" ht="12" customHeight="1" x14ac:dyDescent="0.2">
      <c r="A20" s="212" t="s">
        <v>92</v>
      </c>
      <c r="B20" s="6" t="s">
        <v>187</v>
      </c>
      <c r="C20" s="574"/>
    </row>
    <row r="21" spans="1:3" s="220" customFormat="1" ht="12" customHeight="1" x14ac:dyDescent="0.2">
      <c r="A21" s="212" t="s">
        <v>93</v>
      </c>
      <c r="B21" s="5" t="s">
        <v>336</v>
      </c>
      <c r="C21" s="571"/>
    </row>
    <row r="22" spans="1:3" s="220" customFormat="1" ht="12" customHeight="1" x14ac:dyDescent="0.2">
      <c r="A22" s="212" t="s">
        <v>94</v>
      </c>
      <c r="B22" s="5" t="s">
        <v>337</v>
      </c>
      <c r="C22" s="571"/>
    </row>
    <row r="23" spans="1:3" s="220" customFormat="1" ht="12" customHeight="1" thickBot="1" x14ac:dyDescent="0.25">
      <c r="A23" s="212" t="s">
        <v>95</v>
      </c>
      <c r="B23" s="5" t="s">
        <v>468</v>
      </c>
      <c r="C23" s="571"/>
    </row>
    <row r="24" spans="1:3" s="220" customFormat="1" ht="12" customHeight="1" thickBot="1" x14ac:dyDescent="0.25">
      <c r="A24" s="74" t="s">
        <v>18</v>
      </c>
      <c r="B24" s="54" t="s">
        <v>126</v>
      </c>
      <c r="C24" s="576"/>
    </row>
    <row r="25" spans="1:3" s="220" customFormat="1" ht="12" customHeight="1" thickBot="1" x14ac:dyDescent="0.25">
      <c r="A25" s="74" t="s">
        <v>19</v>
      </c>
      <c r="B25" s="54" t="s">
        <v>469</v>
      </c>
      <c r="C25" s="569">
        <f>+C26+C27+C28</f>
        <v>0</v>
      </c>
    </row>
    <row r="26" spans="1:3" s="220" customFormat="1" ht="12" customHeight="1" x14ac:dyDescent="0.2">
      <c r="A26" s="213" t="s">
        <v>197</v>
      </c>
      <c r="B26" s="214" t="s">
        <v>192</v>
      </c>
      <c r="C26" s="577"/>
    </row>
    <row r="27" spans="1:3" s="220" customFormat="1" ht="12" customHeight="1" x14ac:dyDescent="0.2">
      <c r="A27" s="213" t="s">
        <v>200</v>
      </c>
      <c r="B27" s="214" t="s">
        <v>336</v>
      </c>
      <c r="C27" s="574"/>
    </row>
    <row r="28" spans="1:3" s="220" customFormat="1" ht="12" customHeight="1" x14ac:dyDescent="0.2">
      <c r="A28" s="213" t="s">
        <v>201</v>
      </c>
      <c r="B28" s="215" t="s">
        <v>338</v>
      </c>
      <c r="C28" s="574"/>
    </row>
    <row r="29" spans="1:3" s="220" customFormat="1" ht="12" customHeight="1" thickBot="1" x14ac:dyDescent="0.25">
      <c r="A29" s="212" t="s">
        <v>202</v>
      </c>
      <c r="B29" s="57" t="s">
        <v>470</v>
      </c>
      <c r="C29" s="578"/>
    </row>
    <row r="30" spans="1:3" s="220" customFormat="1" ht="12" customHeight="1" thickBot="1" x14ac:dyDescent="0.25">
      <c r="A30" s="74" t="s">
        <v>20</v>
      </c>
      <c r="B30" s="54" t="s">
        <v>339</v>
      </c>
      <c r="C30" s="569">
        <f>+C31+C32+C33</f>
        <v>0</v>
      </c>
    </row>
    <row r="31" spans="1:3" s="220" customFormat="1" ht="12" customHeight="1" x14ac:dyDescent="0.2">
      <c r="A31" s="213" t="s">
        <v>79</v>
      </c>
      <c r="B31" s="214" t="s">
        <v>223</v>
      </c>
      <c r="C31" s="577"/>
    </row>
    <row r="32" spans="1:3" s="220" customFormat="1" ht="12" customHeight="1" x14ac:dyDescent="0.2">
      <c r="A32" s="213" t="s">
        <v>80</v>
      </c>
      <c r="B32" s="215" t="s">
        <v>224</v>
      </c>
      <c r="C32" s="572"/>
    </row>
    <row r="33" spans="1:3" s="168" customFormat="1" ht="12" customHeight="1" thickBot="1" x14ac:dyDescent="0.25">
      <c r="A33" s="212" t="s">
        <v>81</v>
      </c>
      <c r="B33" s="57" t="s">
        <v>225</v>
      </c>
      <c r="C33" s="578"/>
    </row>
    <row r="34" spans="1:3" s="168" customFormat="1" ht="12" customHeight="1" thickBot="1" x14ac:dyDescent="0.25">
      <c r="A34" s="74" t="s">
        <v>21</v>
      </c>
      <c r="B34" s="54" t="s">
        <v>311</v>
      </c>
      <c r="C34" s="932"/>
    </row>
    <row r="35" spans="1:3" s="168" customFormat="1" ht="12" customHeight="1" thickBot="1" x14ac:dyDescent="0.25">
      <c r="A35" s="74" t="s">
        <v>22</v>
      </c>
      <c r="B35" s="54" t="s">
        <v>340</v>
      </c>
      <c r="C35" s="579"/>
    </row>
    <row r="36" spans="1:3" s="168" customFormat="1" ht="12" customHeight="1" thickBot="1" x14ac:dyDescent="0.25">
      <c r="A36" s="71" t="s">
        <v>23</v>
      </c>
      <c r="B36" s="54" t="s">
        <v>341</v>
      </c>
      <c r="C36" s="580">
        <f>+C7+C19+C24+C25+C30+C34+C35</f>
        <v>13177350</v>
      </c>
    </row>
    <row r="37" spans="1:3" s="168" customFormat="1" ht="12" customHeight="1" thickBot="1" x14ac:dyDescent="0.25">
      <c r="A37" s="962" t="s">
        <v>24</v>
      </c>
      <c r="B37" s="54" t="s">
        <v>342</v>
      </c>
      <c r="C37" s="580">
        <f>+C38+C39+C40</f>
        <v>182194697</v>
      </c>
    </row>
    <row r="38" spans="1:3" s="168" customFormat="1" ht="12" customHeight="1" x14ac:dyDescent="0.2">
      <c r="A38" s="213" t="s">
        <v>343</v>
      </c>
      <c r="B38" s="214" t="s">
        <v>168</v>
      </c>
      <c r="C38" s="853">
        <f>3783981-156911</f>
        <v>3627070</v>
      </c>
    </row>
    <row r="39" spans="1:3" s="220" customFormat="1" ht="12" customHeight="1" x14ac:dyDescent="0.2">
      <c r="A39" s="213" t="s">
        <v>344</v>
      </c>
      <c r="B39" s="215" t="s">
        <v>6</v>
      </c>
      <c r="C39" s="127">
        <v>156911</v>
      </c>
    </row>
    <row r="40" spans="1:3" s="220" customFormat="1" ht="15" customHeight="1" thickBot="1" x14ac:dyDescent="0.25">
      <c r="A40" s="212" t="s">
        <v>345</v>
      </c>
      <c r="B40" s="57" t="s">
        <v>346</v>
      </c>
      <c r="C40" s="855">
        <f>178131106+27000+252610</f>
        <v>178410716</v>
      </c>
    </row>
    <row r="41" spans="1:3" s="220" customFormat="1" ht="15" customHeight="1" thickBot="1" x14ac:dyDescent="0.25">
      <c r="A41" s="962" t="s">
        <v>25</v>
      </c>
      <c r="B41" s="963" t="s">
        <v>347</v>
      </c>
      <c r="C41" s="857">
        <f>+C36+C37</f>
        <v>195372047</v>
      </c>
    </row>
    <row r="42" spans="1:3" s="221" customFormat="1" ht="12" customHeight="1" thickBot="1" x14ac:dyDescent="0.25">
      <c r="A42" s="93"/>
      <c r="B42" s="94" t="s">
        <v>53</v>
      </c>
      <c r="C42" s="581"/>
    </row>
    <row r="43" spans="1:3" ht="12" customHeight="1" thickBot="1" x14ac:dyDescent="0.25">
      <c r="A43" s="74" t="s">
        <v>16</v>
      </c>
      <c r="B43" s="54" t="s">
        <v>348</v>
      </c>
      <c r="C43" s="569">
        <f>SUM(C44:C48)</f>
        <v>195016197</v>
      </c>
    </row>
    <row r="44" spans="1:3" ht="12" customHeight="1" x14ac:dyDescent="0.2">
      <c r="A44" s="212" t="s">
        <v>86</v>
      </c>
      <c r="B44" s="6" t="s">
        <v>46</v>
      </c>
      <c r="C44" s="577">
        <v>144481249</v>
      </c>
    </row>
    <row r="45" spans="1:3" ht="12" customHeight="1" x14ac:dyDescent="0.2">
      <c r="A45" s="212" t="s">
        <v>87</v>
      </c>
      <c r="B45" s="5" t="s">
        <v>135</v>
      </c>
      <c r="C45" s="571">
        <v>23886312</v>
      </c>
    </row>
    <row r="46" spans="1:3" ht="12" customHeight="1" x14ac:dyDescent="0.2">
      <c r="A46" s="212" t="s">
        <v>88</v>
      </c>
      <c r="B46" s="5" t="s">
        <v>111</v>
      </c>
      <c r="C46" s="571">
        <f>25134586+27000+252610+1234440</f>
        <v>26648636</v>
      </c>
    </row>
    <row r="47" spans="1:3" ht="12" customHeight="1" x14ac:dyDescent="0.2">
      <c r="A47" s="212" t="s">
        <v>89</v>
      </c>
      <c r="B47" s="5" t="s">
        <v>136</v>
      </c>
      <c r="C47" s="571"/>
    </row>
    <row r="48" spans="1:3" ht="12" customHeight="1" thickBot="1" x14ac:dyDescent="0.25">
      <c r="A48" s="212" t="s">
        <v>112</v>
      </c>
      <c r="B48" s="5" t="s">
        <v>137</v>
      </c>
      <c r="C48" s="571"/>
    </row>
    <row r="49" spans="1:3" s="221" customFormat="1" ht="12" customHeight="1" thickBot="1" x14ac:dyDescent="0.25">
      <c r="A49" s="74" t="s">
        <v>17</v>
      </c>
      <c r="B49" s="54" t="s">
        <v>349</v>
      </c>
      <c r="C49" s="569">
        <f>SUM(C50:C52)</f>
        <v>355850</v>
      </c>
    </row>
    <row r="50" spans="1:3" ht="12" customHeight="1" x14ac:dyDescent="0.2">
      <c r="A50" s="212" t="s">
        <v>92</v>
      </c>
      <c r="B50" s="6" t="s">
        <v>159</v>
      </c>
      <c r="C50" s="577">
        <v>355850</v>
      </c>
    </row>
    <row r="51" spans="1:3" ht="12" customHeight="1" x14ac:dyDescent="0.2">
      <c r="A51" s="212" t="s">
        <v>93</v>
      </c>
      <c r="B51" s="5" t="s">
        <v>139</v>
      </c>
      <c r="C51" s="571"/>
    </row>
    <row r="52" spans="1:3" ht="12" customHeight="1" x14ac:dyDescent="0.2">
      <c r="A52" s="212" t="s">
        <v>94</v>
      </c>
      <c r="B52" s="5" t="s">
        <v>54</v>
      </c>
      <c r="C52" s="571"/>
    </row>
    <row r="53" spans="1:3" ht="15" customHeight="1" thickBot="1" x14ac:dyDescent="0.25">
      <c r="A53" s="212" t="s">
        <v>95</v>
      </c>
      <c r="B53" s="5" t="s">
        <v>471</v>
      </c>
      <c r="C53" s="571"/>
    </row>
    <row r="54" spans="1:3" ht="13.5" thickBot="1" x14ac:dyDescent="0.25">
      <c r="A54" s="74" t="s">
        <v>18</v>
      </c>
      <c r="B54" s="54" t="s">
        <v>12</v>
      </c>
      <c r="C54" s="576"/>
    </row>
    <row r="55" spans="1:3" ht="15" customHeight="1" thickBot="1" x14ac:dyDescent="0.25">
      <c r="A55" s="74" t="s">
        <v>19</v>
      </c>
      <c r="B55" s="95" t="s">
        <v>472</v>
      </c>
      <c r="C55" s="856">
        <f>+C43+C49+C54</f>
        <v>195372047</v>
      </c>
    </row>
    <row r="56" spans="1:3" ht="13.5" thickBot="1" x14ac:dyDescent="0.25">
      <c r="A56" s="97" t="s">
        <v>465</v>
      </c>
      <c r="B56" s="98"/>
      <c r="C56" s="586">
        <v>41</v>
      </c>
    </row>
  </sheetData>
  <sheetProtection formatCells="0"/>
  <mergeCells count="2">
    <mergeCell ref="A1:C1"/>
    <mergeCell ref="A3:C3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4"/>
  <dimension ref="A1:K167"/>
  <sheetViews>
    <sheetView zoomScale="115" zoomScaleNormal="115" zoomScaleSheetLayoutView="100" workbookViewId="0">
      <selection activeCell="C57" sqref="C57"/>
    </sheetView>
  </sheetViews>
  <sheetFormatPr defaultRowHeight="15.75" x14ac:dyDescent="0.25"/>
  <cols>
    <col min="1" max="1" width="9.5" style="170" customWidth="1"/>
    <col min="2" max="2" width="91.6640625" style="170" customWidth="1"/>
    <col min="3" max="3" width="21.6640625" style="296" customWidth="1"/>
    <col min="4" max="4" width="19.33203125" style="181" hidden="1" customWidth="1"/>
    <col min="5" max="5" width="15.83203125" style="181" hidden="1" customWidth="1"/>
    <col min="6" max="6" width="15.33203125" style="181" hidden="1" customWidth="1"/>
    <col min="7" max="9" width="9.33203125" style="181" customWidth="1"/>
    <col min="10" max="16384" width="9.33203125" style="181"/>
  </cols>
  <sheetData>
    <row r="1" spans="1:6" s="671" customFormat="1" x14ac:dyDescent="0.25">
      <c r="A1" s="1433" t="str">
        <f>CONCATENATE("3. melléklet"," ",ALAPADATOK!A7," ",ALAPADATOK!B7," ",ALAPADATOK!C7," ",ALAPADATOK!D7," ",ALAPADATOK!E7," ",ALAPADATOK!F7," ",ALAPADATOK!G7," ",ALAPADATOK!H7)</f>
        <v>3. melléklet a 19 / 2021. ( XI.29. ) önkormányzati rendelethez</v>
      </c>
      <c r="B1" s="1433"/>
      <c r="C1" s="1433"/>
    </row>
    <row r="2" spans="1:6" s="815" customFormat="1" x14ac:dyDescent="0.25">
      <c r="A2" s="692"/>
      <c r="B2" s="692"/>
      <c r="C2" s="692"/>
    </row>
    <row r="3" spans="1:6" s="671" customFormat="1" x14ac:dyDescent="0.25">
      <c r="A3" s="1432" t="str">
        <f>CONCATENATE(ALAPADATOK!A3)</f>
        <v>Tiszavasvári Város Önkormányzat</v>
      </c>
      <c r="B3" s="1432"/>
      <c r="C3" s="1432"/>
      <c r="E3" s="671" t="s">
        <v>710</v>
      </c>
    </row>
    <row r="4" spans="1:6" s="671" customFormat="1" x14ac:dyDescent="0.25">
      <c r="A4" s="1431" t="str">
        <f>CONCATENATE(ALAPADATOK!D7," ÉVI KÖLTSÉGVETÉS")</f>
        <v>2021. ÉVI KÖLTSÉGVETÉS</v>
      </c>
      <c r="B4" s="1431"/>
      <c r="C4" s="1431"/>
      <c r="E4" s="671" t="s">
        <v>987</v>
      </c>
    </row>
    <row r="5" spans="1:6" s="671" customFormat="1" x14ac:dyDescent="0.25">
      <c r="A5" s="1431" t="s">
        <v>716</v>
      </c>
      <c r="B5" s="1431"/>
      <c r="C5" s="1431"/>
      <c r="E5" s="671" t="s">
        <v>716</v>
      </c>
    </row>
    <row r="6" spans="1:6" s="671" customFormat="1" x14ac:dyDescent="0.25">
      <c r="A6" s="670"/>
      <c r="B6" s="670"/>
      <c r="C6" s="296"/>
    </row>
    <row r="7" spans="1:6" ht="15.95" customHeight="1" x14ac:dyDescent="0.25">
      <c r="A7" s="1435" t="s">
        <v>13</v>
      </c>
      <c r="B7" s="1435"/>
      <c r="C7" s="1435"/>
      <c r="D7" s="170"/>
      <c r="E7" s="170"/>
      <c r="F7" s="170"/>
    </row>
    <row r="8" spans="1:6" ht="15.95" customHeight="1" thickBot="1" x14ac:dyDescent="0.3">
      <c r="A8" s="1437"/>
      <c r="B8" s="1437"/>
      <c r="C8" s="121" t="s">
        <v>494</v>
      </c>
      <c r="D8" s="170"/>
      <c r="E8" s="170"/>
      <c r="F8" s="170"/>
    </row>
    <row r="9" spans="1:6" ht="38.1" customHeight="1" thickBot="1" x14ac:dyDescent="0.3">
      <c r="A9" s="20" t="s">
        <v>64</v>
      </c>
      <c r="B9" s="21" t="s">
        <v>15</v>
      </c>
      <c r="C9" s="29" t="s">
        <v>796</v>
      </c>
      <c r="D9" s="170" t="s">
        <v>499</v>
      </c>
      <c r="E9" s="170" t="s">
        <v>500</v>
      </c>
      <c r="F9" s="170" t="s">
        <v>501</v>
      </c>
    </row>
    <row r="10" spans="1:6" s="182" customFormat="1" ht="12" customHeight="1" thickBot="1" x14ac:dyDescent="0.25">
      <c r="A10" s="176" t="s">
        <v>391</v>
      </c>
      <c r="B10" s="177" t="s">
        <v>392</v>
      </c>
      <c r="C10" s="178" t="s">
        <v>393</v>
      </c>
    </row>
    <row r="11" spans="1:6" s="183" customFormat="1" ht="12" customHeight="1" thickBot="1" x14ac:dyDescent="0.25">
      <c r="A11" s="17" t="s">
        <v>16</v>
      </c>
      <c r="B11" s="18" t="s">
        <v>181</v>
      </c>
      <c r="C11" s="112">
        <f t="shared" ref="C11:C75" si="0">SUM(D11:F11)</f>
        <v>308227551</v>
      </c>
      <c r="D11" s="267">
        <f>+D12+D13+D14+D17+D18+D19</f>
        <v>308227551</v>
      </c>
      <c r="E11" s="112">
        <f>+E12+E13+E14+E17+E18+E19</f>
        <v>0</v>
      </c>
      <c r="F11" s="112">
        <f>+F12+F13+F14+F17+F18+F19</f>
        <v>0</v>
      </c>
    </row>
    <row r="12" spans="1:6" s="183" customFormat="1" ht="12" customHeight="1" x14ac:dyDescent="0.2">
      <c r="A12" s="12" t="s">
        <v>86</v>
      </c>
      <c r="B12" s="184" t="s">
        <v>182</v>
      </c>
      <c r="C12" s="179">
        <f t="shared" si="0"/>
        <v>0</v>
      </c>
      <c r="D12" s="269"/>
      <c r="E12" s="222"/>
      <c r="F12" s="114"/>
    </row>
    <row r="13" spans="1:6" s="183" customFormat="1" ht="12" customHeight="1" x14ac:dyDescent="0.2">
      <c r="A13" s="11" t="s">
        <v>87</v>
      </c>
      <c r="B13" s="185" t="s">
        <v>183</v>
      </c>
      <c r="C13" s="293">
        <f t="shared" si="0"/>
        <v>0</v>
      </c>
      <c r="D13" s="101"/>
      <c r="E13" s="116"/>
      <c r="F13" s="113"/>
    </row>
    <row r="14" spans="1:6" s="183" customFormat="1" ht="12" customHeight="1" x14ac:dyDescent="0.2">
      <c r="A14" s="11" t="s">
        <v>88</v>
      </c>
      <c r="B14" s="185" t="s">
        <v>766</v>
      </c>
      <c r="C14" s="290">
        <f t="shared" si="0"/>
        <v>308227551</v>
      </c>
      <c r="D14" s="101">
        <f>D15+D16</f>
        <v>308227551</v>
      </c>
      <c r="E14" s="116"/>
      <c r="F14" s="113"/>
    </row>
    <row r="15" spans="1:6" s="183" customFormat="1" ht="12" customHeight="1" x14ac:dyDescent="0.2">
      <c r="A15" s="11" t="s">
        <v>764</v>
      </c>
      <c r="B15" s="185" t="s">
        <v>767</v>
      </c>
      <c r="C15" s="290">
        <f t="shared" si="0"/>
        <v>308227551</v>
      </c>
      <c r="D15" s="101">
        <f>312152317-1227663+1536897-4234000</f>
        <v>308227551</v>
      </c>
      <c r="E15" s="116"/>
      <c r="F15" s="113"/>
    </row>
    <row r="16" spans="1:6" s="183" customFormat="1" ht="12" customHeight="1" x14ac:dyDescent="0.2">
      <c r="A16" s="11" t="s">
        <v>765</v>
      </c>
      <c r="B16" s="185" t="s">
        <v>768</v>
      </c>
      <c r="C16" s="293">
        <f t="shared" si="0"/>
        <v>0</v>
      </c>
      <c r="D16" s="101"/>
      <c r="E16" s="116"/>
      <c r="F16" s="113"/>
    </row>
    <row r="17" spans="1:6" s="183" customFormat="1" ht="12" customHeight="1" x14ac:dyDescent="0.2">
      <c r="A17" s="11" t="s">
        <v>89</v>
      </c>
      <c r="B17" s="185" t="s">
        <v>185</v>
      </c>
      <c r="C17" s="293">
        <f t="shared" si="0"/>
        <v>0</v>
      </c>
      <c r="D17" s="101"/>
      <c r="E17" s="116"/>
      <c r="F17" s="113"/>
    </row>
    <row r="18" spans="1:6" s="183" customFormat="1" ht="12" customHeight="1" x14ac:dyDescent="0.2">
      <c r="A18" s="11" t="s">
        <v>112</v>
      </c>
      <c r="B18" s="108" t="s">
        <v>394</v>
      </c>
      <c r="C18" s="293">
        <f t="shared" si="0"/>
        <v>0</v>
      </c>
      <c r="D18" s="256"/>
      <c r="E18" s="116"/>
      <c r="F18" s="863"/>
    </row>
    <row r="19" spans="1:6" s="183" customFormat="1" ht="12" customHeight="1" thickBot="1" x14ac:dyDescent="0.25">
      <c r="A19" s="13" t="s">
        <v>90</v>
      </c>
      <c r="B19" s="109" t="s">
        <v>395</v>
      </c>
      <c r="C19" s="294">
        <f t="shared" si="0"/>
        <v>0</v>
      </c>
      <c r="D19" s="101"/>
      <c r="E19" s="113"/>
      <c r="F19" s="113"/>
    </row>
    <row r="20" spans="1:6" s="183" customFormat="1" ht="12" customHeight="1" thickBot="1" x14ac:dyDescent="0.25">
      <c r="A20" s="17" t="s">
        <v>17</v>
      </c>
      <c r="B20" s="107" t="s">
        <v>186</v>
      </c>
      <c r="C20" s="112">
        <f t="shared" si="0"/>
        <v>268008402</v>
      </c>
      <c r="D20" s="267">
        <f>+D21+D22+D23+D24+D25</f>
        <v>168209383</v>
      </c>
      <c r="E20" s="112">
        <f>+E21+E22+E23+E24+E25</f>
        <v>0</v>
      </c>
      <c r="F20" s="112">
        <f>+F21+F22+F23+F24+F25</f>
        <v>99799019</v>
      </c>
    </row>
    <row r="21" spans="1:6" s="183" customFormat="1" ht="12" customHeight="1" x14ac:dyDescent="0.2">
      <c r="A21" s="12" t="s">
        <v>92</v>
      </c>
      <c r="B21" s="184" t="s">
        <v>187</v>
      </c>
      <c r="C21" s="179">
        <f t="shared" si="0"/>
        <v>0</v>
      </c>
      <c r="D21" s="269"/>
      <c r="E21" s="114"/>
      <c r="F21" s="114"/>
    </row>
    <row r="22" spans="1:6" s="183" customFormat="1" ht="12" customHeight="1" x14ac:dyDescent="0.2">
      <c r="A22" s="11" t="s">
        <v>93</v>
      </c>
      <c r="B22" s="185" t="s">
        <v>188</v>
      </c>
      <c r="C22" s="293">
        <f t="shared" si="0"/>
        <v>0</v>
      </c>
      <c r="D22" s="101"/>
      <c r="E22" s="113"/>
      <c r="F22" s="113"/>
    </row>
    <row r="23" spans="1:6" s="183" customFormat="1" ht="12" customHeight="1" x14ac:dyDescent="0.2">
      <c r="A23" s="11" t="s">
        <v>94</v>
      </c>
      <c r="B23" s="185" t="s">
        <v>354</v>
      </c>
      <c r="C23" s="293">
        <f t="shared" si="0"/>
        <v>0</v>
      </c>
      <c r="D23" s="101"/>
      <c r="E23" s="113"/>
      <c r="F23" s="113"/>
    </row>
    <row r="24" spans="1:6" s="183" customFormat="1" ht="12" customHeight="1" x14ac:dyDescent="0.2">
      <c r="A24" s="11" t="s">
        <v>95</v>
      </c>
      <c r="B24" s="185" t="s">
        <v>355</v>
      </c>
      <c r="C24" s="293">
        <f t="shared" si="0"/>
        <v>0</v>
      </c>
      <c r="D24" s="101"/>
      <c r="E24" s="113"/>
      <c r="F24" s="113"/>
    </row>
    <row r="25" spans="1:6" s="183" customFormat="1" ht="12" customHeight="1" x14ac:dyDescent="0.2">
      <c r="A25" s="11" t="s">
        <v>96</v>
      </c>
      <c r="B25" s="185" t="s">
        <v>189</v>
      </c>
      <c r="C25" s="290">
        <f t="shared" si="0"/>
        <v>268008402</v>
      </c>
      <c r="D25" s="256">
        <f>131199793+400000+24966440+4143150+7500000</f>
        <v>168209383</v>
      </c>
      <c r="E25" s="116"/>
      <c r="F25" s="863">
        <f>9618799+90180220</f>
        <v>99799019</v>
      </c>
    </row>
    <row r="26" spans="1:6" s="183" customFormat="1" ht="12" customHeight="1" thickBot="1" x14ac:dyDescent="0.25">
      <c r="A26" s="13" t="s">
        <v>105</v>
      </c>
      <c r="B26" s="109" t="s">
        <v>190</v>
      </c>
      <c r="C26" s="849">
        <f t="shared" si="0"/>
        <v>83207484</v>
      </c>
      <c r="D26" s="259"/>
      <c r="E26" s="173"/>
      <c r="F26" s="173">
        <v>83207484</v>
      </c>
    </row>
    <row r="27" spans="1:6" s="183" customFormat="1" ht="12" customHeight="1" thickBot="1" x14ac:dyDescent="0.25">
      <c r="A27" s="17" t="s">
        <v>18</v>
      </c>
      <c r="B27" s="18" t="s">
        <v>191</v>
      </c>
      <c r="C27" s="112">
        <f t="shared" si="0"/>
        <v>280091487</v>
      </c>
      <c r="D27" s="267">
        <f>+D28+D29+D30+D31+D32</f>
        <v>218162206</v>
      </c>
      <c r="E27" s="112">
        <f>+E28+E29+E30+E31+E32</f>
        <v>0</v>
      </c>
      <c r="F27" s="112">
        <f>+F28+F29+F30+F31+F32</f>
        <v>61929281</v>
      </c>
    </row>
    <row r="28" spans="1:6" s="183" customFormat="1" ht="12" customHeight="1" x14ac:dyDescent="0.2">
      <c r="A28" s="12" t="s">
        <v>75</v>
      </c>
      <c r="B28" s="184" t="s">
        <v>192</v>
      </c>
      <c r="C28" s="289">
        <f t="shared" si="0"/>
        <v>100000000</v>
      </c>
      <c r="D28" s="269">
        <v>100000000</v>
      </c>
      <c r="E28" s="507"/>
      <c r="F28" s="114"/>
    </row>
    <row r="29" spans="1:6" s="183" customFormat="1" ht="12" customHeight="1" x14ac:dyDescent="0.2">
      <c r="A29" s="11" t="s">
        <v>76</v>
      </c>
      <c r="B29" s="185" t="s">
        <v>193</v>
      </c>
      <c r="C29" s="293">
        <f t="shared" si="0"/>
        <v>0</v>
      </c>
      <c r="D29" s="101"/>
      <c r="E29" s="116"/>
      <c r="F29" s="113"/>
    </row>
    <row r="30" spans="1:6" s="183" customFormat="1" ht="12" customHeight="1" x14ac:dyDescent="0.2">
      <c r="A30" s="11" t="s">
        <v>77</v>
      </c>
      <c r="B30" s="185" t="s">
        <v>356</v>
      </c>
      <c r="C30" s="293">
        <f t="shared" si="0"/>
        <v>0</v>
      </c>
      <c r="D30" s="101"/>
      <c r="E30" s="116"/>
      <c r="F30" s="113"/>
    </row>
    <row r="31" spans="1:6" s="183" customFormat="1" ht="12" customHeight="1" x14ac:dyDescent="0.2">
      <c r="A31" s="11" t="s">
        <v>78</v>
      </c>
      <c r="B31" s="185" t="s">
        <v>357</v>
      </c>
      <c r="C31" s="293">
        <f t="shared" si="0"/>
        <v>0</v>
      </c>
      <c r="D31" s="101"/>
      <c r="E31" s="116"/>
      <c r="F31" s="113"/>
    </row>
    <row r="32" spans="1:6" s="183" customFormat="1" ht="12" customHeight="1" x14ac:dyDescent="0.2">
      <c r="A32" s="11" t="s">
        <v>123</v>
      </c>
      <c r="B32" s="185" t="s">
        <v>194</v>
      </c>
      <c r="C32" s="290">
        <f t="shared" si="0"/>
        <v>180091487</v>
      </c>
      <c r="D32" s="256">
        <f>100100000+18062206</f>
        <v>118162206</v>
      </c>
      <c r="E32" s="116"/>
      <c r="F32" s="863">
        <f>51850900+10078381</f>
        <v>61929281</v>
      </c>
    </row>
    <row r="33" spans="1:11" s="183" customFormat="1" ht="12" customHeight="1" thickBot="1" x14ac:dyDescent="0.25">
      <c r="A33" s="13" t="s">
        <v>124</v>
      </c>
      <c r="B33" s="186" t="s">
        <v>195</v>
      </c>
      <c r="C33" s="849">
        <f t="shared" si="0"/>
        <v>53044700</v>
      </c>
      <c r="D33" s="259"/>
      <c r="E33" s="173"/>
      <c r="F33" s="173">
        <v>53044700</v>
      </c>
    </row>
    <row r="34" spans="1:11" s="183" customFormat="1" ht="12" customHeight="1" thickBot="1" x14ac:dyDescent="0.25">
      <c r="A34" s="17" t="s">
        <v>125</v>
      </c>
      <c r="B34" s="18" t="s">
        <v>196</v>
      </c>
      <c r="C34" s="295">
        <f t="shared" si="0"/>
        <v>0</v>
      </c>
      <c r="D34" s="270">
        <f>+D35+D39+D40</f>
        <v>0</v>
      </c>
      <c r="E34" s="270">
        <f>+E35+E39+E40</f>
        <v>0</v>
      </c>
      <c r="F34" s="270">
        <f>+F35+F39+F40</f>
        <v>0</v>
      </c>
      <c r="K34" s="945"/>
    </row>
    <row r="35" spans="1:11" s="183" customFormat="1" ht="12" customHeight="1" x14ac:dyDescent="0.2">
      <c r="A35" s="12" t="s">
        <v>197</v>
      </c>
      <c r="B35" s="184" t="s">
        <v>579</v>
      </c>
      <c r="C35" s="179">
        <f t="shared" si="0"/>
        <v>0</v>
      </c>
      <c r="D35" s="284">
        <f>SUM(D36:D37)</f>
        <v>0</v>
      </c>
      <c r="E35" s="284">
        <f>SUM(E36:E37)</f>
        <v>0</v>
      </c>
      <c r="F35" s="284">
        <f>SUM(F36:F37)</f>
        <v>0</v>
      </c>
    </row>
    <row r="36" spans="1:11" s="183" customFormat="1" ht="12" customHeight="1" x14ac:dyDescent="0.2">
      <c r="A36" s="11" t="s">
        <v>198</v>
      </c>
      <c r="B36" s="185" t="s">
        <v>203</v>
      </c>
      <c r="C36" s="293">
        <f t="shared" si="0"/>
        <v>0</v>
      </c>
      <c r="D36" s="101"/>
      <c r="E36" s="113"/>
      <c r="F36" s="113"/>
    </row>
    <row r="37" spans="1:11" s="183" customFormat="1" ht="12" customHeight="1" x14ac:dyDescent="0.2">
      <c r="A37" s="11" t="s">
        <v>199</v>
      </c>
      <c r="B37" s="242" t="s">
        <v>578</v>
      </c>
      <c r="C37" s="293">
        <f t="shared" si="0"/>
        <v>0</v>
      </c>
      <c r="D37" s="101"/>
      <c r="E37" s="113"/>
      <c r="F37" s="113"/>
    </row>
    <row r="38" spans="1:11" s="183" customFormat="1" ht="12" customHeight="1" x14ac:dyDescent="0.2">
      <c r="A38" s="11" t="s">
        <v>200</v>
      </c>
      <c r="B38" s="185" t="s">
        <v>479</v>
      </c>
      <c r="C38" s="293">
        <f t="shared" si="0"/>
        <v>0</v>
      </c>
      <c r="D38" s="101"/>
      <c r="E38" s="116"/>
      <c r="F38" s="113"/>
    </row>
    <row r="39" spans="1:11" s="183" customFormat="1" ht="12" customHeight="1" x14ac:dyDescent="0.2">
      <c r="A39" s="11" t="s">
        <v>202</v>
      </c>
      <c r="B39" s="185" t="s">
        <v>205</v>
      </c>
      <c r="C39" s="293">
        <f t="shared" si="0"/>
        <v>0</v>
      </c>
      <c r="D39" s="101"/>
      <c r="E39" s="113"/>
      <c r="F39" s="113"/>
    </row>
    <row r="40" spans="1:11" s="183" customFormat="1" ht="12" customHeight="1" thickBot="1" x14ac:dyDescent="0.25">
      <c r="A40" s="13" t="s">
        <v>481</v>
      </c>
      <c r="B40" s="186" t="s">
        <v>206</v>
      </c>
      <c r="C40" s="294">
        <f t="shared" si="0"/>
        <v>0</v>
      </c>
      <c r="D40" s="102"/>
      <c r="E40" s="173"/>
      <c r="F40" s="115"/>
    </row>
    <row r="41" spans="1:11" s="183" customFormat="1" ht="12" customHeight="1" thickBot="1" x14ac:dyDescent="0.25">
      <c r="A41" s="17" t="s">
        <v>20</v>
      </c>
      <c r="B41" s="18" t="s">
        <v>396</v>
      </c>
      <c r="C41" s="112">
        <f t="shared" si="0"/>
        <v>216338419</v>
      </c>
      <c r="D41" s="267">
        <f>SUM(D42:D52)</f>
        <v>28133300</v>
      </c>
      <c r="E41" s="112">
        <f>SUM(E42:E52)</f>
        <v>0</v>
      </c>
      <c r="F41" s="112">
        <f>SUM(F42:F52)</f>
        <v>188205119</v>
      </c>
    </row>
    <row r="42" spans="1:11" s="183" customFormat="1" ht="12" customHeight="1" x14ac:dyDescent="0.2">
      <c r="A42" s="12" t="s">
        <v>79</v>
      </c>
      <c r="B42" s="184" t="s">
        <v>209</v>
      </c>
      <c r="C42" s="179">
        <f t="shared" si="0"/>
        <v>0</v>
      </c>
      <c r="D42" s="269"/>
      <c r="E42" s="222"/>
      <c r="F42" s="114"/>
    </row>
    <row r="43" spans="1:11" s="183" customFormat="1" ht="12" customHeight="1" x14ac:dyDescent="0.2">
      <c r="A43" s="11" t="s">
        <v>80</v>
      </c>
      <c r="B43" s="185" t="s">
        <v>210</v>
      </c>
      <c r="C43" s="290">
        <f t="shared" si="0"/>
        <v>3539435</v>
      </c>
      <c r="D43" s="256">
        <v>550000</v>
      </c>
      <c r="E43" s="116"/>
      <c r="F43" s="114">
        <f>909435+2080000</f>
        <v>2989435</v>
      </c>
    </row>
    <row r="44" spans="1:11" s="183" customFormat="1" ht="12" customHeight="1" x14ac:dyDescent="0.2">
      <c r="A44" s="11" t="s">
        <v>81</v>
      </c>
      <c r="B44" s="185" t="s">
        <v>211</v>
      </c>
      <c r="C44" s="293">
        <f t="shared" si="0"/>
        <v>10000000</v>
      </c>
      <c r="D44" s="256"/>
      <c r="E44" s="116"/>
      <c r="F44" s="114">
        <v>10000000</v>
      </c>
    </row>
    <row r="45" spans="1:11" s="183" customFormat="1" ht="12" customHeight="1" x14ac:dyDescent="0.2">
      <c r="A45" s="11" t="s">
        <v>127</v>
      </c>
      <c r="B45" s="185" t="s">
        <v>212</v>
      </c>
      <c r="C45" s="293">
        <f t="shared" si="0"/>
        <v>0</v>
      </c>
      <c r="D45" s="101"/>
      <c r="E45" s="116"/>
      <c r="F45" s="114"/>
    </row>
    <row r="46" spans="1:11" s="183" customFormat="1" ht="12" customHeight="1" x14ac:dyDescent="0.2">
      <c r="A46" s="11" t="s">
        <v>128</v>
      </c>
      <c r="B46" s="185" t="s">
        <v>213</v>
      </c>
      <c r="C46" s="290">
        <f t="shared" si="0"/>
        <v>173575135</v>
      </c>
      <c r="D46" s="101"/>
      <c r="E46" s="116"/>
      <c r="F46" s="114">
        <v>173575135</v>
      </c>
    </row>
    <row r="47" spans="1:11" s="183" customFormat="1" ht="12" customHeight="1" x14ac:dyDescent="0.2">
      <c r="A47" s="11" t="s">
        <v>129</v>
      </c>
      <c r="B47" s="185" t="s">
        <v>214</v>
      </c>
      <c r="C47" s="290">
        <f t="shared" si="0"/>
        <v>1789049</v>
      </c>
      <c r="D47" s="101">
        <v>148500</v>
      </c>
      <c r="E47" s="116"/>
      <c r="F47" s="114">
        <f>245549+1395000</f>
        <v>1640549</v>
      </c>
    </row>
    <row r="48" spans="1:11" s="183" customFormat="1" ht="12" customHeight="1" x14ac:dyDescent="0.2">
      <c r="A48" s="11" t="s">
        <v>130</v>
      </c>
      <c r="B48" s="185" t="s">
        <v>215</v>
      </c>
      <c r="C48" s="290">
        <f t="shared" si="0"/>
        <v>27334800</v>
      </c>
      <c r="D48" s="101">
        <f>25525800+1809000</f>
        <v>27334800</v>
      </c>
      <c r="E48" s="116"/>
      <c r="F48" s="114"/>
    </row>
    <row r="49" spans="1:6" s="183" customFormat="1" ht="12" customHeight="1" x14ac:dyDescent="0.2">
      <c r="A49" s="11" t="s">
        <v>131</v>
      </c>
      <c r="B49" s="185" t="s">
        <v>484</v>
      </c>
      <c r="C49" s="293">
        <f t="shared" si="0"/>
        <v>0</v>
      </c>
      <c r="D49" s="101"/>
      <c r="E49" s="116"/>
      <c r="F49" s="863"/>
    </row>
    <row r="50" spans="1:6" s="183" customFormat="1" ht="12" customHeight="1" x14ac:dyDescent="0.2">
      <c r="A50" s="11" t="s">
        <v>207</v>
      </c>
      <c r="B50" s="185" t="s">
        <v>217</v>
      </c>
      <c r="C50" s="293">
        <f t="shared" si="0"/>
        <v>0</v>
      </c>
      <c r="D50" s="256"/>
      <c r="E50" s="116"/>
      <c r="F50" s="863"/>
    </row>
    <row r="51" spans="1:6" s="183" customFormat="1" ht="12" customHeight="1" x14ac:dyDescent="0.2">
      <c r="A51" s="13" t="s">
        <v>208</v>
      </c>
      <c r="B51" s="186" t="s">
        <v>397</v>
      </c>
      <c r="C51" s="293">
        <f t="shared" si="0"/>
        <v>0</v>
      </c>
      <c r="D51" s="259"/>
      <c r="E51" s="173"/>
      <c r="F51" s="173"/>
    </row>
    <row r="52" spans="1:6" s="183" customFormat="1" ht="12" customHeight="1" thickBot="1" x14ac:dyDescent="0.25">
      <c r="A52" s="13" t="s">
        <v>398</v>
      </c>
      <c r="B52" s="109" t="s">
        <v>218</v>
      </c>
      <c r="C52" s="849">
        <f t="shared" si="0"/>
        <v>100000</v>
      </c>
      <c r="D52" s="259">
        <v>100000</v>
      </c>
      <c r="E52" s="173"/>
      <c r="F52" s="173"/>
    </row>
    <row r="53" spans="1:6" s="183" customFormat="1" ht="12" customHeight="1" thickBot="1" x14ac:dyDescent="0.25">
      <c r="A53" s="17" t="s">
        <v>21</v>
      </c>
      <c r="B53" s="18" t="s">
        <v>219</v>
      </c>
      <c r="C53" s="112">
        <f t="shared" si="0"/>
        <v>0</v>
      </c>
      <c r="D53" s="267">
        <f>SUM(D54:D58)</f>
        <v>0</v>
      </c>
      <c r="E53" s="112">
        <f>SUM(E54:E58)</f>
        <v>0</v>
      </c>
      <c r="F53" s="112">
        <f>SUM(F54:F58)</f>
        <v>0</v>
      </c>
    </row>
    <row r="54" spans="1:6" s="183" customFormat="1" ht="12" customHeight="1" x14ac:dyDescent="0.2">
      <c r="A54" s="12" t="s">
        <v>82</v>
      </c>
      <c r="B54" s="184" t="s">
        <v>223</v>
      </c>
      <c r="C54" s="179">
        <f t="shared" si="0"/>
        <v>0</v>
      </c>
      <c r="D54" s="271"/>
      <c r="E54" s="222"/>
      <c r="F54" s="222"/>
    </row>
    <row r="55" spans="1:6" s="183" customFormat="1" ht="12" customHeight="1" x14ac:dyDescent="0.2">
      <c r="A55" s="11" t="s">
        <v>83</v>
      </c>
      <c r="B55" s="185" t="s">
        <v>224</v>
      </c>
      <c r="C55" s="293">
        <f t="shared" si="0"/>
        <v>0</v>
      </c>
      <c r="D55" s="256"/>
      <c r="E55" s="116"/>
      <c r="F55" s="863"/>
    </row>
    <row r="56" spans="1:6" s="183" customFormat="1" ht="12" customHeight="1" x14ac:dyDescent="0.2">
      <c r="A56" s="11" t="s">
        <v>220</v>
      </c>
      <c r="B56" s="185" t="s">
        <v>225</v>
      </c>
      <c r="C56" s="293">
        <f t="shared" si="0"/>
        <v>0</v>
      </c>
      <c r="D56" s="256"/>
      <c r="E56" s="116"/>
      <c r="F56" s="863"/>
    </row>
    <row r="57" spans="1:6" s="183" customFormat="1" ht="12" customHeight="1" x14ac:dyDescent="0.2">
      <c r="A57" s="11" t="s">
        <v>221</v>
      </c>
      <c r="B57" s="185" t="s">
        <v>226</v>
      </c>
      <c r="C57" s="293">
        <f t="shared" si="0"/>
        <v>0</v>
      </c>
      <c r="D57" s="256"/>
      <c r="E57" s="116"/>
      <c r="F57" s="863"/>
    </row>
    <row r="58" spans="1:6" s="183" customFormat="1" ht="12" customHeight="1" thickBot="1" x14ac:dyDescent="0.25">
      <c r="A58" s="13" t="s">
        <v>222</v>
      </c>
      <c r="B58" s="109" t="s">
        <v>227</v>
      </c>
      <c r="C58" s="294">
        <f t="shared" si="0"/>
        <v>0</v>
      </c>
      <c r="D58" s="259"/>
      <c r="E58" s="173"/>
      <c r="F58" s="173"/>
    </row>
    <row r="59" spans="1:6" s="183" customFormat="1" ht="12" customHeight="1" thickBot="1" x14ac:dyDescent="0.25">
      <c r="A59" s="17" t="s">
        <v>132</v>
      </c>
      <c r="B59" s="18" t="s">
        <v>228</v>
      </c>
      <c r="C59" s="112">
        <f t="shared" si="0"/>
        <v>333028</v>
      </c>
      <c r="D59" s="267">
        <f>SUM(D60:D62)</f>
        <v>333028</v>
      </c>
      <c r="E59" s="112">
        <f>SUM(E60:E62)</f>
        <v>0</v>
      </c>
      <c r="F59" s="112">
        <f>SUM(F60:F62)</f>
        <v>0</v>
      </c>
    </row>
    <row r="60" spans="1:6" s="183" customFormat="1" ht="12" customHeight="1" x14ac:dyDescent="0.2">
      <c r="A60" s="12" t="s">
        <v>84</v>
      </c>
      <c r="B60" s="184" t="s">
        <v>229</v>
      </c>
      <c r="C60" s="179">
        <f t="shared" si="0"/>
        <v>0</v>
      </c>
      <c r="D60" s="269"/>
      <c r="E60" s="114"/>
      <c r="F60" s="114"/>
    </row>
    <row r="61" spans="1:6" s="183" customFormat="1" ht="12" customHeight="1" x14ac:dyDescent="0.2">
      <c r="A61" s="11" t="s">
        <v>85</v>
      </c>
      <c r="B61" s="185" t="s">
        <v>358</v>
      </c>
      <c r="C61" s="293">
        <f t="shared" si="0"/>
        <v>200000</v>
      </c>
      <c r="D61" s="256">
        <v>200000</v>
      </c>
      <c r="E61" s="116"/>
      <c r="F61" s="863"/>
    </row>
    <row r="62" spans="1:6" s="183" customFormat="1" ht="12" customHeight="1" x14ac:dyDescent="0.2">
      <c r="A62" s="11" t="s">
        <v>232</v>
      </c>
      <c r="B62" s="185" t="s">
        <v>230</v>
      </c>
      <c r="C62" s="845">
        <f t="shared" si="0"/>
        <v>133028</v>
      </c>
      <c r="D62" s="256">
        <v>133028</v>
      </c>
      <c r="E62" s="116"/>
      <c r="F62" s="863"/>
    </row>
    <row r="63" spans="1:6" s="183" customFormat="1" ht="12" customHeight="1" thickBot="1" x14ac:dyDescent="0.25">
      <c r="A63" s="13" t="s">
        <v>233</v>
      </c>
      <c r="B63" s="109" t="s">
        <v>231</v>
      </c>
      <c r="C63" s="294">
        <f t="shared" si="0"/>
        <v>0</v>
      </c>
      <c r="D63" s="102"/>
      <c r="E63" s="115"/>
      <c r="F63" s="115"/>
    </row>
    <row r="64" spans="1:6" s="183" customFormat="1" ht="12" customHeight="1" thickBot="1" x14ac:dyDescent="0.25">
      <c r="A64" s="17" t="s">
        <v>23</v>
      </c>
      <c r="B64" s="107" t="s">
        <v>234</v>
      </c>
      <c r="C64" s="112">
        <f t="shared" si="0"/>
        <v>0</v>
      </c>
      <c r="D64" s="267">
        <f>SUM(D65:D67)</f>
        <v>0</v>
      </c>
      <c r="E64" s="112">
        <f>SUM(E65:E67)</f>
        <v>0</v>
      </c>
      <c r="F64" s="112">
        <f>SUM(F65:F67)</f>
        <v>0</v>
      </c>
    </row>
    <row r="65" spans="1:6" s="183" customFormat="1" ht="12" customHeight="1" x14ac:dyDescent="0.2">
      <c r="A65" s="12" t="s">
        <v>133</v>
      </c>
      <c r="B65" s="184" t="s">
        <v>236</v>
      </c>
      <c r="C65" s="179">
        <f t="shared" si="0"/>
        <v>0</v>
      </c>
      <c r="D65" s="256"/>
      <c r="E65" s="116"/>
      <c r="F65" s="863"/>
    </row>
    <row r="66" spans="1:6" s="183" customFormat="1" ht="12" customHeight="1" x14ac:dyDescent="0.2">
      <c r="A66" s="11" t="s">
        <v>134</v>
      </c>
      <c r="B66" s="185" t="s">
        <v>359</v>
      </c>
      <c r="C66" s="293">
        <f t="shared" si="0"/>
        <v>0</v>
      </c>
      <c r="D66" s="256"/>
      <c r="E66" s="116"/>
      <c r="F66" s="863"/>
    </row>
    <row r="67" spans="1:6" s="183" customFormat="1" ht="12" customHeight="1" x14ac:dyDescent="0.2">
      <c r="A67" s="11" t="s">
        <v>160</v>
      </c>
      <c r="B67" s="185" t="s">
        <v>237</v>
      </c>
      <c r="C67" s="845">
        <f t="shared" si="0"/>
        <v>0</v>
      </c>
      <c r="D67" s="256"/>
      <c r="E67" s="116"/>
      <c r="F67" s="863"/>
    </row>
    <row r="68" spans="1:6" s="183" customFormat="1" ht="12" customHeight="1" thickBot="1" x14ac:dyDescent="0.25">
      <c r="A68" s="13" t="s">
        <v>235</v>
      </c>
      <c r="B68" s="109" t="s">
        <v>238</v>
      </c>
      <c r="C68" s="849">
        <f t="shared" si="0"/>
        <v>0</v>
      </c>
      <c r="D68" s="256"/>
      <c r="E68" s="116"/>
      <c r="F68" s="863"/>
    </row>
    <row r="69" spans="1:6" s="183" customFormat="1" ht="12" customHeight="1" thickBot="1" x14ac:dyDescent="0.25">
      <c r="A69" s="243" t="s">
        <v>399</v>
      </c>
      <c r="B69" s="18" t="s">
        <v>239</v>
      </c>
      <c r="C69" s="112">
        <f t="shared" si="0"/>
        <v>1072998887</v>
      </c>
      <c r="D69" s="270">
        <f>+D11+D20+D27+D34+D41+D53+D59+D64</f>
        <v>723065468</v>
      </c>
      <c r="E69" s="117">
        <f>+E11+E20+E27+E34+E41+E53+E59+E64</f>
        <v>0</v>
      </c>
      <c r="F69" s="117">
        <f>+F11+F20+F27+F34+F41+F53+F59+F64</f>
        <v>349933419</v>
      </c>
    </row>
    <row r="70" spans="1:6" s="183" customFormat="1" ht="12" customHeight="1" thickBot="1" x14ac:dyDescent="0.25">
      <c r="A70" s="244" t="s">
        <v>240</v>
      </c>
      <c r="B70" s="107" t="s">
        <v>241</v>
      </c>
      <c r="C70" s="112">
        <f t="shared" si="0"/>
        <v>0</v>
      </c>
      <c r="D70" s="267">
        <f>SUM(D71:D73)</f>
        <v>0</v>
      </c>
      <c r="E70" s="112">
        <f>SUM(E71:E73)</f>
        <v>0</v>
      </c>
      <c r="F70" s="257">
        <f>SUM(F71:F73)</f>
        <v>0</v>
      </c>
    </row>
    <row r="71" spans="1:6" s="183" customFormat="1" ht="12" customHeight="1" x14ac:dyDescent="0.2">
      <c r="A71" s="12" t="s">
        <v>272</v>
      </c>
      <c r="B71" s="184" t="s">
        <v>242</v>
      </c>
      <c r="C71" s="179">
        <f t="shared" si="0"/>
        <v>0</v>
      </c>
      <c r="D71" s="256"/>
      <c r="E71" s="116"/>
      <c r="F71" s="863">
        <v>0</v>
      </c>
    </row>
    <row r="72" spans="1:6" s="183" customFormat="1" ht="12" customHeight="1" x14ac:dyDescent="0.2">
      <c r="A72" s="11" t="s">
        <v>281</v>
      </c>
      <c r="B72" s="185" t="s">
        <v>243</v>
      </c>
      <c r="C72" s="293">
        <f t="shared" si="0"/>
        <v>0</v>
      </c>
      <c r="D72" s="256"/>
      <c r="E72" s="116"/>
      <c r="F72" s="863"/>
    </row>
    <row r="73" spans="1:6" s="183" customFormat="1" ht="12" customHeight="1" thickBot="1" x14ac:dyDescent="0.25">
      <c r="A73" s="13" t="s">
        <v>282</v>
      </c>
      <c r="B73" s="245" t="s">
        <v>400</v>
      </c>
      <c r="C73" s="294">
        <f t="shared" si="0"/>
        <v>0</v>
      </c>
      <c r="D73" s="256"/>
      <c r="E73" s="116"/>
      <c r="F73" s="863"/>
    </row>
    <row r="74" spans="1:6" s="183" customFormat="1" ht="12" customHeight="1" thickBot="1" x14ac:dyDescent="0.25">
      <c r="A74" s="244" t="s">
        <v>245</v>
      </c>
      <c r="B74" s="107" t="s">
        <v>246</v>
      </c>
      <c r="C74" s="295">
        <f t="shared" si="0"/>
        <v>0</v>
      </c>
      <c r="D74" s="267">
        <f>SUM(D75:D78)</f>
        <v>0</v>
      </c>
      <c r="E74" s="112">
        <f>SUM(E75:E78)</f>
        <v>0</v>
      </c>
      <c r="F74" s="112">
        <f>SUM(F75:F78)</f>
        <v>0</v>
      </c>
    </row>
    <row r="75" spans="1:6" s="183" customFormat="1" ht="12" customHeight="1" x14ac:dyDescent="0.2">
      <c r="A75" s="12" t="s">
        <v>113</v>
      </c>
      <c r="B75" s="184" t="s">
        <v>247</v>
      </c>
      <c r="C75" s="179">
        <f t="shared" si="0"/>
        <v>0</v>
      </c>
      <c r="D75" s="256"/>
      <c r="E75" s="116"/>
      <c r="F75" s="863"/>
    </row>
    <row r="76" spans="1:6" s="183" customFormat="1" ht="12" customHeight="1" x14ac:dyDescent="0.2">
      <c r="A76" s="11" t="s">
        <v>114</v>
      </c>
      <c r="B76" s="185" t="s">
        <v>807</v>
      </c>
      <c r="C76" s="293">
        <f t="shared" ref="C76:C94" si="1">SUM(D76:F76)</f>
        <v>0</v>
      </c>
      <c r="D76" s="256"/>
      <c r="E76" s="116"/>
      <c r="F76" s="863"/>
    </row>
    <row r="77" spans="1:6" s="183" customFormat="1" ht="12" customHeight="1" x14ac:dyDescent="0.2">
      <c r="A77" s="11" t="s">
        <v>273</v>
      </c>
      <c r="B77" s="185" t="s">
        <v>249</v>
      </c>
      <c r="C77" s="293">
        <f t="shared" si="1"/>
        <v>0</v>
      </c>
      <c r="D77" s="256"/>
      <c r="E77" s="116"/>
      <c r="F77" s="863"/>
    </row>
    <row r="78" spans="1:6" s="183" customFormat="1" ht="12" customHeight="1" thickBot="1" x14ac:dyDescent="0.25">
      <c r="A78" s="13" t="s">
        <v>274</v>
      </c>
      <c r="B78" s="109" t="s">
        <v>808</v>
      </c>
      <c r="C78" s="294">
        <f t="shared" si="1"/>
        <v>0</v>
      </c>
      <c r="D78" s="256"/>
      <c r="E78" s="116"/>
      <c r="F78" s="863"/>
    </row>
    <row r="79" spans="1:6" s="183" customFormat="1" ht="12" customHeight="1" thickBot="1" x14ac:dyDescent="0.25">
      <c r="A79" s="244" t="s">
        <v>251</v>
      </c>
      <c r="B79" s="107" t="s">
        <v>252</v>
      </c>
      <c r="C79" s="112">
        <f t="shared" si="1"/>
        <v>2246442</v>
      </c>
      <c r="D79" s="267">
        <f>SUM(D80:D81)</f>
        <v>0</v>
      </c>
      <c r="E79" s="112">
        <f>SUM(E80:E81)</f>
        <v>0</v>
      </c>
      <c r="F79" s="112">
        <f>SUM(F80:F81)</f>
        <v>2246442</v>
      </c>
    </row>
    <row r="80" spans="1:6" s="183" customFormat="1" ht="12" customHeight="1" x14ac:dyDescent="0.2">
      <c r="A80" s="12" t="s">
        <v>275</v>
      </c>
      <c r="B80" s="184" t="s">
        <v>253</v>
      </c>
      <c r="C80" s="179">
        <f t="shared" si="1"/>
        <v>2246442</v>
      </c>
      <c r="D80" s="256"/>
      <c r="E80" s="116"/>
      <c r="F80" s="863">
        <v>2246442</v>
      </c>
    </row>
    <row r="81" spans="1:6" s="183" customFormat="1" ht="12" customHeight="1" thickBot="1" x14ac:dyDescent="0.25">
      <c r="A81" s="13" t="s">
        <v>276</v>
      </c>
      <c r="B81" s="109" t="s">
        <v>254</v>
      </c>
      <c r="C81" s="294">
        <f t="shared" si="1"/>
        <v>0</v>
      </c>
      <c r="D81" s="256"/>
      <c r="E81" s="116"/>
      <c r="F81" s="863"/>
    </row>
    <row r="82" spans="1:6" s="183" customFormat="1" ht="12" customHeight="1" thickBot="1" x14ac:dyDescent="0.25">
      <c r="A82" s="244" t="s">
        <v>255</v>
      </c>
      <c r="B82" s="107" t="s">
        <v>256</v>
      </c>
      <c r="C82" s="112">
        <f t="shared" si="1"/>
        <v>0</v>
      </c>
      <c r="D82" s="267">
        <f>SUM(D83:D85)</f>
        <v>0</v>
      </c>
      <c r="E82" s="112">
        <f>SUM(E83:E85)</f>
        <v>0</v>
      </c>
      <c r="F82" s="112">
        <f>SUM(F83:F85)</f>
        <v>0</v>
      </c>
    </row>
    <row r="83" spans="1:6" s="183" customFormat="1" ht="12" customHeight="1" x14ac:dyDescent="0.2">
      <c r="A83" s="12" t="s">
        <v>277</v>
      </c>
      <c r="B83" s="184" t="s">
        <v>257</v>
      </c>
      <c r="C83" s="179">
        <f t="shared" si="1"/>
        <v>0</v>
      </c>
      <c r="D83" s="256"/>
      <c r="E83" s="116"/>
      <c r="F83" s="863"/>
    </row>
    <row r="84" spans="1:6" s="183" customFormat="1" ht="12" customHeight="1" x14ac:dyDescent="0.2">
      <c r="A84" s="11" t="s">
        <v>278</v>
      </c>
      <c r="B84" s="185" t="s">
        <v>258</v>
      </c>
      <c r="C84" s="293">
        <f t="shared" si="1"/>
        <v>0</v>
      </c>
      <c r="D84" s="256"/>
      <c r="E84" s="116"/>
      <c r="F84" s="863"/>
    </row>
    <row r="85" spans="1:6" s="183" customFormat="1" ht="12" customHeight="1" thickBot="1" x14ac:dyDescent="0.25">
      <c r="A85" s="13" t="s">
        <v>279</v>
      </c>
      <c r="B85" s="109" t="s">
        <v>809</v>
      </c>
      <c r="C85" s="294">
        <f t="shared" si="1"/>
        <v>0</v>
      </c>
      <c r="D85" s="256"/>
      <c r="E85" s="116"/>
      <c r="F85" s="863"/>
    </row>
    <row r="86" spans="1:6" s="183" customFormat="1" ht="12" customHeight="1" thickBot="1" x14ac:dyDescent="0.25">
      <c r="A86" s="244" t="s">
        <v>260</v>
      </c>
      <c r="B86" s="107" t="s">
        <v>280</v>
      </c>
      <c r="C86" s="112">
        <f t="shared" si="1"/>
        <v>0</v>
      </c>
      <c r="D86" s="267">
        <f>SUM(D87:D90)</f>
        <v>0</v>
      </c>
      <c r="E86" s="112">
        <f>SUM(E87:E90)</f>
        <v>0</v>
      </c>
      <c r="F86" s="112">
        <f>SUM(F87:F90)</f>
        <v>0</v>
      </c>
    </row>
    <row r="87" spans="1:6" s="183" customFormat="1" ht="12" customHeight="1" x14ac:dyDescent="0.2">
      <c r="A87" s="188" t="s">
        <v>261</v>
      </c>
      <c r="B87" s="184" t="s">
        <v>262</v>
      </c>
      <c r="C87" s="179">
        <f t="shared" si="1"/>
        <v>0</v>
      </c>
      <c r="D87" s="256"/>
      <c r="E87" s="116"/>
      <c r="F87" s="863"/>
    </row>
    <row r="88" spans="1:6" s="183" customFormat="1" ht="12" customHeight="1" x14ac:dyDescent="0.2">
      <c r="A88" s="189" t="s">
        <v>263</v>
      </c>
      <c r="B88" s="185" t="s">
        <v>264</v>
      </c>
      <c r="C88" s="293">
        <f t="shared" si="1"/>
        <v>0</v>
      </c>
      <c r="D88" s="256"/>
      <c r="E88" s="116"/>
      <c r="F88" s="863"/>
    </row>
    <row r="89" spans="1:6" s="183" customFormat="1" ht="12" customHeight="1" x14ac:dyDescent="0.2">
      <c r="A89" s="189" t="s">
        <v>265</v>
      </c>
      <c r="B89" s="185" t="s">
        <v>266</v>
      </c>
      <c r="C89" s="293">
        <f t="shared" si="1"/>
        <v>0</v>
      </c>
      <c r="D89" s="256"/>
      <c r="E89" s="116"/>
      <c r="F89" s="863"/>
    </row>
    <row r="90" spans="1:6" s="183" customFormat="1" ht="12" customHeight="1" thickBot="1" x14ac:dyDescent="0.25">
      <c r="A90" s="190" t="s">
        <v>267</v>
      </c>
      <c r="B90" s="109" t="s">
        <v>268</v>
      </c>
      <c r="C90" s="294">
        <f t="shared" si="1"/>
        <v>0</v>
      </c>
      <c r="D90" s="256"/>
      <c r="E90" s="116"/>
      <c r="F90" s="863"/>
    </row>
    <row r="91" spans="1:6" s="183" customFormat="1" ht="12" customHeight="1" thickBot="1" x14ac:dyDescent="0.25">
      <c r="A91" s="244" t="s">
        <v>269</v>
      </c>
      <c r="B91" s="107" t="s">
        <v>401</v>
      </c>
      <c r="C91" s="112">
        <f t="shared" si="1"/>
        <v>0</v>
      </c>
      <c r="D91" s="272"/>
      <c r="E91" s="223"/>
      <c r="F91" s="223"/>
    </row>
    <row r="92" spans="1:6" s="183" customFormat="1" ht="13.5" customHeight="1" thickBot="1" x14ac:dyDescent="0.25">
      <c r="A92" s="244" t="s">
        <v>271</v>
      </c>
      <c r="B92" s="107" t="s">
        <v>270</v>
      </c>
      <c r="C92" s="112">
        <f t="shared" si="1"/>
        <v>0</v>
      </c>
      <c r="D92" s="272"/>
      <c r="E92" s="223"/>
      <c r="F92" s="223"/>
    </row>
    <row r="93" spans="1:6" s="183" customFormat="1" ht="15.75" customHeight="1" thickBot="1" x14ac:dyDescent="0.25">
      <c r="A93" s="244" t="s">
        <v>283</v>
      </c>
      <c r="B93" s="191" t="s">
        <v>402</v>
      </c>
      <c r="C93" s="112">
        <f t="shared" si="1"/>
        <v>2246442</v>
      </c>
      <c r="D93" s="270">
        <f>+D70+D74+D79+D82+D86+D92+D91</f>
        <v>0</v>
      </c>
      <c r="E93" s="117">
        <f>+E70+E74+E79+E82+E86+E92+E91</f>
        <v>0</v>
      </c>
      <c r="F93" s="117">
        <f>+F70+F74+F79+F82+F86+F92+F91</f>
        <v>2246442</v>
      </c>
    </row>
    <row r="94" spans="1:6" s="183" customFormat="1" ht="16.5" customHeight="1" thickBot="1" x14ac:dyDescent="0.25">
      <c r="A94" s="246" t="s">
        <v>403</v>
      </c>
      <c r="B94" s="192" t="s">
        <v>404</v>
      </c>
      <c r="C94" s="112">
        <f t="shared" si="1"/>
        <v>1075245329</v>
      </c>
      <c r="D94" s="270">
        <f>+D69+D93</f>
        <v>723065468</v>
      </c>
      <c r="E94" s="117">
        <f>+E69+E93</f>
        <v>0</v>
      </c>
      <c r="F94" s="117">
        <f>+F69+F93</f>
        <v>352179861</v>
      </c>
    </row>
    <row r="95" spans="1:6" ht="16.5" customHeight="1" x14ac:dyDescent="0.25">
      <c r="A95" s="1435" t="s">
        <v>44</v>
      </c>
      <c r="B95" s="1435"/>
      <c r="C95" s="1435"/>
      <c r="D95" s="813"/>
      <c r="E95" s="813"/>
      <c r="F95" s="813"/>
    </row>
    <row r="96" spans="1:6" s="193" customFormat="1" ht="16.5" customHeight="1" thickBot="1" x14ac:dyDescent="0.3">
      <c r="A96" s="1436" t="s">
        <v>116</v>
      </c>
      <c r="B96" s="1436"/>
      <c r="C96" s="56" t="s">
        <v>494</v>
      </c>
      <c r="D96" s="509"/>
      <c r="E96" s="509"/>
      <c r="F96" s="509"/>
    </row>
    <row r="97" spans="1:8" ht="38.1" customHeight="1" thickBot="1" x14ac:dyDescent="0.3">
      <c r="A97" s="20" t="s">
        <v>64</v>
      </c>
      <c r="B97" s="21" t="s">
        <v>45</v>
      </c>
      <c r="C97" s="29" t="str">
        <f>+C9</f>
        <v>2021. évi előirányzat</v>
      </c>
      <c r="D97" s="813"/>
      <c r="E97" s="813"/>
      <c r="F97" s="813"/>
    </row>
    <row r="98" spans="1:8" s="182" customFormat="1" ht="12" customHeight="1" thickBot="1" x14ac:dyDescent="0.25">
      <c r="A98" s="25" t="s">
        <v>391</v>
      </c>
      <c r="B98" s="26" t="s">
        <v>392</v>
      </c>
      <c r="C98" s="27" t="s">
        <v>393</v>
      </c>
    </row>
    <row r="99" spans="1:8" ht="12" customHeight="1" thickBot="1" x14ac:dyDescent="0.3">
      <c r="A99" s="19" t="s">
        <v>16</v>
      </c>
      <c r="B99" s="23" t="s">
        <v>442</v>
      </c>
      <c r="C99" s="112">
        <f t="shared" ref="C99:C160" si="2">SUM(D99:F99)</f>
        <v>936516681</v>
      </c>
      <c r="D99" s="275">
        <f>+D100+D101+D102+D103+D104+D117</f>
        <v>175237276</v>
      </c>
      <c r="E99" s="111">
        <f>+E100+E101+E102+E103+E104+E117</f>
        <v>108914</v>
      </c>
      <c r="F99" s="112">
        <f>F100+F101+F102+F103+F104+F117</f>
        <v>761170491</v>
      </c>
    </row>
    <row r="100" spans="1:8" ht="12" customHeight="1" x14ac:dyDescent="0.25">
      <c r="A100" s="14" t="s">
        <v>86</v>
      </c>
      <c r="B100" s="7" t="s">
        <v>46</v>
      </c>
      <c r="C100" s="289">
        <f t="shared" si="2"/>
        <v>501347444</v>
      </c>
      <c r="D100" s="867">
        <f>3533503-10221506+18784340+13413827+1769220+3049440</f>
        <v>30328824</v>
      </c>
      <c r="E100" s="261"/>
      <c r="F100" s="261">
        <f>465000+470553620</f>
        <v>471018620</v>
      </c>
    </row>
    <row r="101" spans="1:8" ht="12" customHeight="1" x14ac:dyDescent="0.25">
      <c r="A101" s="11" t="s">
        <v>87</v>
      </c>
      <c r="B101" s="5" t="s">
        <v>135</v>
      </c>
      <c r="C101" s="290">
        <f t="shared" si="2"/>
        <v>85386730</v>
      </c>
      <c r="D101" s="864">
        <f>1615069-1567191+281775+2068831+345585+820163</f>
        <v>3564232</v>
      </c>
      <c r="E101" s="863">
        <v>7314</v>
      </c>
      <c r="F101" s="863">
        <f>125550+81689634</f>
        <v>81815184</v>
      </c>
      <c r="H101" s="813"/>
    </row>
    <row r="102" spans="1:8" ht="12" customHeight="1" x14ac:dyDescent="0.25">
      <c r="A102" s="11" t="s">
        <v>88</v>
      </c>
      <c r="B102" s="5" t="s">
        <v>111</v>
      </c>
      <c r="C102" s="845">
        <f t="shared" si="2"/>
        <v>331529214</v>
      </c>
      <c r="D102" s="865">
        <f>91462720-1501444+8886325+96499+300000+24836715-4262916+600000+2673028</f>
        <v>123090927</v>
      </c>
      <c r="E102" s="173">
        <v>101600</v>
      </c>
      <c r="F102" s="863">
        <f>12096533+196240154</f>
        <v>208336687</v>
      </c>
    </row>
    <row r="103" spans="1:8" ht="12" customHeight="1" x14ac:dyDescent="0.25">
      <c r="A103" s="11" t="s">
        <v>89</v>
      </c>
      <c r="B103" s="5" t="s">
        <v>136</v>
      </c>
      <c r="C103" s="290">
        <f t="shared" si="2"/>
        <v>0</v>
      </c>
      <c r="D103" s="865"/>
      <c r="E103" s="173"/>
      <c r="F103" s="863"/>
    </row>
    <row r="104" spans="1:8" ht="12" customHeight="1" x14ac:dyDescent="0.25">
      <c r="A104" s="11" t="s">
        <v>100</v>
      </c>
      <c r="B104" s="4" t="s">
        <v>137</v>
      </c>
      <c r="C104" s="293">
        <f t="shared" si="2"/>
        <v>18253293</v>
      </c>
      <c r="D104" s="865">
        <f>SUM(D105:D116)</f>
        <v>18253293</v>
      </c>
      <c r="E104" s="865">
        <f>SUM(E105:E116)</f>
        <v>0</v>
      </c>
      <c r="F104" s="865">
        <f>SUM(F105:F116)</f>
        <v>0</v>
      </c>
    </row>
    <row r="105" spans="1:8" ht="12" customHeight="1" x14ac:dyDescent="0.25">
      <c r="A105" s="11" t="s">
        <v>90</v>
      </c>
      <c r="B105" s="5" t="s">
        <v>405</v>
      </c>
      <c r="C105" s="293">
        <f t="shared" si="2"/>
        <v>0</v>
      </c>
      <c r="D105" s="865"/>
      <c r="E105" s="173"/>
      <c r="F105" s="173"/>
    </row>
    <row r="106" spans="1:8" ht="12" customHeight="1" x14ac:dyDescent="0.25">
      <c r="A106" s="11" t="s">
        <v>91</v>
      </c>
      <c r="B106" s="60" t="s">
        <v>406</v>
      </c>
      <c r="C106" s="293">
        <f t="shared" si="2"/>
        <v>0</v>
      </c>
      <c r="D106" s="865"/>
      <c r="E106" s="173"/>
      <c r="F106" s="173"/>
    </row>
    <row r="107" spans="1:8" ht="12" customHeight="1" x14ac:dyDescent="0.25">
      <c r="A107" s="11" t="s">
        <v>101</v>
      </c>
      <c r="B107" s="60" t="s">
        <v>407</v>
      </c>
      <c r="C107" s="293">
        <f t="shared" si="2"/>
        <v>0</v>
      </c>
      <c r="D107" s="865"/>
      <c r="E107" s="173"/>
      <c r="F107" s="173"/>
    </row>
    <row r="108" spans="1:8" ht="12" customHeight="1" x14ac:dyDescent="0.25">
      <c r="A108" s="11" t="s">
        <v>102</v>
      </c>
      <c r="B108" s="58" t="s">
        <v>286</v>
      </c>
      <c r="C108" s="293">
        <f t="shared" si="2"/>
        <v>0</v>
      </c>
      <c r="D108" s="865"/>
      <c r="E108" s="173"/>
      <c r="F108" s="173"/>
    </row>
    <row r="109" spans="1:8" ht="12" customHeight="1" x14ac:dyDescent="0.25">
      <c r="A109" s="11" t="s">
        <v>103</v>
      </c>
      <c r="B109" s="59" t="s">
        <v>287</v>
      </c>
      <c r="C109" s="293">
        <f t="shared" si="2"/>
        <v>0</v>
      </c>
      <c r="D109" s="865"/>
      <c r="E109" s="173"/>
      <c r="F109" s="173"/>
    </row>
    <row r="110" spans="1:8" ht="12" customHeight="1" x14ac:dyDescent="0.25">
      <c r="A110" s="11" t="s">
        <v>104</v>
      </c>
      <c r="B110" s="59" t="s">
        <v>288</v>
      </c>
      <c r="C110" s="293">
        <f t="shared" si="2"/>
        <v>0</v>
      </c>
      <c r="D110" s="865"/>
      <c r="E110" s="173"/>
      <c r="F110" s="173"/>
    </row>
    <row r="111" spans="1:8" ht="12" customHeight="1" x14ac:dyDescent="0.25">
      <c r="A111" s="11" t="s">
        <v>106</v>
      </c>
      <c r="B111" s="58" t="s">
        <v>289</v>
      </c>
      <c r="C111" s="293">
        <f t="shared" si="2"/>
        <v>0</v>
      </c>
      <c r="D111" s="865"/>
      <c r="E111" s="173"/>
      <c r="F111" s="173"/>
    </row>
    <row r="112" spans="1:8" ht="12" customHeight="1" x14ac:dyDescent="0.25">
      <c r="A112" s="11" t="s">
        <v>138</v>
      </c>
      <c r="B112" s="58" t="s">
        <v>290</v>
      </c>
      <c r="C112" s="293">
        <f t="shared" si="2"/>
        <v>0</v>
      </c>
      <c r="D112" s="865"/>
      <c r="E112" s="173"/>
      <c r="F112" s="173"/>
    </row>
    <row r="113" spans="1:6" ht="12" customHeight="1" x14ac:dyDescent="0.25">
      <c r="A113" s="11" t="s">
        <v>284</v>
      </c>
      <c r="B113" s="59" t="s">
        <v>291</v>
      </c>
      <c r="C113" s="293">
        <f t="shared" si="2"/>
        <v>0</v>
      </c>
      <c r="D113" s="865"/>
      <c r="E113" s="173"/>
      <c r="F113" s="173"/>
    </row>
    <row r="114" spans="1:6" ht="12" customHeight="1" x14ac:dyDescent="0.25">
      <c r="A114" s="10" t="s">
        <v>285</v>
      </c>
      <c r="B114" s="60" t="s">
        <v>292</v>
      </c>
      <c r="C114" s="293">
        <f t="shared" si="2"/>
        <v>0</v>
      </c>
      <c r="D114" s="865"/>
      <c r="E114" s="173"/>
      <c r="F114" s="173"/>
    </row>
    <row r="115" spans="1:6" ht="12" customHeight="1" x14ac:dyDescent="0.25">
      <c r="A115" s="11" t="s">
        <v>408</v>
      </c>
      <c r="B115" s="60" t="s">
        <v>293</v>
      </c>
      <c r="C115" s="293">
        <f t="shared" si="2"/>
        <v>0</v>
      </c>
      <c r="D115" s="865"/>
      <c r="E115" s="173"/>
      <c r="F115" s="173"/>
    </row>
    <row r="116" spans="1:6" ht="12" customHeight="1" x14ac:dyDescent="0.25">
      <c r="A116" s="13" t="s">
        <v>409</v>
      </c>
      <c r="B116" s="60" t="s">
        <v>294</v>
      </c>
      <c r="C116" s="290">
        <f t="shared" si="2"/>
        <v>18253293</v>
      </c>
      <c r="D116" s="864">
        <f>8000000+12062478-1809185</f>
        <v>18253293</v>
      </c>
      <c r="E116" s="863"/>
      <c r="F116" s="264"/>
    </row>
    <row r="117" spans="1:6" ht="12" customHeight="1" x14ac:dyDescent="0.25">
      <c r="A117" s="11" t="s">
        <v>410</v>
      </c>
      <c r="B117" s="5" t="s">
        <v>47</v>
      </c>
      <c r="C117" s="293">
        <f t="shared" si="2"/>
        <v>0</v>
      </c>
      <c r="D117" s="101"/>
      <c r="E117" s="863"/>
      <c r="F117" s="113"/>
    </row>
    <row r="118" spans="1:6" ht="12" customHeight="1" x14ac:dyDescent="0.25">
      <c r="A118" s="11" t="s">
        <v>411</v>
      </c>
      <c r="B118" s="5" t="s">
        <v>412</v>
      </c>
      <c r="C118" s="293">
        <f t="shared" si="2"/>
        <v>0</v>
      </c>
      <c r="D118" s="102"/>
      <c r="E118" s="173"/>
      <c r="F118" s="113"/>
    </row>
    <row r="119" spans="1:6" ht="12" customHeight="1" thickBot="1" x14ac:dyDescent="0.3">
      <c r="A119" s="15" t="s">
        <v>413</v>
      </c>
      <c r="B119" s="247" t="s">
        <v>414</v>
      </c>
      <c r="C119" s="293">
        <f t="shared" si="2"/>
        <v>0</v>
      </c>
      <c r="D119" s="276"/>
      <c r="E119" s="265"/>
      <c r="F119" s="119"/>
    </row>
    <row r="120" spans="1:6" ht="12" customHeight="1" thickBot="1" x14ac:dyDescent="0.3">
      <c r="A120" s="248" t="s">
        <v>17</v>
      </c>
      <c r="B120" s="249" t="s">
        <v>295</v>
      </c>
      <c r="C120" s="112">
        <f t="shared" si="2"/>
        <v>278082759</v>
      </c>
      <c r="D120" s="267">
        <f>+D121+D123+D125</f>
        <v>207124011</v>
      </c>
      <c r="E120" s="112">
        <f>+E121+E123+E125</f>
        <v>0</v>
      </c>
      <c r="F120" s="250">
        <f>+F121+F123+F125</f>
        <v>70958748</v>
      </c>
    </row>
    <row r="121" spans="1:6" ht="12" customHeight="1" x14ac:dyDescent="0.25">
      <c r="A121" s="12" t="s">
        <v>92</v>
      </c>
      <c r="B121" s="5" t="s">
        <v>159</v>
      </c>
      <c r="C121" s="1176">
        <f t="shared" si="2"/>
        <v>226582037</v>
      </c>
      <c r="D121" s="866">
        <f>97836015+18062206+1809000+38482476+553314+381000</f>
        <v>157124011</v>
      </c>
      <c r="E121" s="222"/>
      <c r="F121" s="222">
        <f>54931845+14526181</f>
        <v>69458026</v>
      </c>
    </row>
    <row r="122" spans="1:6" ht="12" customHeight="1" x14ac:dyDescent="0.25">
      <c r="A122" s="12" t="s">
        <v>93</v>
      </c>
      <c r="B122" s="9" t="s">
        <v>299</v>
      </c>
      <c r="C122" s="290">
        <f t="shared" si="2"/>
        <v>0</v>
      </c>
      <c r="D122" s="866"/>
      <c r="E122" s="222"/>
      <c r="F122" s="222"/>
    </row>
    <row r="123" spans="1:6" ht="12" customHeight="1" x14ac:dyDescent="0.25">
      <c r="A123" s="12" t="s">
        <v>94</v>
      </c>
      <c r="B123" s="9" t="s">
        <v>139</v>
      </c>
      <c r="C123" s="290">
        <f t="shared" si="2"/>
        <v>51500722</v>
      </c>
      <c r="D123" s="101">
        <v>50000000</v>
      </c>
      <c r="E123" s="863"/>
      <c r="F123" s="863">
        <v>1500722</v>
      </c>
    </row>
    <row r="124" spans="1:6" ht="12" customHeight="1" x14ac:dyDescent="0.25">
      <c r="A124" s="12" t="s">
        <v>95</v>
      </c>
      <c r="B124" s="9" t="s">
        <v>300</v>
      </c>
      <c r="C124" s="293">
        <f t="shared" si="2"/>
        <v>0</v>
      </c>
      <c r="D124" s="101"/>
      <c r="E124" s="508"/>
      <c r="F124" s="864"/>
    </row>
    <row r="125" spans="1:6" ht="12" customHeight="1" x14ac:dyDescent="0.25">
      <c r="A125" s="12" t="s">
        <v>96</v>
      </c>
      <c r="B125" s="109" t="s">
        <v>161</v>
      </c>
      <c r="C125" s="101">
        <f>SUM(C126:C133)</f>
        <v>0</v>
      </c>
      <c r="D125" s="864"/>
      <c r="E125" s="864"/>
      <c r="F125" s="864"/>
    </row>
    <row r="126" spans="1:6" ht="12" customHeight="1" x14ac:dyDescent="0.25">
      <c r="A126" s="12" t="s">
        <v>105</v>
      </c>
      <c r="B126" s="108" t="s">
        <v>360</v>
      </c>
      <c r="C126" s="293">
        <f t="shared" si="2"/>
        <v>0</v>
      </c>
      <c r="D126" s="864"/>
      <c r="E126" s="101"/>
      <c r="F126" s="101"/>
    </row>
    <row r="127" spans="1:6" ht="12" customHeight="1" x14ac:dyDescent="0.25">
      <c r="A127" s="12" t="s">
        <v>107</v>
      </c>
      <c r="B127" s="180" t="s">
        <v>305</v>
      </c>
      <c r="C127" s="293">
        <f t="shared" si="2"/>
        <v>0</v>
      </c>
      <c r="D127" s="864"/>
      <c r="E127" s="101"/>
      <c r="F127" s="101"/>
    </row>
    <row r="128" spans="1:6" x14ac:dyDescent="0.25">
      <c r="A128" s="12" t="s">
        <v>140</v>
      </c>
      <c r="B128" s="59" t="s">
        <v>288</v>
      </c>
      <c r="C128" s="293">
        <f t="shared" si="2"/>
        <v>0</v>
      </c>
      <c r="D128" s="864"/>
      <c r="E128" s="101"/>
      <c r="F128" s="101"/>
    </row>
    <row r="129" spans="1:6" ht="12" customHeight="1" x14ac:dyDescent="0.25">
      <c r="A129" s="12" t="s">
        <v>141</v>
      </c>
      <c r="B129" s="59" t="s">
        <v>304</v>
      </c>
      <c r="C129" s="293">
        <f t="shared" si="2"/>
        <v>0</v>
      </c>
      <c r="D129" s="864"/>
      <c r="E129" s="101"/>
      <c r="F129" s="101"/>
    </row>
    <row r="130" spans="1:6" ht="12" customHeight="1" x14ac:dyDescent="0.25">
      <c r="A130" s="12" t="s">
        <v>142</v>
      </c>
      <c r="B130" s="59" t="s">
        <v>303</v>
      </c>
      <c r="C130" s="293">
        <f t="shared" si="2"/>
        <v>0</v>
      </c>
      <c r="D130" s="864"/>
      <c r="E130" s="101"/>
      <c r="F130" s="101"/>
    </row>
    <row r="131" spans="1:6" ht="12" customHeight="1" x14ac:dyDescent="0.25">
      <c r="A131" s="12" t="s">
        <v>296</v>
      </c>
      <c r="B131" s="59" t="s">
        <v>291</v>
      </c>
      <c r="C131" s="293">
        <f t="shared" si="2"/>
        <v>0</v>
      </c>
      <c r="D131" s="864"/>
      <c r="E131" s="101"/>
      <c r="F131" s="101"/>
    </row>
    <row r="132" spans="1:6" ht="12" customHeight="1" x14ac:dyDescent="0.25">
      <c r="A132" s="12" t="s">
        <v>297</v>
      </c>
      <c r="B132" s="59" t="s">
        <v>302</v>
      </c>
      <c r="C132" s="293">
        <f t="shared" si="2"/>
        <v>0</v>
      </c>
      <c r="D132" s="864"/>
      <c r="E132" s="101"/>
      <c r="F132" s="101"/>
    </row>
    <row r="133" spans="1:6" ht="16.5" thickBot="1" x14ac:dyDescent="0.3">
      <c r="A133" s="10" t="s">
        <v>298</v>
      </c>
      <c r="B133" s="59" t="s">
        <v>301</v>
      </c>
      <c r="C133" s="294">
        <f t="shared" si="2"/>
        <v>0</v>
      </c>
      <c r="D133" s="865"/>
      <c r="E133" s="865"/>
      <c r="F133" s="865"/>
    </row>
    <row r="134" spans="1:6" ht="12" customHeight="1" thickBot="1" x14ac:dyDescent="0.3">
      <c r="A134" s="17" t="s">
        <v>18</v>
      </c>
      <c r="B134" s="54" t="s">
        <v>415</v>
      </c>
      <c r="C134" s="112">
        <f t="shared" si="2"/>
        <v>1214599440</v>
      </c>
      <c r="D134" s="267">
        <f>+D99+D120</f>
        <v>382361287</v>
      </c>
      <c r="E134" s="112">
        <f>+E99+E120</f>
        <v>108914</v>
      </c>
      <c r="F134" s="112">
        <f>+F99+F120</f>
        <v>832129239</v>
      </c>
    </row>
    <row r="135" spans="1:6" ht="12" customHeight="1" thickBot="1" x14ac:dyDescent="0.3">
      <c r="A135" s="17" t="s">
        <v>19</v>
      </c>
      <c r="B135" s="54" t="s">
        <v>416</v>
      </c>
      <c r="C135" s="112">
        <f t="shared" si="2"/>
        <v>1668000</v>
      </c>
      <c r="D135" s="267">
        <f>+D136+D137+D138</f>
        <v>1668000</v>
      </c>
      <c r="E135" s="112">
        <f>+E136+E137+E138</f>
        <v>0</v>
      </c>
      <c r="F135" s="112">
        <f>+F136+F137+F138</f>
        <v>0</v>
      </c>
    </row>
    <row r="136" spans="1:6" ht="12" customHeight="1" x14ac:dyDescent="0.25">
      <c r="A136" s="12" t="s">
        <v>197</v>
      </c>
      <c r="B136" s="9" t="s">
        <v>417</v>
      </c>
      <c r="C136" s="179">
        <f t="shared" si="2"/>
        <v>1668000</v>
      </c>
      <c r="D136" s="864">
        <v>1668000</v>
      </c>
      <c r="E136" s="864"/>
      <c r="F136" s="864"/>
    </row>
    <row r="137" spans="1:6" ht="12" customHeight="1" x14ac:dyDescent="0.25">
      <c r="A137" s="12" t="s">
        <v>200</v>
      </c>
      <c r="B137" s="9" t="s">
        <v>418</v>
      </c>
      <c r="C137" s="293">
        <f t="shared" si="2"/>
        <v>0</v>
      </c>
      <c r="D137" s="101"/>
      <c r="E137" s="101"/>
      <c r="F137" s="101"/>
    </row>
    <row r="138" spans="1:6" ht="12" customHeight="1" thickBot="1" x14ac:dyDescent="0.3">
      <c r="A138" s="10" t="s">
        <v>201</v>
      </c>
      <c r="B138" s="9" t="s">
        <v>419</v>
      </c>
      <c r="C138" s="294">
        <f t="shared" si="2"/>
        <v>0</v>
      </c>
      <c r="D138" s="101"/>
      <c r="E138" s="101"/>
      <c r="F138" s="101"/>
    </row>
    <row r="139" spans="1:6" ht="12" customHeight="1" thickBot="1" x14ac:dyDescent="0.3">
      <c r="A139" s="17" t="s">
        <v>20</v>
      </c>
      <c r="B139" s="54" t="s">
        <v>420</v>
      </c>
      <c r="C139" s="295">
        <f t="shared" si="2"/>
        <v>0</v>
      </c>
      <c r="D139" s="267">
        <f>+D140+D141+D142+D143+D144+D145</f>
        <v>0</v>
      </c>
      <c r="E139" s="112">
        <f>+E140+E141+E142+E143+E144+E145</f>
        <v>0</v>
      </c>
      <c r="F139" s="112">
        <f>SUM(F140:F145)</f>
        <v>0</v>
      </c>
    </row>
    <row r="140" spans="1:6" ht="12" customHeight="1" x14ac:dyDescent="0.25">
      <c r="A140" s="12" t="s">
        <v>79</v>
      </c>
      <c r="B140" s="6" t="s">
        <v>421</v>
      </c>
      <c r="C140" s="179">
        <f t="shared" si="2"/>
        <v>0</v>
      </c>
      <c r="D140" s="101"/>
      <c r="E140" s="101"/>
      <c r="F140" s="101"/>
    </row>
    <row r="141" spans="1:6" ht="12" customHeight="1" x14ac:dyDescent="0.25">
      <c r="A141" s="12" t="s">
        <v>80</v>
      </c>
      <c r="B141" s="6" t="s">
        <v>422</v>
      </c>
      <c r="C141" s="293">
        <f t="shared" si="2"/>
        <v>0</v>
      </c>
      <c r="D141" s="101"/>
      <c r="E141" s="101"/>
      <c r="F141" s="101"/>
    </row>
    <row r="142" spans="1:6" ht="12" customHeight="1" x14ac:dyDescent="0.25">
      <c r="A142" s="12" t="s">
        <v>81</v>
      </c>
      <c r="B142" s="6" t="s">
        <v>423</v>
      </c>
      <c r="C142" s="293">
        <f t="shared" si="2"/>
        <v>0</v>
      </c>
      <c r="D142" s="101"/>
      <c r="E142" s="101"/>
      <c r="F142" s="101"/>
    </row>
    <row r="143" spans="1:6" ht="12" customHeight="1" x14ac:dyDescent="0.25">
      <c r="A143" s="12" t="s">
        <v>127</v>
      </c>
      <c r="B143" s="6" t="s">
        <v>424</v>
      </c>
      <c r="C143" s="293">
        <f t="shared" si="2"/>
        <v>0</v>
      </c>
      <c r="D143" s="101"/>
      <c r="E143" s="101"/>
      <c r="F143" s="101"/>
    </row>
    <row r="144" spans="1:6" ht="12" customHeight="1" x14ac:dyDescent="0.25">
      <c r="A144" s="12" t="s">
        <v>128</v>
      </c>
      <c r="B144" s="6" t="s">
        <v>425</v>
      </c>
      <c r="C144" s="293">
        <f t="shared" si="2"/>
        <v>0</v>
      </c>
      <c r="D144" s="101"/>
      <c r="E144" s="101"/>
      <c r="F144" s="101"/>
    </row>
    <row r="145" spans="1:9" ht="12" customHeight="1" thickBot="1" x14ac:dyDescent="0.3">
      <c r="A145" s="10" t="s">
        <v>129</v>
      </c>
      <c r="B145" s="6" t="s">
        <v>426</v>
      </c>
      <c r="C145" s="294">
        <f t="shared" si="2"/>
        <v>0</v>
      </c>
      <c r="D145" s="101"/>
      <c r="E145" s="101"/>
      <c r="F145" s="101"/>
    </row>
    <row r="146" spans="1:9" ht="12" customHeight="1" thickBot="1" x14ac:dyDescent="0.3">
      <c r="A146" s="17" t="s">
        <v>21</v>
      </c>
      <c r="B146" s="54" t="s">
        <v>427</v>
      </c>
      <c r="C146" s="112">
        <f t="shared" si="2"/>
        <v>0</v>
      </c>
      <c r="D146" s="270">
        <f>+D147+D148+D149+D150</f>
        <v>0</v>
      </c>
      <c r="E146" s="117">
        <f>+E147+E148+E149+E150</f>
        <v>0</v>
      </c>
      <c r="F146" s="117">
        <f>+F147+F148+F149+F150</f>
        <v>0</v>
      </c>
    </row>
    <row r="147" spans="1:9" ht="12" customHeight="1" x14ac:dyDescent="0.25">
      <c r="A147" s="12" t="s">
        <v>82</v>
      </c>
      <c r="B147" s="6" t="s">
        <v>306</v>
      </c>
      <c r="C147" s="179">
        <f t="shared" si="2"/>
        <v>0</v>
      </c>
      <c r="D147" s="101"/>
      <c r="E147" s="101"/>
      <c r="F147" s="101"/>
    </row>
    <row r="148" spans="1:9" ht="12" customHeight="1" x14ac:dyDescent="0.25">
      <c r="A148" s="12" t="s">
        <v>83</v>
      </c>
      <c r="B148" s="6" t="s">
        <v>307</v>
      </c>
      <c r="C148" s="293">
        <f t="shared" si="2"/>
        <v>0</v>
      </c>
      <c r="D148" s="101"/>
      <c r="E148" s="101"/>
      <c r="F148" s="101"/>
    </row>
    <row r="149" spans="1:9" ht="12" customHeight="1" x14ac:dyDescent="0.25">
      <c r="A149" s="12" t="s">
        <v>220</v>
      </c>
      <c r="B149" s="6" t="s">
        <v>428</v>
      </c>
      <c r="C149" s="293">
        <f t="shared" si="2"/>
        <v>0</v>
      </c>
      <c r="D149" s="101"/>
      <c r="E149" s="101"/>
      <c r="F149" s="101"/>
    </row>
    <row r="150" spans="1:9" ht="12" customHeight="1" thickBot="1" x14ac:dyDescent="0.3">
      <c r="A150" s="10" t="s">
        <v>221</v>
      </c>
      <c r="B150" s="4" t="s">
        <v>325</v>
      </c>
      <c r="C150" s="294">
        <f t="shared" si="2"/>
        <v>0</v>
      </c>
      <c r="D150" s="101"/>
      <c r="E150" s="101"/>
      <c r="F150" s="101"/>
    </row>
    <row r="151" spans="1:9" ht="12" customHeight="1" thickBot="1" x14ac:dyDescent="0.3">
      <c r="A151" s="17" t="s">
        <v>22</v>
      </c>
      <c r="B151" s="54" t="s">
        <v>429</v>
      </c>
      <c r="C151" s="112">
        <f t="shared" si="2"/>
        <v>0</v>
      </c>
      <c r="D151" s="277">
        <f>+D152+D153+D154+D155+D156</f>
        <v>0</v>
      </c>
      <c r="E151" s="120">
        <f>+E152+E153+E154+E155+E156</f>
        <v>0</v>
      </c>
      <c r="F151" s="1133">
        <f>SUM(F152:F156)</f>
        <v>0</v>
      </c>
    </row>
    <row r="152" spans="1:9" ht="12" customHeight="1" x14ac:dyDescent="0.25">
      <c r="A152" s="12" t="s">
        <v>84</v>
      </c>
      <c r="B152" s="6" t="s">
        <v>430</v>
      </c>
      <c r="C152" s="179">
        <f t="shared" si="2"/>
        <v>0</v>
      </c>
      <c r="D152" s="101"/>
      <c r="E152" s="101"/>
      <c r="F152" s="101"/>
    </row>
    <row r="153" spans="1:9" ht="12" customHeight="1" x14ac:dyDescent="0.25">
      <c r="A153" s="12" t="s">
        <v>85</v>
      </c>
      <c r="B153" s="6" t="s">
        <v>431</v>
      </c>
      <c r="C153" s="293">
        <f t="shared" si="2"/>
        <v>0</v>
      </c>
      <c r="D153" s="101"/>
      <c r="E153" s="101"/>
      <c r="F153" s="101"/>
    </row>
    <row r="154" spans="1:9" ht="12" customHeight="1" x14ac:dyDescent="0.25">
      <c r="A154" s="12" t="s">
        <v>232</v>
      </c>
      <c r="B154" s="6" t="s">
        <v>432</v>
      </c>
      <c r="C154" s="293">
        <f t="shared" si="2"/>
        <v>0</v>
      </c>
      <c r="D154" s="101"/>
      <c r="E154" s="101"/>
      <c r="F154" s="101"/>
    </row>
    <row r="155" spans="1:9" ht="12" customHeight="1" x14ac:dyDescent="0.25">
      <c r="A155" s="12" t="s">
        <v>233</v>
      </c>
      <c r="B155" s="6" t="s">
        <v>433</v>
      </c>
      <c r="C155" s="293">
        <f t="shared" si="2"/>
        <v>0</v>
      </c>
      <c r="D155" s="101"/>
      <c r="E155" s="101"/>
      <c r="F155" s="101"/>
    </row>
    <row r="156" spans="1:9" ht="12" customHeight="1" thickBot="1" x14ac:dyDescent="0.3">
      <c r="A156" s="12" t="s">
        <v>434</v>
      </c>
      <c r="B156" s="6" t="s">
        <v>435</v>
      </c>
      <c r="C156" s="294">
        <f t="shared" si="2"/>
        <v>0</v>
      </c>
      <c r="D156" s="102"/>
      <c r="E156" s="102"/>
      <c r="F156" s="101"/>
    </row>
    <row r="157" spans="1:9" ht="12" customHeight="1" thickBot="1" x14ac:dyDescent="0.3">
      <c r="A157" s="17" t="s">
        <v>23</v>
      </c>
      <c r="B157" s="54" t="s">
        <v>436</v>
      </c>
      <c r="C157" s="112">
        <f t="shared" si="2"/>
        <v>0</v>
      </c>
      <c r="D157" s="277"/>
      <c r="E157" s="120"/>
      <c r="F157" s="1134"/>
    </row>
    <row r="158" spans="1:9" ht="12" customHeight="1" thickBot="1" x14ac:dyDescent="0.3">
      <c r="A158" s="17" t="s">
        <v>24</v>
      </c>
      <c r="B158" s="54" t="s">
        <v>437</v>
      </c>
      <c r="C158" s="112">
        <f t="shared" si="2"/>
        <v>0</v>
      </c>
      <c r="D158" s="277"/>
      <c r="E158" s="120"/>
      <c r="F158" s="1134"/>
    </row>
    <row r="159" spans="1:9" ht="15" customHeight="1" thickBot="1" x14ac:dyDescent="0.3">
      <c r="A159" s="17" t="s">
        <v>25</v>
      </c>
      <c r="B159" s="54" t="s">
        <v>438</v>
      </c>
      <c r="C159" s="112">
        <f t="shared" si="2"/>
        <v>1668000</v>
      </c>
      <c r="D159" s="278">
        <f>+D135+D139+D146+D151+D157+D158</f>
        <v>1668000</v>
      </c>
      <c r="E159" s="194">
        <f>+E135+E139+E146+E151+E157+E158</f>
        <v>0</v>
      </c>
      <c r="F159" s="1135">
        <f>+F135+F139+F146+F151+F157+F158</f>
        <v>0</v>
      </c>
      <c r="G159" s="195"/>
      <c r="H159" s="195"/>
      <c r="I159" s="195"/>
    </row>
    <row r="160" spans="1:9" s="183" customFormat="1" ht="12.95" customHeight="1" thickBot="1" x14ac:dyDescent="0.25">
      <c r="A160" s="110" t="s">
        <v>26</v>
      </c>
      <c r="B160" s="169" t="s">
        <v>439</v>
      </c>
      <c r="C160" s="112">
        <f t="shared" si="2"/>
        <v>1216267440</v>
      </c>
      <c r="D160" s="278">
        <f>+D134+D159</f>
        <v>384029287</v>
      </c>
      <c r="E160" s="194">
        <f>+E134+E159</f>
        <v>108914</v>
      </c>
      <c r="F160" s="1135">
        <f>+F134+F159</f>
        <v>832129239</v>
      </c>
    </row>
    <row r="161" spans="1:4" x14ac:dyDescent="0.25">
      <c r="A161" s="1431" t="s">
        <v>308</v>
      </c>
      <c r="B161" s="1431"/>
      <c r="C161" s="1431"/>
    </row>
    <row r="162" spans="1:4" ht="15" customHeight="1" thickBot="1" x14ac:dyDescent="0.3">
      <c r="A162" s="1434" t="s">
        <v>117</v>
      </c>
      <c r="B162" s="1434"/>
      <c r="C162" s="121" t="s">
        <v>494</v>
      </c>
    </row>
    <row r="163" spans="1:4" ht="13.5" customHeight="1" thickBot="1" x14ac:dyDescent="0.3">
      <c r="A163" s="17">
        <v>1</v>
      </c>
      <c r="B163" s="22" t="s">
        <v>440</v>
      </c>
      <c r="C163" s="112">
        <f>+C69-C134</f>
        <v>-141600553</v>
      </c>
    </row>
    <row r="164" spans="1:4" ht="21.75" thickBot="1" x14ac:dyDescent="0.3">
      <c r="A164" s="17" t="s">
        <v>17</v>
      </c>
      <c r="B164" s="22" t="s">
        <v>763</v>
      </c>
      <c r="C164" s="112">
        <f>+C93-C159</f>
        <v>578442</v>
      </c>
    </row>
    <row r="167" spans="1:4" x14ac:dyDescent="0.25">
      <c r="D167" s="195"/>
    </row>
  </sheetData>
  <mergeCells count="10">
    <mergeCell ref="A1:C1"/>
    <mergeCell ref="A3:C3"/>
    <mergeCell ref="A4:C4"/>
    <mergeCell ref="A5:C5"/>
    <mergeCell ref="A162:B162"/>
    <mergeCell ref="A7:C7"/>
    <mergeCell ref="A8:B8"/>
    <mergeCell ref="A95:C95"/>
    <mergeCell ref="A96:B96"/>
    <mergeCell ref="A161:C161"/>
  </mergeCells>
  <printOptions horizontalCentered="1"/>
  <pageMargins left="0.6692913385826772" right="0.6692913385826772" top="0.86614173228346458" bottom="0.86614173228346458" header="0" footer="0"/>
  <pageSetup paperSize="9" scale="76" orientation="portrait" r:id="rId1"/>
  <headerFooter alignWithMargins="0"/>
  <rowBreaks count="2" manualBreakCount="2">
    <brk id="73" max="2" man="1"/>
    <brk id="94" max="2" man="1"/>
  </rowBreaks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39"/>
  <dimension ref="A1:E58"/>
  <sheetViews>
    <sheetView zoomScale="145" zoomScaleNormal="145" workbookViewId="0">
      <selection activeCell="C18" sqref="C18"/>
    </sheetView>
  </sheetViews>
  <sheetFormatPr defaultRowHeight="12.75" x14ac:dyDescent="0.2"/>
  <cols>
    <col min="1" max="1" width="13.83203125" style="96" customWidth="1"/>
    <col min="2" max="2" width="79.1640625" style="774" customWidth="1"/>
    <col min="3" max="3" width="25" style="333" customWidth="1"/>
    <col min="4" max="4" width="9.5" style="774" bestFit="1" customWidth="1"/>
    <col min="5" max="5" width="10.83203125" style="774" bestFit="1" customWidth="1"/>
    <col min="6" max="256" width="9.33203125" style="774"/>
    <col min="257" max="257" width="13.83203125" style="774" customWidth="1"/>
    <col min="258" max="258" width="79.1640625" style="774" customWidth="1"/>
    <col min="259" max="259" width="25" style="774" customWidth="1"/>
    <col min="260" max="512" width="9.33203125" style="774"/>
    <col min="513" max="513" width="13.83203125" style="774" customWidth="1"/>
    <col min="514" max="514" width="79.1640625" style="774" customWidth="1"/>
    <col min="515" max="515" width="25" style="774" customWidth="1"/>
    <col min="516" max="768" width="9.33203125" style="774"/>
    <col min="769" max="769" width="13.83203125" style="774" customWidth="1"/>
    <col min="770" max="770" width="79.1640625" style="774" customWidth="1"/>
    <col min="771" max="771" width="25" style="774" customWidth="1"/>
    <col min="772" max="1024" width="9.33203125" style="774"/>
    <col min="1025" max="1025" width="13.83203125" style="774" customWidth="1"/>
    <col min="1026" max="1026" width="79.1640625" style="774" customWidth="1"/>
    <col min="1027" max="1027" width="25" style="774" customWidth="1"/>
    <col min="1028" max="1280" width="9.33203125" style="774"/>
    <col min="1281" max="1281" width="13.83203125" style="774" customWidth="1"/>
    <col min="1282" max="1282" width="79.1640625" style="774" customWidth="1"/>
    <col min="1283" max="1283" width="25" style="774" customWidth="1"/>
    <col min="1284" max="1536" width="9.33203125" style="774"/>
    <col min="1537" max="1537" width="13.83203125" style="774" customWidth="1"/>
    <col min="1538" max="1538" width="79.1640625" style="774" customWidth="1"/>
    <col min="1539" max="1539" width="25" style="774" customWidth="1"/>
    <col min="1540" max="1792" width="9.33203125" style="774"/>
    <col min="1793" max="1793" width="13.83203125" style="774" customWidth="1"/>
    <col min="1794" max="1794" width="79.1640625" style="774" customWidth="1"/>
    <col min="1795" max="1795" width="25" style="774" customWidth="1"/>
    <col min="1796" max="2048" width="9.33203125" style="774"/>
    <col min="2049" max="2049" width="13.83203125" style="774" customWidth="1"/>
    <col min="2050" max="2050" width="79.1640625" style="774" customWidth="1"/>
    <col min="2051" max="2051" width="25" style="774" customWidth="1"/>
    <col min="2052" max="2304" width="9.33203125" style="774"/>
    <col min="2305" max="2305" width="13.83203125" style="774" customWidth="1"/>
    <col min="2306" max="2306" width="79.1640625" style="774" customWidth="1"/>
    <col min="2307" max="2307" width="25" style="774" customWidth="1"/>
    <col min="2308" max="2560" width="9.33203125" style="774"/>
    <col min="2561" max="2561" width="13.83203125" style="774" customWidth="1"/>
    <col min="2562" max="2562" width="79.1640625" style="774" customWidth="1"/>
    <col min="2563" max="2563" width="25" style="774" customWidth="1"/>
    <col min="2564" max="2816" width="9.33203125" style="774"/>
    <col min="2817" max="2817" width="13.83203125" style="774" customWidth="1"/>
    <col min="2818" max="2818" width="79.1640625" style="774" customWidth="1"/>
    <col min="2819" max="2819" width="25" style="774" customWidth="1"/>
    <col min="2820" max="3072" width="9.33203125" style="774"/>
    <col min="3073" max="3073" width="13.83203125" style="774" customWidth="1"/>
    <col min="3074" max="3074" width="79.1640625" style="774" customWidth="1"/>
    <col min="3075" max="3075" width="25" style="774" customWidth="1"/>
    <col min="3076" max="3328" width="9.33203125" style="774"/>
    <col min="3329" max="3329" width="13.83203125" style="774" customWidth="1"/>
    <col min="3330" max="3330" width="79.1640625" style="774" customWidth="1"/>
    <col min="3331" max="3331" width="25" style="774" customWidth="1"/>
    <col min="3332" max="3584" width="9.33203125" style="774"/>
    <col min="3585" max="3585" width="13.83203125" style="774" customWidth="1"/>
    <col min="3586" max="3586" width="79.1640625" style="774" customWidth="1"/>
    <col min="3587" max="3587" width="25" style="774" customWidth="1"/>
    <col min="3588" max="3840" width="9.33203125" style="774"/>
    <col min="3841" max="3841" width="13.83203125" style="774" customWidth="1"/>
    <col min="3842" max="3842" width="79.1640625" style="774" customWidth="1"/>
    <col min="3843" max="3843" width="25" style="774" customWidth="1"/>
    <col min="3844" max="4096" width="9.33203125" style="774"/>
    <col min="4097" max="4097" width="13.83203125" style="774" customWidth="1"/>
    <col min="4098" max="4098" width="79.1640625" style="774" customWidth="1"/>
    <col min="4099" max="4099" width="25" style="774" customWidth="1"/>
    <col min="4100" max="4352" width="9.33203125" style="774"/>
    <col min="4353" max="4353" width="13.83203125" style="774" customWidth="1"/>
    <col min="4354" max="4354" width="79.1640625" style="774" customWidth="1"/>
    <col min="4355" max="4355" width="25" style="774" customWidth="1"/>
    <col min="4356" max="4608" width="9.33203125" style="774"/>
    <col min="4609" max="4609" width="13.83203125" style="774" customWidth="1"/>
    <col min="4610" max="4610" width="79.1640625" style="774" customWidth="1"/>
    <col min="4611" max="4611" width="25" style="774" customWidth="1"/>
    <col min="4612" max="4864" width="9.33203125" style="774"/>
    <col min="4865" max="4865" width="13.83203125" style="774" customWidth="1"/>
    <col min="4866" max="4866" width="79.1640625" style="774" customWidth="1"/>
    <col min="4867" max="4867" width="25" style="774" customWidth="1"/>
    <col min="4868" max="5120" width="9.33203125" style="774"/>
    <col min="5121" max="5121" width="13.83203125" style="774" customWidth="1"/>
    <col min="5122" max="5122" width="79.1640625" style="774" customWidth="1"/>
    <col min="5123" max="5123" width="25" style="774" customWidth="1"/>
    <col min="5124" max="5376" width="9.33203125" style="774"/>
    <col min="5377" max="5377" width="13.83203125" style="774" customWidth="1"/>
    <col min="5378" max="5378" width="79.1640625" style="774" customWidth="1"/>
    <col min="5379" max="5379" width="25" style="774" customWidth="1"/>
    <col min="5380" max="5632" width="9.33203125" style="774"/>
    <col min="5633" max="5633" width="13.83203125" style="774" customWidth="1"/>
    <col min="5634" max="5634" width="79.1640625" style="774" customWidth="1"/>
    <col min="5635" max="5635" width="25" style="774" customWidth="1"/>
    <col min="5636" max="5888" width="9.33203125" style="774"/>
    <col min="5889" max="5889" width="13.83203125" style="774" customWidth="1"/>
    <col min="5890" max="5890" width="79.1640625" style="774" customWidth="1"/>
    <col min="5891" max="5891" width="25" style="774" customWidth="1"/>
    <col min="5892" max="6144" width="9.33203125" style="774"/>
    <col min="6145" max="6145" width="13.83203125" style="774" customWidth="1"/>
    <col min="6146" max="6146" width="79.1640625" style="774" customWidth="1"/>
    <col min="6147" max="6147" width="25" style="774" customWidth="1"/>
    <col min="6148" max="6400" width="9.33203125" style="774"/>
    <col min="6401" max="6401" width="13.83203125" style="774" customWidth="1"/>
    <col min="6402" max="6402" width="79.1640625" style="774" customWidth="1"/>
    <col min="6403" max="6403" width="25" style="774" customWidth="1"/>
    <col min="6404" max="6656" width="9.33203125" style="774"/>
    <col min="6657" max="6657" width="13.83203125" style="774" customWidth="1"/>
    <col min="6658" max="6658" width="79.1640625" style="774" customWidth="1"/>
    <col min="6659" max="6659" width="25" style="774" customWidth="1"/>
    <col min="6660" max="6912" width="9.33203125" style="774"/>
    <col min="6913" max="6913" width="13.83203125" style="774" customWidth="1"/>
    <col min="6914" max="6914" width="79.1640625" style="774" customWidth="1"/>
    <col min="6915" max="6915" width="25" style="774" customWidth="1"/>
    <col min="6916" max="7168" width="9.33203125" style="774"/>
    <col min="7169" max="7169" width="13.83203125" style="774" customWidth="1"/>
    <col min="7170" max="7170" width="79.1640625" style="774" customWidth="1"/>
    <col min="7171" max="7171" width="25" style="774" customWidth="1"/>
    <col min="7172" max="7424" width="9.33203125" style="774"/>
    <col min="7425" max="7425" width="13.83203125" style="774" customWidth="1"/>
    <col min="7426" max="7426" width="79.1640625" style="774" customWidth="1"/>
    <col min="7427" max="7427" width="25" style="774" customWidth="1"/>
    <col min="7428" max="7680" width="9.33203125" style="774"/>
    <col min="7681" max="7681" width="13.83203125" style="774" customWidth="1"/>
    <col min="7682" max="7682" width="79.1640625" style="774" customWidth="1"/>
    <col min="7683" max="7683" width="25" style="774" customWidth="1"/>
    <col min="7684" max="7936" width="9.33203125" style="774"/>
    <col min="7937" max="7937" width="13.83203125" style="774" customWidth="1"/>
    <col min="7938" max="7938" width="79.1640625" style="774" customWidth="1"/>
    <col min="7939" max="7939" width="25" style="774" customWidth="1"/>
    <col min="7940" max="8192" width="9.33203125" style="774"/>
    <col min="8193" max="8193" width="13.83203125" style="774" customWidth="1"/>
    <col min="8194" max="8194" width="79.1640625" style="774" customWidth="1"/>
    <col min="8195" max="8195" width="25" style="774" customWidth="1"/>
    <col min="8196" max="8448" width="9.33203125" style="774"/>
    <col min="8449" max="8449" width="13.83203125" style="774" customWidth="1"/>
    <col min="8450" max="8450" width="79.1640625" style="774" customWidth="1"/>
    <col min="8451" max="8451" width="25" style="774" customWidth="1"/>
    <col min="8452" max="8704" width="9.33203125" style="774"/>
    <col min="8705" max="8705" width="13.83203125" style="774" customWidth="1"/>
    <col min="8706" max="8706" width="79.1640625" style="774" customWidth="1"/>
    <col min="8707" max="8707" width="25" style="774" customWidth="1"/>
    <col min="8708" max="8960" width="9.33203125" style="774"/>
    <col min="8961" max="8961" width="13.83203125" style="774" customWidth="1"/>
    <col min="8962" max="8962" width="79.1640625" style="774" customWidth="1"/>
    <col min="8963" max="8963" width="25" style="774" customWidth="1"/>
    <col min="8964" max="9216" width="9.33203125" style="774"/>
    <col min="9217" max="9217" width="13.83203125" style="774" customWidth="1"/>
    <col min="9218" max="9218" width="79.1640625" style="774" customWidth="1"/>
    <col min="9219" max="9219" width="25" style="774" customWidth="1"/>
    <col min="9220" max="9472" width="9.33203125" style="774"/>
    <col min="9473" max="9473" width="13.83203125" style="774" customWidth="1"/>
    <col min="9474" max="9474" width="79.1640625" style="774" customWidth="1"/>
    <col min="9475" max="9475" width="25" style="774" customWidth="1"/>
    <col min="9476" max="9728" width="9.33203125" style="774"/>
    <col min="9729" max="9729" width="13.83203125" style="774" customWidth="1"/>
    <col min="9730" max="9730" width="79.1640625" style="774" customWidth="1"/>
    <col min="9731" max="9731" width="25" style="774" customWidth="1"/>
    <col min="9732" max="9984" width="9.33203125" style="774"/>
    <col min="9985" max="9985" width="13.83203125" style="774" customWidth="1"/>
    <col min="9986" max="9986" width="79.1640625" style="774" customWidth="1"/>
    <col min="9987" max="9987" width="25" style="774" customWidth="1"/>
    <col min="9988" max="10240" width="9.33203125" style="774"/>
    <col min="10241" max="10241" width="13.83203125" style="774" customWidth="1"/>
    <col min="10242" max="10242" width="79.1640625" style="774" customWidth="1"/>
    <col min="10243" max="10243" width="25" style="774" customWidth="1"/>
    <col min="10244" max="10496" width="9.33203125" style="774"/>
    <col min="10497" max="10497" width="13.83203125" style="774" customWidth="1"/>
    <col min="10498" max="10498" width="79.1640625" style="774" customWidth="1"/>
    <col min="10499" max="10499" width="25" style="774" customWidth="1"/>
    <col min="10500" max="10752" width="9.33203125" style="774"/>
    <col min="10753" max="10753" width="13.83203125" style="774" customWidth="1"/>
    <col min="10754" max="10754" width="79.1640625" style="774" customWidth="1"/>
    <col min="10755" max="10755" width="25" style="774" customWidth="1"/>
    <col min="10756" max="11008" width="9.33203125" style="774"/>
    <col min="11009" max="11009" width="13.83203125" style="774" customWidth="1"/>
    <col min="11010" max="11010" width="79.1640625" style="774" customWidth="1"/>
    <col min="11011" max="11011" width="25" style="774" customWidth="1"/>
    <col min="11012" max="11264" width="9.33203125" style="774"/>
    <col min="11265" max="11265" width="13.83203125" style="774" customWidth="1"/>
    <col min="11266" max="11266" width="79.1640625" style="774" customWidth="1"/>
    <col min="11267" max="11267" width="25" style="774" customWidth="1"/>
    <col min="11268" max="11520" width="9.33203125" style="774"/>
    <col min="11521" max="11521" width="13.83203125" style="774" customWidth="1"/>
    <col min="11522" max="11522" width="79.1640625" style="774" customWidth="1"/>
    <col min="11523" max="11523" width="25" style="774" customWidth="1"/>
    <col min="11524" max="11776" width="9.33203125" style="774"/>
    <col min="11777" max="11777" width="13.83203125" style="774" customWidth="1"/>
    <col min="11778" max="11778" width="79.1640625" style="774" customWidth="1"/>
    <col min="11779" max="11779" width="25" style="774" customWidth="1"/>
    <col min="11780" max="12032" width="9.33203125" style="774"/>
    <col min="12033" max="12033" width="13.83203125" style="774" customWidth="1"/>
    <col min="12034" max="12034" width="79.1640625" style="774" customWidth="1"/>
    <col min="12035" max="12035" width="25" style="774" customWidth="1"/>
    <col min="12036" max="12288" width="9.33203125" style="774"/>
    <col min="12289" max="12289" width="13.83203125" style="774" customWidth="1"/>
    <col min="12290" max="12290" width="79.1640625" style="774" customWidth="1"/>
    <col min="12291" max="12291" width="25" style="774" customWidth="1"/>
    <col min="12292" max="12544" width="9.33203125" style="774"/>
    <col min="12545" max="12545" width="13.83203125" style="774" customWidth="1"/>
    <col min="12546" max="12546" width="79.1640625" style="774" customWidth="1"/>
    <col min="12547" max="12547" width="25" style="774" customWidth="1"/>
    <col min="12548" max="12800" width="9.33203125" style="774"/>
    <col min="12801" max="12801" width="13.83203125" style="774" customWidth="1"/>
    <col min="12802" max="12802" width="79.1640625" style="774" customWidth="1"/>
    <col min="12803" max="12803" width="25" style="774" customWidth="1"/>
    <col min="12804" max="13056" width="9.33203125" style="774"/>
    <col min="13057" max="13057" width="13.83203125" style="774" customWidth="1"/>
    <col min="13058" max="13058" width="79.1640625" style="774" customWidth="1"/>
    <col min="13059" max="13059" width="25" style="774" customWidth="1"/>
    <col min="13060" max="13312" width="9.33203125" style="774"/>
    <col min="13313" max="13313" width="13.83203125" style="774" customWidth="1"/>
    <col min="13314" max="13314" width="79.1640625" style="774" customWidth="1"/>
    <col min="13315" max="13315" width="25" style="774" customWidth="1"/>
    <col min="13316" max="13568" width="9.33203125" style="774"/>
    <col min="13569" max="13569" width="13.83203125" style="774" customWidth="1"/>
    <col min="13570" max="13570" width="79.1640625" style="774" customWidth="1"/>
    <col min="13571" max="13571" width="25" style="774" customWidth="1"/>
    <col min="13572" max="13824" width="9.33203125" style="774"/>
    <col min="13825" max="13825" width="13.83203125" style="774" customWidth="1"/>
    <col min="13826" max="13826" width="79.1640625" style="774" customWidth="1"/>
    <col min="13827" max="13827" width="25" style="774" customWidth="1"/>
    <col min="13828" max="14080" width="9.33203125" style="774"/>
    <col min="14081" max="14081" width="13.83203125" style="774" customWidth="1"/>
    <col min="14082" max="14082" width="79.1640625" style="774" customWidth="1"/>
    <col min="14083" max="14083" width="25" style="774" customWidth="1"/>
    <col min="14084" max="14336" width="9.33203125" style="774"/>
    <col min="14337" max="14337" width="13.83203125" style="774" customWidth="1"/>
    <col min="14338" max="14338" width="79.1640625" style="774" customWidth="1"/>
    <col min="14339" max="14339" width="25" style="774" customWidth="1"/>
    <col min="14340" max="14592" width="9.33203125" style="774"/>
    <col min="14593" max="14593" width="13.83203125" style="774" customWidth="1"/>
    <col min="14594" max="14594" width="79.1640625" style="774" customWidth="1"/>
    <col min="14595" max="14595" width="25" style="774" customWidth="1"/>
    <col min="14596" max="14848" width="9.33203125" style="774"/>
    <col min="14849" max="14849" width="13.83203125" style="774" customWidth="1"/>
    <col min="14850" max="14850" width="79.1640625" style="774" customWidth="1"/>
    <col min="14851" max="14851" width="25" style="774" customWidth="1"/>
    <col min="14852" max="15104" width="9.33203125" style="774"/>
    <col min="15105" max="15105" width="13.83203125" style="774" customWidth="1"/>
    <col min="15106" max="15106" width="79.1640625" style="774" customWidth="1"/>
    <col min="15107" max="15107" width="25" style="774" customWidth="1"/>
    <col min="15108" max="15360" width="9.33203125" style="774"/>
    <col min="15361" max="15361" width="13.83203125" style="774" customWidth="1"/>
    <col min="15362" max="15362" width="79.1640625" style="774" customWidth="1"/>
    <col min="15363" max="15363" width="25" style="774" customWidth="1"/>
    <col min="15364" max="15616" width="9.33203125" style="774"/>
    <col min="15617" max="15617" width="13.83203125" style="774" customWidth="1"/>
    <col min="15618" max="15618" width="79.1640625" style="774" customWidth="1"/>
    <col min="15619" max="15619" width="25" style="774" customWidth="1"/>
    <col min="15620" max="15872" width="9.33203125" style="774"/>
    <col min="15873" max="15873" width="13.83203125" style="774" customWidth="1"/>
    <col min="15874" max="15874" width="79.1640625" style="774" customWidth="1"/>
    <col min="15875" max="15875" width="25" style="774" customWidth="1"/>
    <col min="15876" max="16128" width="9.33203125" style="774"/>
    <col min="16129" max="16129" width="13.83203125" style="774" customWidth="1"/>
    <col min="16130" max="16130" width="79.1640625" style="774" customWidth="1"/>
    <col min="16131" max="16131" width="25" style="774" customWidth="1"/>
    <col min="16132" max="16384" width="9.33203125" style="774"/>
  </cols>
  <sheetData>
    <row r="1" spans="1:3" ht="12.75" customHeight="1" x14ac:dyDescent="0.2">
      <c r="A1" s="1482" t="str">
        <f>CONCATENATE("18. melléklet"," ",ALAPADATOK!A7," ",ALAPADATOK!B7," ",ALAPADATOK!C7," ",ALAPADATOK!D7," ",ALAPADATOK!E7," ",ALAPADATOK!F7," ",ALAPADATOK!G7," ",ALAPADATOK!H7)</f>
        <v>18. melléklet a 19 / 2021. ( XI.29. ) önkormányzati rendelethez</v>
      </c>
      <c r="B1" s="1482"/>
      <c r="C1" s="1482"/>
    </row>
    <row r="2" spans="1:3" s="77" customFormat="1" ht="21" customHeight="1" x14ac:dyDescent="0.2">
      <c r="A2" s="76"/>
      <c r="B2" s="78"/>
      <c r="C2" s="961"/>
    </row>
    <row r="3" spans="1:3" s="217" customFormat="1" ht="34.5" customHeight="1" thickBot="1" x14ac:dyDescent="0.25">
      <c r="A3" s="1442" t="s">
        <v>1045</v>
      </c>
      <c r="B3" s="1442"/>
      <c r="C3" s="1442"/>
    </row>
    <row r="4" spans="1:3" ht="13.5" thickBot="1" x14ac:dyDescent="0.25">
      <c r="A4" s="1310" t="s">
        <v>154</v>
      </c>
      <c r="B4" s="81" t="s">
        <v>50</v>
      </c>
      <c r="C4" s="330" t="s">
        <v>1033</v>
      </c>
    </row>
    <row r="5" spans="1:3" s="219" customFormat="1" ht="12.95" customHeight="1" thickBot="1" x14ac:dyDescent="0.25">
      <c r="A5" s="71" t="s">
        <v>391</v>
      </c>
      <c r="B5" s="72" t="s">
        <v>392</v>
      </c>
      <c r="C5" s="331" t="s">
        <v>393</v>
      </c>
    </row>
    <row r="6" spans="1:3" s="219" customFormat="1" ht="15.95" customHeight="1" thickBot="1" x14ac:dyDescent="0.25">
      <c r="A6" s="83"/>
      <c r="B6" s="84" t="s">
        <v>52</v>
      </c>
      <c r="C6" s="332"/>
    </row>
    <row r="7" spans="1:3" s="168" customFormat="1" ht="12" customHeight="1" thickBot="1" x14ac:dyDescent="0.25">
      <c r="A7" s="71" t="s">
        <v>16</v>
      </c>
      <c r="B7" s="86" t="s">
        <v>467</v>
      </c>
      <c r="C7" s="569">
        <f>SUM(C8:C18)</f>
        <v>187050135</v>
      </c>
    </row>
    <row r="8" spans="1:3" s="168" customFormat="1" ht="12" customHeight="1" x14ac:dyDescent="0.2">
      <c r="A8" s="211" t="s">
        <v>86</v>
      </c>
      <c r="B8" s="7" t="s">
        <v>209</v>
      </c>
      <c r="C8" s="570"/>
    </row>
    <row r="9" spans="1:3" s="168" customFormat="1" ht="12" customHeight="1" x14ac:dyDescent="0.2">
      <c r="A9" s="212" t="s">
        <v>87</v>
      </c>
      <c r="B9" s="5" t="s">
        <v>210</v>
      </c>
      <c r="C9" s="571">
        <v>2080000</v>
      </c>
    </row>
    <row r="10" spans="1:3" s="168" customFormat="1" ht="12" customHeight="1" x14ac:dyDescent="0.2">
      <c r="A10" s="212" t="s">
        <v>88</v>
      </c>
      <c r="B10" s="5" t="s">
        <v>211</v>
      </c>
      <c r="C10" s="571">
        <v>10000000</v>
      </c>
    </row>
    <row r="11" spans="1:3" s="168" customFormat="1" ht="12" customHeight="1" x14ac:dyDescent="0.2">
      <c r="A11" s="212" t="s">
        <v>89</v>
      </c>
      <c r="B11" s="5" t="s">
        <v>212</v>
      </c>
      <c r="C11" s="571"/>
    </row>
    <row r="12" spans="1:3" s="168" customFormat="1" ht="12" customHeight="1" x14ac:dyDescent="0.2">
      <c r="A12" s="212" t="s">
        <v>112</v>
      </c>
      <c r="B12" s="5" t="s">
        <v>213</v>
      </c>
      <c r="C12" s="571">
        <v>173575135</v>
      </c>
    </row>
    <row r="13" spans="1:3" s="168" customFormat="1" ht="12" customHeight="1" x14ac:dyDescent="0.2">
      <c r="A13" s="212" t="s">
        <v>90</v>
      </c>
      <c r="B13" s="5" t="s">
        <v>333</v>
      </c>
      <c r="C13" s="571">
        <v>1395000</v>
      </c>
    </row>
    <row r="14" spans="1:3" s="168" customFormat="1" ht="12" customHeight="1" x14ac:dyDescent="0.2">
      <c r="A14" s="212" t="s">
        <v>91</v>
      </c>
      <c r="B14" s="4" t="s">
        <v>334</v>
      </c>
      <c r="C14" s="571"/>
    </row>
    <row r="15" spans="1:3" s="168" customFormat="1" ht="12" customHeight="1" x14ac:dyDescent="0.2">
      <c r="A15" s="212" t="s">
        <v>101</v>
      </c>
      <c r="B15" s="5" t="s">
        <v>216</v>
      </c>
      <c r="C15" s="572"/>
    </row>
    <row r="16" spans="1:3" s="220" customFormat="1" ht="12" customHeight="1" x14ac:dyDescent="0.2">
      <c r="A16" s="212" t="s">
        <v>102</v>
      </c>
      <c r="B16" s="5" t="s">
        <v>217</v>
      </c>
      <c r="C16" s="571"/>
    </row>
    <row r="17" spans="1:3" s="220" customFormat="1" ht="12" customHeight="1" x14ac:dyDescent="0.2">
      <c r="A17" s="212" t="s">
        <v>103</v>
      </c>
      <c r="B17" s="5" t="s">
        <v>397</v>
      </c>
      <c r="C17" s="573"/>
    </row>
    <row r="18" spans="1:3" s="220" customFormat="1" ht="12" customHeight="1" thickBot="1" x14ac:dyDescent="0.25">
      <c r="A18" s="212" t="s">
        <v>104</v>
      </c>
      <c r="B18" s="4" t="s">
        <v>218</v>
      </c>
      <c r="C18" s="573"/>
    </row>
    <row r="19" spans="1:3" s="168" customFormat="1" ht="12" customHeight="1" thickBot="1" x14ac:dyDescent="0.25">
      <c r="A19" s="71" t="s">
        <v>17</v>
      </c>
      <c r="B19" s="86" t="s">
        <v>335</v>
      </c>
      <c r="C19" s="856">
        <f>SUM(C20:C22)</f>
        <v>115146660</v>
      </c>
    </row>
    <row r="20" spans="1:3" s="220" customFormat="1" ht="12" customHeight="1" x14ac:dyDescent="0.2">
      <c r="A20" s="212" t="s">
        <v>92</v>
      </c>
      <c r="B20" s="6" t="s">
        <v>187</v>
      </c>
      <c r="C20" s="854"/>
    </row>
    <row r="21" spans="1:3" s="220" customFormat="1" ht="12" customHeight="1" x14ac:dyDescent="0.2">
      <c r="A21" s="212" t="s">
        <v>93</v>
      </c>
      <c r="B21" s="5" t="s">
        <v>336</v>
      </c>
      <c r="C21" s="854"/>
    </row>
    <row r="22" spans="1:3" s="220" customFormat="1" ht="12" customHeight="1" x14ac:dyDescent="0.2">
      <c r="A22" s="212" t="s">
        <v>94</v>
      </c>
      <c r="B22" s="5" t="s">
        <v>337</v>
      </c>
      <c r="C22" s="571">
        <f>90180220+24966440</f>
        <v>115146660</v>
      </c>
    </row>
    <row r="23" spans="1:3" s="220" customFormat="1" ht="12" customHeight="1" thickBot="1" x14ac:dyDescent="0.25">
      <c r="A23" s="212" t="s">
        <v>95</v>
      </c>
      <c r="B23" s="5" t="s">
        <v>468</v>
      </c>
      <c r="C23" s="571">
        <v>73588685</v>
      </c>
    </row>
    <row r="24" spans="1:3" s="220" customFormat="1" ht="12" customHeight="1" thickBot="1" x14ac:dyDescent="0.25">
      <c r="A24" s="74" t="s">
        <v>18</v>
      </c>
      <c r="B24" s="54" t="s">
        <v>126</v>
      </c>
      <c r="C24" s="576"/>
    </row>
    <row r="25" spans="1:3" s="220" customFormat="1" ht="12" customHeight="1" thickBot="1" x14ac:dyDescent="0.25">
      <c r="A25" s="74" t="s">
        <v>19</v>
      </c>
      <c r="B25" s="54" t="s">
        <v>469</v>
      </c>
      <c r="C25" s="569">
        <f>+C26+C27+C28</f>
        <v>19140587</v>
      </c>
    </row>
    <row r="26" spans="1:3" s="220" customFormat="1" ht="12" customHeight="1" x14ac:dyDescent="0.2">
      <c r="A26" s="213" t="s">
        <v>197</v>
      </c>
      <c r="B26" s="214" t="s">
        <v>192</v>
      </c>
      <c r="C26" s="577"/>
    </row>
    <row r="27" spans="1:3" s="220" customFormat="1" ht="12" customHeight="1" x14ac:dyDescent="0.2">
      <c r="A27" s="213" t="s">
        <v>200</v>
      </c>
      <c r="B27" s="214" t="s">
        <v>336</v>
      </c>
      <c r="C27" s="574"/>
    </row>
    <row r="28" spans="1:3" s="220" customFormat="1" ht="12" customHeight="1" x14ac:dyDescent="0.2">
      <c r="A28" s="213" t="s">
        <v>201</v>
      </c>
      <c r="B28" s="215" t="s">
        <v>338</v>
      </c>
      <c r="C28" s="571">
        <f>10078381+9062206</f>
        <v>19140587</v>
      </c>
    </row>
    <row r="29" spans="1:3" s="220" customFormat="1" ht="12" customHeight="1" thickBot="1" x14ac:dyDescent="0.25">
      <c r="A29" s="212" t="s">
        <v>202</v>
      </c>
      <c r="B29" s="57" t="s">
        <v>470</v>
      </c>
      <c r="C29" s="578">
        <v>1193800</v>
      </c>
    </row>
    <row r="30" spans="1:3" s="220" customFormat="1" ht="12" customHeight="1" thickBot="1" x14ac:dyDescent="0.25">
      <c r="A30" s="74" t="s">
        <v>20</v>
      </c>
      <c r="B30" s="54" t="s">
        <v>339</v>
      </c>
      <c r="C30" s="569">
        <f>+C31+C32+C33</f>
        <v>0</v>
      </c>
    </row>
    <row r="31" spans="1:3" s="220" customFormat="1" ht="12" customHeight="1" x14ac:dyDescent="0.2">
      <c r="A31" s="213" t="s">
        <v>79</v>
      </c>
      <c r="B31" s="214" t="s">
        <v>223</v>
      </c>
      <c r="C31" s="577"/>
    </row>
    <row r="32" spans="1:3" s="220" customFormat="1" ht="12" customHeight="1" x14ac:dyDescent="0.2">
      <c r="A32" s="213" t="s">
        <v>80</v>
      </c>
      <c r="B32" s="215" t="s">
        <v>224</v>
      </c>
      <c r="C32" s="572"/>
    </row>
    <row r="33" spans="1:3" s="168" customFormat="1" ht="12" customHeight="1" thickBot="1" x14ac:dyDescent="0.25">
      <c r="A33" s="212" t="s">
        <v>81</v>
      </c>
      <c r="B33" s="57" t="s">
        <v>225</v>
      </c>
      <c r="C33" s="578"/>
    </row>
    <row r="34" spans="1:3" s="168" customFormat="1" ht="12" customHeight="1" thickBot="1" x14ac:dyDescent="0.25">
      <c r="A34" s="74" t="s">
        <v>21</v>
      </c>
      <c r="B34" s="54" t="s">
        <v>311</v>
      </c>
      <c r="C34" s="1407">
        <v>133028</v>
      </c>
    </row>
    <row r="35" spans="1:3" s="168" customFormat="1" ht="12" customHeight="1" thickBot="1" x14ac:dyDescent="0.25">
      <c r="A35" s="74" t="s">
        <v>22</v>
      </c>
      <c r="B35" s="54" t="s">
        <v>340</v>
      </c>
      <c r="C35" s="954"/>
    </row>
    <row r="36" spans="1:3" s="168" customFormat="1" ht="12" customHeight="1" thickBot="1" x14ac:dyDescent="0.25">
      <c r="A36" s="71" t="s">
        <v>23</v>
      </c>
      <c r="B36" s="54" t="s">
        <v>341</v>
      </c>
      <c r="C36" s="857">
        <f>+C7+C19+C24+C25+C30+C34+C35</f>
        <v>321470410</v>
      </c>
    </row>
    <row r="37" spans="1:3" s="168" customFormat="1" ht="12" customHeight="1" thickBot="1" x14ac:dyDescent="0.25">
      <c r="A37" s="962" t="s">
        <v>24</v>
      </c>
      <c r="B37" s="54" t="s">
        <v>342</v>
      </c>
      <c r="C37" s="580">
        <f>+C38+C39+C40</f>
        <v>486525058</v>
      </c>
    </row>
    <row r="38" spans="1:3" s="168" customFormat="1" ht="12" customHeight="1" x14ac:dyDescent="0.2">
      <c r="A38" s="213" t="s">
        <v>343</v>
      </c>
      <c r="B38" s="214" t="s">
        <v>168</v>
      </c>
      <c r="C38" s="577">
        <v>2246442</v>
      </c>
    </row>
    <row r="39" spans="1:3" s="220" customFormat="1" ht="12" customHeight="1" x14ac:dyDescent="0.2">
      <c r="A39" s="213" t="s">
        <v>344</v>
      </c>
      <c r="B39" s="215" t="s">
        <v>6</v>
      </c>
      <c r="C39" s="572"/>
    </row>
    <row r="40" spans="1:3" s="220" customFormat="1" ht="15" customHeight="1" thickBot="1" x14ac:dyDescent="0.25">
      <c r="A40" s="212" t="s">
        <v>345</v>
      </c>
      <c r="B40" s="57" t="s">
        <v>346</v>
      </c>
      <c r="C40" s="1174">
        <f>473454411-13290141+2791000+10697320+505890+1264725+6155411+160000+2540000</f>
        <v>484278616</v>
      </c>
    </row>
    <row r="41" spans="1:3" s="220" customFormat="1" ht="15" customHeight="1" thickBot="1" x14ac:dyDescent="0.25">
      <c r="A41" s="962" t="s">
        <v>25</v>
      </c>
      <c r="B41" s="963" t="s">
        <v>347</v>
      </c>
      <c r="C41" s="857">
        <f>+C36+C37</f>
        <v>807995468</v>
      </c>
    </row>
    <row r="42" spans="1:3" s="221" customFormat="1" ht="12" customHeight="1" thickBot="1" x14ac:dyDescent="0.25">
      <c r="A42" s="93"/>
      <c r="B42" s="94" t="s">
        <v>53</v>
      </c>
      <c r="C42" s="581"/>
    </row>
    <row r="43" spans="1:3" ht="12" customHeight="1" thickBot="1" x14ac:dyDescent="0.25">
      <c r="A43" s="74" t="s">
        <v>16</v>
      </c>
      <c r="B43" s="54" t="s">
        <v>348</v>
      </c>
      <c r="C43" s="851">
        <f>SUM(C44:C48)</f>
        <v>785808581</v>
      </c>
    </row>
    <row r="44" spans="1:3" ht="12" customHeight="1" x14ac:dyDescent="0.2">
      <c r="A44" s="212" t="s">
        <v>86</v>
      </c>
      <c r="B44" s="6" t="s">
        <v>46</v>
      </c>
      <c r="C44" s="858">
        <f>470553620-10221506+1817900+16966440+9270677+1533000+3049440</f>
        <v>492969571</v>
      </c>
    </row>
    <row r="45" spans="1:3" ht="12" customHeight="1" x14ac:dyDescent="0.2">
      <c r="A45" s="212" t="s">
        <v>87</v>
      </c>
      <c r="B45" s="5" t="s">
        <v>135</v>
      </c>
      <c r="C45" s="571">
        <f>81689634-1567191+281775+1426643+237615+820163</f>
        <v>82888639</v>
      </c>
    </row>
    <row r="46" spans="1:3" ht="12" customHeight="1" x14ac:dyDescent="0.2">
      <c r="A46" s="212" t="s">
        <v>88</v>
      </c>
      <c r="B46" s="5" t="s">
        <v>111</v>
      </c>
      <c r="C46" s="859">
        <f>196240154-1501444+886325+8000000+6155411+1206500-3869603+160000+2540000+133028</f>
        <v>209950371</v>
      </c>
    </row>
    <row r="47" spans="1:3" ht="12" customHeight="1" x14ac:dyDescent="0.2">
      <c r="A47" s="212" t="s">
        <v>89</v>
      </c>
      <c r="B47" s="5" t="s">
        <v>136</v>
      </c>
      <c r="C47" s="571"/>
    </row>
    <row r="48" spans="1:3" ht="12" customHeight="1" thickBot="1" x14ac:dyDescent="0.25">
      <c r="A48" s="212" t="s">
        <v>112</v>
      </c>
      <c r="B48" s="5" t="s">
        <v>137</v>
      </c>
      <c r="C48" s="571"/>
    </row>
    <row r="49" spans="1:5" s="221" customFormat="1" ht="12" customHeight="1" thickBot="1" x14ac:dyDescent="0.25">
      <c r="A49" s="74" t="s">
        <v>17</v>
      </c>
      <c r="B49" s="54" t="s">
        <v>349</v>
      </c>
      <c r="C49" s="569">
        <f>SUM(C50:C52)</f>
        <v>22186887</v>
      </c>
    </row>
    <row r="50" spans="1:5" ht="12" customHeight="1" x14ac:dyDescent="0.2">
      <c r="A50" s="212" t="s">
        <v>92</v>
      </c>
      <c r="B50" s="6" t="s">
        <v>159</v>
      </c>
      <c r="C50" s="858">
        <f>14526181-195000+9062206-1206500</f>
        <v>22186887</v>
      </c>
    </row>
    <row r="51" spans="1:5" ht="12" customHeight="1" x14ac:dyDescent="0.2">
      <c r="A51" s="212" t="s">
        <v>93</v>
      </c>
      <c r="B51" s="5" t="s">
        <v>139</v>
      </c>
      <c r="C51" s="571"/>
    </row>
    <row r="52" spans="1:5" ht="12" customHeight="1" x14ac:dyDescent="0.2">
      <c r="A52" s="212" t="s">
        <v>94</v>
      </c>
      <c r="B52" s="5" t="s">
        <v>54</v>
      </c>
      <c r="C52" s="571"/>
    </row>
    <row r="53" spans="1:5" ht="15" customHeight="1" thickBot="1" x14ac:dyDescent="0.25">
      <c r="A53" s="212" t="s">
        <v>95</v>
      </c>
      <c r="B53" s="5" t="s">
        <v>471</v>
      </c>
      <c r="C53" s="571"/>
    </row>
    <row r="54" spans="1:5" ht="13.5" thickBot="1" x14ac:dyDescent="0.25">
      <c r="A54" s="74" t="s">
        <v>18</v>
      </c>
      <c r="B54" s="54" t="s">
        <v>12</v>
      </c>
      <c r="C54" s="576"/>
      <c r="D54" s="676"/>
      <c r="E54" s="676"/>
    </row>
    <row r="55" spans="1:5" ht="15" customHeight="1" thickBot="1" x14ac:dyDescent="0.25">
      <c r="A55" s="74" t="s">
        <v>19</v>
      </c>
      <c r="B55" s="95" t="s">
        <v>472</v>
      </c>
      <c r="C55" s="856">
        <f>+C43+C49+C54</f>
        <v>807995468</v>
      </c>
    </row>
    <row r="56" spans="1:5" ht="13.5" thickBot="1" x14ac:dyDescent="0.25">
      <c r="A56" s="1477" t="s">
        <v>465</v>
      </c>
      <c r="B56" s="1478"/>
      <c r="C56" s="1192">
        <f>110-3.33+3</f>
        <v>109.67</v>
      </c>
    </row>
    <row r="57" spans="1:5" ht="13.5" thickBot="1" x14ac:dyDescent="0.25">
      <c r="A57" s="1491" t="s">
        <v>694</v>
      </c>
      <c r="B57" s="1492"/>
      <c r="C57" s="594">
        <v>2</v>
      </c>
    </row>
    <row r="58" spans="1:5" ht="13.5" customHeight="1" thickBot="1" x14ac:dyDescent="0.25">
      <c r="A58" s="1489" t="s">
        <v>953</v>
      </c>
      <c r="B58" s="1490"/>
      <c r="C58" s="965">
        <v>50</v>
      </c>
    </row>
  </sheetData>
  <sheetProtection formatCells="0"/>
  <mergeCells count="5">
    <mergeCell ref="A1:C1"/>
    <mergeCell ref="A58:B58"/>
    <mergeCell ref="A56:B56"/>
    <mergeCell ref="A57:B57"/>
    <mergeCell ref="A3:C3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40"/>
  <dimension ref="A1:D62"/>
  <sheetViews>
    <sheetView topLeftCell="A34" zoomScale="115" zoomScaleNormal="115" workbookViewId="0">
      <selection activeCell="B51" sqref="B51"/>
    </sheetView>
  </sheetViews>
  <sheetFormatPr defaultRowHeight="12.75" x14ac:dyDescent="0.2"/>
  <cols>
    <col min="1" max="1" width="13.83203125" style="96" customWidth="1"/>
    <col min="2" max="2" width="79.1640625" style="774" customWidth="1"/>
    <col min="3" max="3" width="25" style="333" customWidth="1"/>
    <col min="4" max="4" width="9.5" style="774" bestFit="1" customWidth="1"/>
    <col min="5" max="256" width="9.33203125" style="774"/>
    <col min="257" max="257" width="13.83203125" style="774" customWidth="1"/>
    <col min="258" max="258" width="79.1640625" style="774" customWidth="1"/>
    <col min="259" max="259" width="25" style="774" customWidth="1"/>
    <col min="260" max="512" width="9.33203125" style="774"/>
    <col min="513" max="513" width="13.83203125" style="774" customWidth="1"/>
    <col min="514" max="514" width="79.1640625" style="774" customWidth="1"/>
    <col min="515" max="515" width="25" style="774" customWidth="1"/>
    <col min="516" max="768" width="9.33203125" style="774"/>
    <col min="769" max="769" width="13.83203125" style="774" customWidth="1"/>
    <col min="770" max="770" width="79.1640625" style="774" customWidth="1"/>
    <col min="771" max="771" width="25" style="774" customWidth="1"/>
    <col min="772" max="1024" width="9.33203125" style="774"/>
    <col min="1025" max="1025" width="13.83203125" style="774" customWidth="1"/>
    <col min="1026" max="1026" width="79.1640625" style="774" customWidth="1"/>
    <col min="1027" max="1027" width="25" style="774" customWidth="1"/>
    <col min="1028" max="1280" width="9.33203125" style="774"/>
    <col min="1281" max="1281" width="13.83203125" style="774" customWidth="1"/>
    <col min="1282" max="1282" width="79.1640625" style="774" customWidth="1"/>
    <col min="1283" max="1283" width="25" style="774" customWidth="1"/>
    <col min="1284" max="1536" width="9.33203125" style="774"/>
    <col min="1537" max="1537" width="13.83203125" style="774" customWidth="1"/>
    <col min="1538" max="1538" width="79.1640625" style="774" customWidth="1"/>
    <col min="1539" max="1539" width="25" style="774" customWidth="1"/>
    <col min="1540" max="1792" width="9.33203125" style="774"/>
    <col min="1793" max="1793" width="13.83203125" style="774" customWidth="1"/>
    <col min="1794" max="1794" width="79.1640625" style="774" customWidth="1"/>
    <col min="1795" max="1795" width="25" style="774" customWidth="1"/>
    <col min="1796" max="2048" width="9.33203125" style="774"/>
    <col min="2049" max="2049" width="13.83203125" style="774" customWidth="1"/>
    <col min="2050" max="2050" width="79.1640625" style="774" customWidth="1"/>
    <col min="2051" max="2051" width="25" style="774" customWidth="1"/>
    <col min="2052" max="2304" width="9.33203125" style="774"/>
    <col min="2305" max="2305" width="13.83203125" style="774" customWidth="1"/>
    <col min="2306" max="2306" width="79.1640625" style="774" customWidth="1"/>
    <col min="2307" max="2307" width="25" style="774" customWidth="1"/>
    <col min="2308" max="2560" width="9.33203125" style="774"/>
    <col min="2561" max="2561" width="13.83203125" style="774" customWidth="1"/>
    <col min="2562" max="2562" width="79.1640625" style="774" customWidth="1"/>
    <col min="2563" max="2563" width="25" style="774" customWidth="1"/>
    <col min="2564" max="2816" width="9.33203125" style="774"/>
    <col min="2817" max="2817" width="13.83203125" style="774" customWidth="1"/>
    <col min="2818" max="2818" width="79.1640625" style="774" customWidth="1"/>
    <col min="2819" max="2819" width="25" style="774" customWidth="1"/>
    <col min="2820" max="3072" width="9.33203125" style="774"/>
    <col min="3073" max="3073" width="13.83203125" style="774" customWidth="1"/>
    <col min="3074" max="3074" width="79.1640625" style="774" customWidth="1"/>
    <col min="3075" max="3075" width="25" style="774" customWidth="1"/>
    <col min="3076" max="3328" width="9.33203125" style="774"/>
    <col min="3329" max="3329" width="13.83203125" style="774" customWidth="1"/>
    <col min="3330" max="3330" width="79.1640625" style="774" customWidth="1"/>
    <col min="3331" max="3331" width="25" style="774" customWidth="1"/>
    <col min="3332" max="3584" width="9.33203125" style="774"/>
    <col min="3585" max="3585" width="13.83203125" style="774" customWidth="1"/>
    <col min="3586" max="3586" width="79.1640625" style="774" customWidth="1"/>
    <col min="3587" max="3587" width="25" style="774" customWidth="1"/>
    <col min="3588" max="3840" width="9.33203125" style="774"/>
    <col min="3841" max="3841" width="13.83203125" style="774" customWidth="1"/>
    <col min="3842" max="3842" width="79.1640625" style="774" customWidth="1"/>
    <col min="3843" max="3843" width="25" style="774" customWidth="1"/>
    <col min="3844" max="4096" width="9.33203125" style="774"/>
    <col min="4097" max="4097" width="13.83203125" style="774" customWidth="1"/>
    <col min="4098" max="4098" width="79.1640625" style="774" customWidth="1"/>
    <col min="4099" max="4099" width="25" style="774" customWidth="1"/>
    <col min="4100" max="4352" width="9.33203125" style="774"/>
    <col min="4353" max="4353" width="13.83203125" style="774" customWidth="1"/>
    <col min="4354" max="4354" width="79.1640625" style="774" customWidth="1"/>
    <col min="4355" max="4355" width="25" style="774" customWidth="1"/>
    <col min="4356" max="4608" width="9.33203125" style="774"/>
    <col min="4609" max="4609" width="13.83203125" style="774" customWidth="1"/>
    <col min="4610" max="4610" width="79.1640625" style="774" customWidth="1"/>
    <col min="4611" max="4611" width="25" style="774" customWidth="1"/>
    <col min="4612" max="4864" width="9.33203125" style="774"/>
    <col min="4865" max="4865" width="13.83203125" style="774" customWidth="1"/>
    <col min="4866" max="4866" width="79.1640625" style="774" customWidth="1"/>
    <col min="4867" max="4867" width="25" style="774" customWidth="1"/>
    <col min="4868" max="5120" width="9.33203125" style="774"/>
    <col min="5121" max="5121" width="13.83203125" style="774" customWidth="1"/>
    <col min="5122" max="5122" width="79.1640625" style="774" customWidth="1"/>
    <col min="5123" max="5123" width="25" style="774" customWidth="1"/>
    <col min="5124" max="5376" width="9.33203125" style="774"/>
    <col min="5377" max="5377" width="13.83203125" style="774" customWidth="1"/>
    <col min="5378" max="5378" width="79.1640625" style="774" customWidth="1"/>
    <col min="5379" max="5379" width="25" style="774" customWidth="1"/>
    <col min="5380" max="5632" width="9.33203125" style="774"/>
    <col min="5633" max="5633" width="13.83203125" style="774" customWidth="1"/>
    <col min="5634" max="5634" width="79.1640625" style="774" customWidth="1"/>
    <col min="5635" max="5635" width="25" style="774" customWidth="1"/>
    <col min="5636" max="5888" width="9.33203125" style="774"/>
    <col min="5889" max="5889" width="13.83203125" style="774" customWidth="1"/>
    <col min="5890" max="5890" width="79.1640625" style="774" customWidth="1"/>
    <col min="5891" max="5891" width="25" style="774" customWidth="1"/>
    <col min="5892" max="6144" width="9.33203125" style="774"/>
    <col min="6145" max="6145" width="13.83203125" style="774" customWidth="1"/>
    <col min="6146" max="6146" width="79.1640625" style="774" customWidth="1"/>
    <col min="6147" max="6147" width="25" style="774" customWidth="1"/>
    <col min="6148" max="6400" width="9.33203125" style="774"/>
    <col min="6401" max="6401" width="13.83203125" style="774" customWidth="1"/>
    <col min="6402" max="6402" width="79.1640625" style="774" customWidth="1"/>
    <col min="6403" max="6403" width="25" style="774" customWidth="1"/>
    <col min="6404" max="6656" width="9.33203125" style="774"/>
    <col min="6657" max="6657" width="13.83203125" style="774" customWidth="1"/>
    <col min="6658" max="6658" width="79.1640625" style="774" customWidth="1"/>
    <col min="6659" max="6659" width="25" style="774" customWidth="1"/>
    <col min="6660" max="6912" width="9.33203125" style="774"/>
    <col min="6913" max="6913" width="13.83203125" style="774" customWidth="1"/>
    <col min="6914" max="6914" width="79.1640625" style="774" customWidth="1"/>
    <col min="6915" max="6915" width="25" style="774" customWidth="1"/>
    <col min="6916" max="7168" width="9.33203125" style="774"/>
    <col min="7169" max="7169" width="13.83203125" style="774" customWidth="1"/>
    <col min="7170" max="7170" width="79.1640625" style="774" customWidth="1"/>
    <col min="7171" max="7171" width="25" style="774" customWidth="1"/>
    <col min="7172" max="7424" width="9.33203125" style="774"/>
    <col min="7425" max="7425" width="13.83203125" style="774" customWidth="1"/>
    <col min="7426" max="7426" width="79.1640625" style="774" customWidth="1"/>
    <col min="7427" max="7427" width="25" style="774" customWidth="1"/>
    <col min="7428" max="7680" width="9.33203125" style="774"/>
    <col min="7681" max="7681" width="13.83203125" style="774" customWidth="1"/>
    <col min="7682" max="7682" width="79.1640625" style="774" customWidth="1"/>
    <col min="7683" max="7683" width="25" style="774" customWidth="1"/>
    <col min="7684" max="7936" width="9.33203125" style="774"/>
    <col min="7937" max="7937" width="13.83203125" style="774" customWidth="1"/>
    <col min="7938" max="7938" width="79.1640625" style="774" customWidth="1"/>
    <col min="7939" max="7939" width="25" style="774" customWidth="1"/>
    <col min="7940" max="8192" width="9.33203125" style="774"/>
    <col min="8193" max="8193" width="13.83203125" style="774" customWidth="1"/>
    <col min="8194" max="8194" width="79.1640625" style="774" customWidth="1"/>
    <col min="8195" max="8195" width="25" style="774" customWidth="1"/>
    <col min="8196" max="8448" width="9.33203125" style="774"/>
    <col min="8449" max="8449" width="13.83203125" style="774" customWidth="1"/>
    <col min="8450" max="8450" width="79.1640625" style="774" customWidth="1"/>
    <col min="8451" max="8451" width="25" style="774" customWidth="1"/>
    <col min="8452" max="8704" width="9.33203125" style="774"/>
    <col min="8705" max="8705" width="13.83203125" style="774" customWidth="1"/>
    <col min="8706" max="8706" width="79.1640625" style="774" customWidth="1"/>
    <col min="8707" max="8707" width="25" style="774" customWidth="1"/>
    <col min="8708" max="8960" width="9.33203125" style="774"/>
    <col min="8961" max="8961" width="13.83203125" style="774" customWidth="1"/>
    <col min="8962" max="8962" width="79.1640625" style="774" customWidth="1"/>
    <col min="8963" max="8963" width="25" style="774" customWidth="1"/>
    <col min="8964" max="9216" width="9.33203125" style="774"/>
    <col min="9217" max="9217" width="13.83203125" style="774" customWidth="1"/>
    <col min="9218" max="9218" width="79.1640625" style="774" customWidth="1"/>
    <col min="9219" max="9219" width="25" style="774" customWidth="1"/>
    <col min="9220" max="9472" width="9.33203125" style="774"/>
    <col min="9473" max="9473" width="13.83203125" style="774" customWidth="1"/>
    <col min="9474" max="9474" width="79.1640625" style="774" customWidth="1"/>
    <col min="9475" max="9475" width="25" style="774" customWidth="1"/>
    <col min="9476" max="9728" width="9.33203125" style="774"/>
    <col min="9729" max="9729" width="13.83203125" style="774" customWidth="1"/>
    <col min="9730" max="9730" width="79.1640625" style="774" customWidth="1"/>
    <col min="9731" max="9731" width="25" style="774" customWidth="1"/>
    <col min="9732" max="9984" width="9.33203125" style="774"/>
    <col min="9985" max="9985" width="13.83203125" style="774" customWidth="1"/>
    <col min="9986" max="9986" width="79.1640625" style="774" customWidth="1"/>
    <col min="9987" max="9987" width="25" style="774" customWidth="1"/>
    <col min="9988" max="10240" width="9.33203125" style="774"/>
    <col min="10241" max="10241" width="13.83203125" style="774" customWidth="1"/>
    <col min="10242" max="10242" width="79.1640625" style="774" customWidth="1"/>
    <col min="10243" max="10243" width="25" style="774" customWidth="1"/>
    <col min="10244" max="10496" width="9.33203125" style="774"/>
    <col min="10497" max="10497" width="13.83203125" style="774" customWidth="1"/>
    <col min="10498" max="10498" width="79.1640625" style="774" customWidth="1"/>
    <col min="10499" max="10499" width="25" style="774" customWidth="1"/>
    <col min="10500" max="10752" width="9.33203125" style="774"/>
    <col min="10753" max="10753" width="13.83203125" style="774" customWidth="1"/>
    <col min="10754" max="10754" width="79.1640625" style="774" customWidth="1"/>
    <col min="10755" max="10755" width="25" style="774" customWidth="1"/>
    <col min="10756" max="11008" width="9.33203125" style="774"/>
    <col min="11009" max="11009" width="13.83203125" style="774" customWidth="1"/>
    <col min="11010" max="11010" width="79.1640625" style="774" customWidth="1"/>
    <col min="11011" max="11011" width="25" style="774" customWidth="1"/>
    <col min="11012" max="11264" width="9.33203125" style="774"/>
    <col min="11265" max="11265" width="13.83203125" style="774" customWidth="1"/>
    <col min="11266" max="11266" width="79.1640625" style="774" customWidth="1"/>
    <col min="11267" max="11267" width="25" style="774" customWidth="1"/>
    <col min="11268" max="11520" width="9.33203125" style="774"/>
    <col min="11521" max="11521" width="13.83203125" style="774" customWidth="1"/>
    <col min="11522" max="11522" width="79.1640625" style="774" customWidth="1"/>
    <col min="11523" max="11523" width="25" style="774" customWidth="1"/>
    <col min="11524" max="11776" width="9.33203125" style="774"/>
    <col min="11777" max="11777" width="13.83203125" style="774" customWidth="1"/>
    <col min="11778" max="11778" width="79.1640625" style="774" customWidth="1"/>
    <col min="11779" max="11779" width="25" style="774" customWidth="1"/>
    <col min="11780" max="12032" width="9.33203125" style="774"/>
    <col min="12033" max="12033" width="13.83203125" style="774" customWidth="1"/>
    <col min="12034" max="12034" width="79.1640625" style="774" customWidth="1"/>
    <col min="12035" max="12035" width="25" style="774" customWidth="1"/>
    <col min="12036" max="12288" width="9.33203125" style="774"/>
    <col min="12289" max="12289" width="13.83203125" style="774" customWidth="1"/>
    <col min="12290" max="12290" width="79.1640625" style="774" customWidth="1"/>
    <col min="12291" max="12291" width="25" style="774" customWidth="1"/>
    <col min="12292" max="12544" width="9.33203125" style="774"/>
    <col min="12545" max="12545" width="13.83203125" style="774" customWidth="1"/>
    <col min="12546" max="12546" width="79.1640625" style="774" customWidth="1"/>
    <col min="12547" max="12547" width="25" style="774" customWidth="1"/>
    <col min="12548" max="12800" width="9.33203125" style="774"/>
    <col min="12801" max="12801" width="13.83203125" style="774" customWidth="1"/>
    <col min="12802" max="12802" width="79.1640625" style="774" customWidth="1"/>
    <col min="12803" max="12803" width="25" style="774" customWidth="1"/>
    <col min="12804" max="13056" width="9.33203125" style="774"/>
    <col min="13057" max="13057" width="13.83203125" style="774" customWidth="1"/>
    <col min="13058" max="13058" width="79.1640625" style="774" customWidth="1"/>
    <col min="13059" max="13059" width="25" style="774" customWidth="1"/>
    <col min="13060" max="13312" width="9.33203125" style="774"/>
    <col min="13313" max="13313" width="13.83203125" style="774" customWidth="1"/>
    <col min="13314" max="13314" width="79.1640625" style="774" customWidth="1"/>
    <col min="13315" max="13315" width="25" style="774" customWidth="1"/>
    <col min="13316" max="13568" width="9.33203125" style="774"/>
    <col min="13569" max="13569" width="13.83203125" style="774" customWidth="1"/>
    <col min="13570" max="13570" width="79.1640625" style="774" customWidth="1"/>
    <col min="13571" max="13571" width="25" style="774" customWidth="1"/>
    <col min="13572" max="13824" width="9.33203125" style="774"/>
    <col min="13825" max="13825" width="13.83203125" style="774" customWidth="1"/>
    <col min="13826" max="13826" width="79.1640625" style="774" customWidth="1"/>
    <col min="13827" max="13827" width="25" style="774" customWidth="1"/>
    <col min="13828" max="14080" width="9.33203125" style="774"/>
    <col min="14081" max="14081" width="13.83203125" style="774" customWidth="1"/>
    <col min="14082" max="14082" width="79.1640625" style="774" customWidth="1"/>
    <col min="14083" max="14083" width="25" style="774" customWidth="1"/>
    <col min="14084" max="14336" width="9.33203125" style="774"/>
    <col min="14337" max="14337" width="13.83203125" style="774" customWidth="1"/>
    <col min="14338" max="14338" width="79.1640625" style="774" customWidth="1"/>
    <col min="14339" max="14339" width="25" style="774" customWidth="1"/>
    <col min="14340" max="14592" width="9.33203125" style="774"/>
    <col min="14593" max="14593" width="13.83203125" style="774" customWidth="1"/>
    <col min="14594" max="14594" width="79.1640625" style="774" customWidth="1"/>
    <col min="14595" max="14595" width="25" style="774" customWidth="1"/>
    <col min="14596" max="14848" width="9.33203125" style="774"/>
    <col min="14849" max="14849" width="13.83203125" style="774" customWidth="1"/>
    <col min="14850" max="14850" width="79.1640625" style="774" customWidth="1"/>
    <col min="14851" max="14851" width="25" style="774" customWidth="1"/>
    <col min="14852" max="15104" width="9.33203125" style="774"/>
    <col min="15105" max="15105" width="13.83203125" style="774" customWidth="1"/>
    <col min="15106" max="15106" width="79.1640625" style="774" customWidth="1"/>
    <col min="15107" max="15107" width="25" style="774" customWidth="1"/>
    <col min="15108" max="15360" width="9.33203125" style="774"/>
    <col min="15361" max="15361" width="13.83203125" style="774" customWidth="1"/>
    <col min="15362" max="15362" width="79.1640625" style="774" customWidth="1"/>
    <col min="15363" max="15363" width="25" style="774" customWidth="1"/>
    <col min="15364" max="15616" width="9.33203125" style="774"/>
    <col min="15617" max="15617" width="13.83203125" style="774" customWidth="1"/>
    <col min="15618" max="15618" width="79.1640625" style="774" customWidth="1"/>
    <col min="15619" max="15619" width="25" style="774" customWidth="1"/>
    <col min="15620" max="15872" width="9.33203125" style="774"/>
    <col min="15873" max="15873" width="13.83203125" style="774" customWidth="1"/>
    <col min="15874" max="15874" width="79.1640625" style="774" customWidth="1"/>
    <col min="15875" max="15875" width="25" style="774" customWidth="1"/>
    <col min="15876" max="16128" width="9.33203125" style="774"/>
    <col min="16129" max="16129" width="13.83203125" style="774" customWidth="1"/>
    <col min="16130" max="16130" width="79.1640625" style="774" customWidth="1"/>
    <col min="16131" max="16131" width="25" style="774" customWidth="1"/>
    <col min="16132" max="16384" width="9.33203125" style="774"/>
  </cols>
  <sheetData>
    <row r="1" spans="1:3" ht="12.75" customHeight="1" x14ac:dyDescent="0.2">
      <c r="A1" s="1482" t="str">
        <f>CONCATENATE("9.6.3. melléklet"," ",ALAPADATOK!A7," ",ALAPADATOK!B7," ",ALAPADATOK!C7," ",ALAPADATOK!D7," ",ALAPADATOK!E7," ",ALAPADATOK!F7," ",ALAPADATOK!G7," ",ALAPADATOK!H7)</f>
        <v>9.6.3. melléklet a 19 / 2021. ( XI.29. ) önkormányzati rendelethez</v>
      </c>
      <c r="B1" s="1482"/>
      <c r="C1" s="1482"/>
    </row>
    <row r="2" spans="1:3" s="77" customFormat="1" ht="21" customHeight="1" thickBot="1" x14ac:dyDescent="0.25">
      <c r="A2" s="76"/>
      <c r="B2" s="78"/>
      <c r="C2" s="961"/>
    </row>
    <row r="3" spans="1:3" s="217" customFormat="1" ht="34.5" customHeight="1" x14ac:dyDescent="0.2">
      <c r="A3" s="174" t="s">
        <v>153</v>
      </c>
      <c r="B3" s="154" t="s">
        <v>486</v>
      </c>
      <c r="C3" s="327" t="s">
        <v>57</v>
      </c>
    </row>
    <row r="4" spans="1:3" s="217" customFormat="1" ht="24.75" thickBot="1" x14ac:dyDescent="0.25">
      <c r="A4" s="210" t="s">
        <v>152</v>
      </c>
      <c r="B4" s="155" t="s">
        <v>546</v>
      </c>
      <c r="C4" s="328" t="s">
        <v>57</v>
      </c>
    </row>
    <row r="5" spans="1:3" s="218" customFormat="1" ht="15.95" customHeight="1" thickBot="1" x14ac:dyDescent="0.3">
      <c r="A5" s="79"/>
      <c r="B5" s="79"/>
      <c r="C5" s="329" t="s">
        <v>495</v>
      </c>
    </row>
    <row r="6" spans="1:3" ht="13.5" thickBot="1" x14ac:dyDescent="0.25">
      <c r="A6" s="175" t="s">
        <v>154</v>
      </c>
      <c r="B6" s="81" t="s">
        <v>50</v>
      </c>
      <c r="C6" s="330" t="s">
        <v>51</v>
      </c>
    </row>
    <row r="7" spans="1:3" s="219" customFormat="1" ht="12.95" customHeight="1" thickBot="1" x14ac:dyDescent="0.25">
      <c r="A7" s="71" t="s">
        <v>391</v>
      </c>
      <c r="B7" s="72" t="s">
        <v>392</v>
      </c>
      <c r="C7" s="331" t="s">
        <v>393</v>
      </c>
    </row>
    <row r="8" spans="1:3" s="219" customFormat="1" ht="15.95" customHeight="1" thickBot="1" x14ac:dyDescent="0.25">
      <c r="A8" s="83"/>
      <c r="B8" s="84" t="s">
        <v>52</v>
      </c>
      <c r="C8" s="332"/>
    </row>
    <row r="9" spans="1:3" s="168" customFormat="1" ht="12" customHeight="1" thickBot="1" x14ac:dyDescent="0.25">
      <c r="A9" s="71" t="s">
        <v>16</v>
      </c>
      <c r="B9" s="86" t="s">
        <v>467</v>
      </c>
      <c r="C9" s="569">
        <f>SUM(C10:C20)</f>
        <v>0</v>
      </c>
    </row>
    <row r="10" spans="1:3" s="168" customFormat="1" ht="12" customHeight="1" x14ac:dyDescent="0.2">
      <c r="A10" s="211" t="s">
        <v>86</v>
      </c>
      <c r="B10" s="7" t="s">
        <v>209</v>
      </c>
      <c r="C10" s="570"/>
    </row>
    <row r="11" spans="1:3" s="168" customFormat="1" ht="12" customHeight="1" x14ac:dyDescent="0.2">
      <c r="A11" s="212" t="s">
        <v>87</v>
      </c>
      <c r="B11" s="5" t="s">
        <v>210</v>
      </c>
      <c r="C11" s="571"/>
    </row>
    <row r="12" spans="1:3" s="168" customFormat="1" ht="12" customHeight="1" x14ac:dyDescent="0.2">
      <c r="A12" s="212" t="s">
        <v>88</v>
      </c>
      <c r="B12" s="5" t="s">
        <v>211</v>
      </c>
      <c r="C12" s="571"/>
    </row>
    <row r="13" spans="1:3" s="168" customFormat="1" ht="12" customHeight="1" x14ac:dyDescent="0.2">
      <c r="A13" s="212" t="s">
        <v>89</v>
      </c>
      <c r="B13" s="5" t="s">
        <v>212</v>
      </c>
      <c r="C13" s="571"/>
    </row>
    <row r="14" spans="1:3" s="168" customFormat="1" ht="12" customHeight="1" x14ac:dyDescent="0.2">
      <c r="A14" s="212" t="s">
        <v>112</v>
      </c>
      <c r="B14" s="5" t="s">
        <v>213</v>
      </c>
      <c r="C14" s="571"/>
    </row>
    <row r="15" spans="1:3" s="168" customFormat="1" ht="12" customHeight="1" x14ac:dyDescent="0.2">
      <c r="A15" s="212" t="s">
        <v>90</v>
      </c>
      <c r="B15" s="5" t="s">
        <v>333</v>
      </c>
      <c r="C15" s="571"/>
    </row>
    <row r="16" spans="1:3" s="168" customFormat="1" ht="12" customHeight="1" x14ac:dyDescent="0.2">
      <c r="A16" s="212" t="s">
        <v>91</v>
      </c>
      <c r="B16" s="4" t="s">
        <v>334</v>
      </c>
      <c r="C16" s="571"/>
    </row>
    <row r="17" spans="1:3" s="168" customFormat="1" ht="12" customHeight="1" x14ac:dyDescent="0.2">
      <c r="A17" s="212" t="s">
        <v>101</v>
      </c>
      <c r="B17" s="5" t="s">
        <v>216</v>
      </c>
      <c r="C17" s="572"/>
    </row>
    <row r="18" spans="1:3" s="220" customFormat="1" ht="12" customHeight="1" x14ac:dyDescent="0.2">
      <c r="A18" s="212" t="s">
        <v>102</v>
      </c>
      <c r="B18" s="5" t="s">
        <v>217</v>
      </c>
      <c r="C18" s="571"/>
    </row>
    <row r="19" spans="1:3" s="220" customFormat="1" ht="12" customHeight="1" x14ac:dyDescent="0.2">
      <c r="A19" s="212" t="s">
        <v>103</v>
      </c>
      <c r="B19" s="5" t="s">
        <v>397</v>
      </c>
      <c r="C19" s="573"/>
    </row>
    <row r="20" spans="1:3" s="220" customFormat="1" ht="12" customHeight="1" thickBot="1" x14ac:dyDescent="0.25">
      <c r="A20" s="212" t="s">
        <v>104</v>
      </c>
      <c r="B20" s="4" t="s">
        <v>218</v>
      </c>
      <c r="C20" s="573"/>
    </row>
    <row r="21" spans="1:3" s="168" customFormat="1" ht="12" customHeight="1" thickBot="1" x14ac:dyDescent="0.25">
      <c r="A21" s="71" t="s">
        <v>17</v>
      </c>
      <c r="B21" s="86" t="s">
        <v>335</v>
      </c>
      <c r="C21" s="569">
        <f>SUM(C22:C24)</f>
        <v>0</v>
      </c>
    </row>
    <row r="22" spans="1:3" s="220" customFormat="1" ht="12" customHeight="1" x14ac:dyDescent="0.2">
      <c r="A22" s="212" t="s">
        <v>92</v>
      </c>
      <c r="B22" s="6" t="s">
        <v>187</v>
      </c>
      <c r="C22" s="574"/>
    </row>
    <row r="23" spans="1:3" s="220" customFormat="1" ht="12" customHeight="1" x14ac:dyDescent="0.2">
      <c r="A23" s="212" t="s">
        <v>93</v>
      </c>
      <c r="B23" s="5" t="s">
        <v>336</v>
      </c>
      <c r="C23" s="571"/>
    </row>
    <row r="24" spans="1:3" s="220" customFormat="1" ht="12" customHeight="1" x14ac:dyDescent="0.2">
      <c r="A24" s="212" t="s">
        <v>94</v>
      </c>
      <c r="B24" s="5" t="s">
        <v>337</v>
      </c>
      <c r="C24" s="575"/>
    </row>
    <row r="25" spans="1:3" s="220" customFormat="1" ht="12" customHeight="1" thickBot="1" x14ac:dyDescent="0.25">
      <c r="A25" s="212" t="s">
        <v>95</v>
      </c>
      <c r="B25" s="5" t="s">
        <v>468</v>
      </c>
      <c r="C25" s="571"/>
    </row>
    <row r="26" spans="1:3" s="220" customFormat="1" ht="12" customHeight="1" thickBot="1" x14ac:dyDescent="0.25">
      <c r="A26" s="74" t="s">
        <v>18</v>
      </c>
      <c r="B26" s="54" t="s">
        <v>126</v>
      </c>
      <c r="C26" s="576"/>
    </row>
    <row r="27" spans="1:3" s="220" customFormat="1" ht="12" customHeight="1" thickBot="1" x14ac:dyDescent="0.25">
      <c r="A27" s="74" t="s">
        <v>19</v>
      </c>
      <c r="B27" s="54" t="s">
        <v>469</v>
      </c>
      <c r="C27" s="569">
        <f>+C28+C29+C30</f>
        <v>0</v>
      </c>
    </row>
    <row r="28" spans="1:3" s="220" customFormat="1" ht="12" customHeight="1" x14ac:dyDescent="0.2">
      <c r="A28" s="213" t="s">
        <v>197</v>
      </c>
      <c r="B28" s="214" t="s">
        <v>192</v>
      </c>
      <c r="C28" s="577"/>
    </row>
    <row r="29" spans="1:3" s="220" customFormat="1" ht="12" customHeight="1" x14ac:dyDescent="0.2">
      <c r="A29" s="213" t="s">
        <v>200</v>
      </c>
      <c r="B29" s="214" t="s">
        <v>336</v>
      </c>
      <c r="C29" s="574"/>
    </row>
    <row r="30" spans="1:3" s="220" customFormat="1" ht="12" customHeight="1" x14ac:dyDescent="0.2">
      <c r="A30" s="213" t="s">
        <v>201</v>
      </c>
      <c r="B30" s="215" t="s">
        <v>338</v>
      </c>
      <c r="C30" s="574"/>
    </row>
    <row r="31" spans="1:3" s="220" customFormat="1" ht="12" customHeight="1" thickBot="1" x14ac:dyDescent="0.25">
      <c r="A31" s="212" t="s">
        <v>202</v>
      </c>
      <c r="B31" s="57" t="s">
        <v>470</v>
      </c>
      <c r="C31" s="578"/>
    </row>
    <row r="32" spans="1:3" s="220" customFormat="1" ht="12" customHeight="1" thickBot="1" x14ac:dyDescent="0.25">
      <c r="A32" s="74" t="s">
        <v>20</v>
      </c>
      <c r="B32" s="54" t="s">
        <v>339</v>
      </c>
      <c r="C32" s="569">
        <f>+C33+C34+C35</f>
        <v>0</v>
      </c>
    </row>
    <row r="33" spans="1:3" s="220" customFormat="1" ht="12" customHeight="1" x14ac:dyDescent="0.2">
      <c r="A33" s="213" t="s">
        <v>79</v>
      </c>
      <c r="B33" s="214" t="s">
        <v>223</v>
      </c>
      <c r="C33" s="577"/>
    </row>
    <row r="34" spans="1:3" s="220" customFormat="1" ht="12" customHeight="1" x14ac:dyDescent="0.2">
      <c r="A34" s="213" t="s">
        <v>80</v>
      </c>
      <c r="B34" s="215" t="s">
        <v>224</v>
      </c>
      <c r="C34" s="572"/>
    </row>
    <row r="35" spans="1:3" s="168" customFormat="1" ht="12" customHeight="1" thickBot="1" x14ac:dyDescent="0.25">
      <c r="A35" s="212" t="s">
        <v>81</v>
      </c>
      <c r="B35" s="57" t="s">
        <v>225</v>
      </c>
      <c r="C35" s="578"/>
    </row>
    <row r="36" spans="1:3" s="168" customFormat="1" ht="12" customHeight="1" thickBot="1" x14ac:dyDescent="0.25">
      <c r="A36" s="74" t="s">
        <v>21</v>
      </c>
      <c r="B36" s="54" t="s">
        <v>311</v>
      </c>
      <c r="C36" s="576"/>
    </row>
    <row r="37" spans="1:3" s="168" customFormat="1" ht="12" customHeight="1" thickBot="1" x14ac:dyDescent="0.25">
      <c r="A37" s="74" t="s">
        <v>22</v>
      </c>
      <c r="B37" s="54" t="s">
        <v>340</v>
      </c>
      <c r="C37" s="579"/>
    </row>
    <row r="38" spans="1:3" s="168" customFormat="1" ht="12" customHeight="1" thickBot="1" x14ac:dyDescent="0.25">
      <c r="A38" s="71" t="s">
        <v>23</v>
      </c>
      <c r="B38" s="54" t="s">
        <v>341</v>
      </c>
      <c r="C38" s="580">
        <f>+C9+C21+C26+C27+C32+C36+C37</f>
        <v>0</v>
      </c>
    </row>
    <row r="39" spans="1:3" s="168" customFormat="1" ht="12" customHeight="1" thickBot="1" x14ac:dyDescent="0.25">
      <c r="A39" s="962" t="s">
        <v>24</v>
      </c>
      <c r="B39" s="54" t="s">
        <v>342</v>
      </c>
      <c r="C39" s="580">
        <f>+C40+C41+C42</f>
        <v>0</v>
      </c>
    </row>
    <row r="40" spans="1:3" s="168" customFormat="1" ht="12" customHeight="1" x14ac:dyDescent="0.2">
      <c r="A40" s="213" t="s">
        <v>343</v>
      </c>
      <c r="B40" s="214" t="s">
        <v>168</v>
      </c>
      <c r="C40" s="577"/>
    </row>
    <row r="41" spans="1:3" s="220" customFormat="1" ht="12" customHeight="1" x14ac:dyDescent="0.2">
      <c r="A41" s="213" t="s">
        <v>344</v>
      </c>
      <c r="B41" s="215" t="s">
        <v>6</v>
      </c>
      <c r="C41" s="572"/>
    </row>
    <row r="42" spans="1:3" s="220" customFormat="1" ht="15" customHeight="1" thickBot="1" x14ac:dyDescent="0.25">
      <c r="A42" s="212" t="s">
        <v>345</v>
      </c>
      <c r="B42" s="57" t="s">
        <v>346</v>
      </c>
      <c r="C42" s="578"/>
    </row>
    <row r="43" spans="1:3" s="220" customFormat="1" ht="15" customHeight="1" thickBot="1" x14ac:dyDescent="0.25">
      <c r="A43" s="962" t="s">
        <v>25</v>
      </c>
      <c r="B43" s="963" t="s">
        <v>347</v>
      </c>
      <c r="C43" s="581">
        <f>+C38+C39</f>
        <v>0</v>
      </c>
    </row>
    <row r="44" spans="1:3" x14ac:dyDescent="0.2">
      <c r="A44" s="89"/>
      <c r="B44" s="90"/>
      <c r="C44" s="582"/>
    </row>
    <row r="45" spans="1:3" s="219" customFormat="1" ht="16.5" customHeight="1" thickBot="1" x14ac:dyDescent="0.25">
      <c r="A45" s="91"/>
      <c r="B45" s="92"/>
      <c r="C45" s="583"/>
    </row>
    <row r="46" spans="1:3" s="221" customFormat="1" ht="12" customHeight="1" thickBot="1" x14ac:dyDescent="0.25">
      <c r="A46" s="93"/>
      <c r="B46" s="94" t="s">
        <v>53</v>
      </c>
      <c r="C46" s="581"/>
    </row>
    <row r="47" spans="1:3" ht="12" customHeight="1" thickBot="1" x14ac:dyDescent="0.25">
      <c r="A47" s="74" t="s">
        <v>16</v>
      </c>
      <c r="B47" s="54" t="s">
        <v>348</v>
      </c>
      <c r="C47" s="856">
        <f>SUM(C48:C52)</f>
        <v>0</v>
      </c>
    </row>
    <row r="48" spans="1:3" ht="12" customHeight="1" x14ac:dyDescent="0.2">
      <c r="A48" s="212" t="s">
        <v>86</v>
      </c>
      <c r="B48" s="6" t="s">
        <v>46</v>
      </c>
      <c r="C48" s="853"/>
    </row>
    <row r="49" spans="1:4" ht="12" customHeight="1" x14ac:dyDescent="0.2">
      <c r="A49" s="212" t="s">
        <v>87</v>
      </c>
      <c r="B49" s="5" t="s">
        <v>135</v>
      </c>
      <c r="C49" s="854"/>
    </row>
    <row r="50" spans="1:4" ht="12" customHeight="1" x14ac:dyDescent="0.2">
      <c r="A50" s="212" t="s">
        <v>88</v>
      </c>
      <c r="B50" s="5" t="s">
        <v>111</v>
      </c>
      <c r="C50" s="571"/>
    </row>
    <row r="51" spans="1:4" ht="12" customHeight="1" x14ac:dyDescent="0.2">
      <c r="A51" s="212" t="s">
        <v>89</v>
      </c>
      <c r="B51" s="5" t="s">
        <v>136</v>
      </c>
      <c r="C51" s="571"/>
    </row>
    <row r="52" spans="1:4" ht="12" customHeight="1" thickBot="1" x14ac:dyDescent="0.25">
      <c r="A52" s="212" t="s">
        <v>112</v>
      </c>
      <c r="B52" s="5" t="s">
        <v>137</v>
      </c>
      <c r="C52" s="571"/>
    </row>
    <row r="53" spans="1:4" s="221" customFormat="1" ht="12" customHeight="1" thickBot="1" x14ac:dyDescent="0.25">
      <c r="A53" s="74" t="s">
        <v>17</v>
      </c>
      <c r="B53" s="54" t="s">
        <v>349</v>
      </c>
      <c r="C53" s="569">
        <f>SUM(C54:C56)</f>
        <v>0</v>
      </c>
    </row>
    <row r="54" spans="1:4" ht="12" customHeight="1" x14ac:dyDescent="0.2">
      <c r="A54" s="212" t="s">
        <v>92</v>
      </c>
      <c r="B54" s="6" t="s">
        <v>159</v>
      </c>
      <c r="C54" s="577"/>
    </row>
    <row r="55" spans="1:4" ht="12" customHeight="1" x14ac:dyDescent="0.2">
      <c r="A55" s="212" t="s">
        <v>93</v>
      </c>
      <c r="B55" s="5" t="s">
        <v>139</v>
      </c>
      <c r="C55" s="571"/>
    </row>
    <row r="56" spans="1:4" ht="12" customHeight="1" x14ac:dyDescent="0.2">
      <c r="A56" s="212" t="s">
        <v>94</v>
      </c>
      <c r="B56" s="5" t="s">
        <v>54</v>
      </c>
      <c r="C56" s="571"/>
    </row>
    <row r="57" spans="1:4" ht="15" customHeight="1" thickBot="1" x14ac:dyDescent="0.25">
      <c r="A57" s="212" t="s">
        <v>95</v>
      </c>
      <c r="B57" s="5" t="s">
        <v>471</v>
      </c>
      <c r="C57" s="571"/>
    </row>
    <row r="58" spans="1:4" ht="13.5" thickBot="1" x14ac:dyDescent="0.25">
      <c r="A58" s="74" t="s">
        <v>18</v>
      </c>
      <c r="B58" s="54" t="s">
        <v>12</v>
      </c>
      <c r="C58" s="576"/>
      <c r="D58" s="676"/>
    </row>
    <row r="59" spans="1:4" ht="15" customHeight="1" thickBot="1" x14ac:dyDescent="0.25">
      <c r="A59" s="74" t="s">
        <v>19</v>
      </c>
      <c r="B59" s="95" t="s">
        <v>472</v>
      </c>
      <c r="C59" s="164">
        <f>+C47+C53+C58</f>
        <v>0</v>
      </c>
    </row>
    <row r="60" spans="1:4" ht="14.25" customHeight="1" thickBot="1" x14ac:dyDescent="0.25">
      <c r="C60" s="585"/>
    </row>
    <row r="61" spans="1:4" ht="13.5" thickBot="1" x14ac:dyDescent="0.25">
      <c r="A61" s="97" t="s">
        <v>465</v>
      </c>
      <c r="B61" s="98"/>
      <c r="C61" s="586">
        <v>0</v>
      </c>
    </row>
    <row r="62" spans="1:4" ht="13.5" thickBot="1" x14ac:dyDescent="0.25">
      <c r="A62" s="1493"/>
      <c r="B62" s="1494"/>
      <c r="C62" s="450"/>
      <c r="D62" s="321"/>
    </row>
  </sheetData>
  <sheetProtection formatCells="0"/>
  <mergeCells count="2">
    <mergeCell ref="A1:C1"/>
    <mergeCell ref="A62:B62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41"/>
  <dimension ref="A1:M58"/>
  <sheetViews>
    <sheetView zoomScaleNormal="100" workbookViewId="0">
      <selection activeCell="C10" sqref="C10"/>
    </sheetView>
  </sheetViews>
  <sheetFormatPr defaultRowHeight="12.75" x14ac:dyDescent="0.2"/>
  <cols>
    <col min="1" max="1" width="13.83203125" style="96" customWidth="1"/>
    <col min="2" max="2" width="79.1640625" style="774" customWidth="1"/>
    <col min="3" max="3" width="25" style="333" customWidth="1"/>
    <col min="4" max="4" width="9.33203125" style="774" customWidth="1"/>
    <col min="5" max="5" width="11.83203125" style="797" hidden="1" customWidth="1"/>
    <col min="6" max="6" width="12.5" style="797" hidden="1" customWidth="1"/>
    <col min="7" max="8" width="9.33203125" style="774" customWidth="1"/>
    <col min="9" max="256" width="9.33203125" style="774"/>
    <col min="257" max="257" width="13.83203125" style="774" customWidth="1"/>
    <col min="258" max="258" width="79.1640625" style="774" customWidth="1"/>
    <col min="259" max="259" width="25" style="774" customWidth="1"/>
    <col min="260" max="512" width="9.33203125" style="774"/>
    <col min="513" max="513" width="13.83203125" style="774" customWidth="1"/>
    <col min="514" max="514" width="79.1640625" style="774" customWidth="1"/>
    <col min="515" max="515" width="25" style="774" customWidth="1"/>
    <col min="516" max="768" width="9.33203125" style="774"/>
    <col min="769" max="769" width="13.83203125" style="774" customWidth="1"/>
    <col min="770" max="770" width="79.1640625" style="774" customWidth="1"/>
    <col min="771" max="771" width="25" style="774" customWidth="1"/>
    <col min="772" max="1024" width="9.33203125" style="774"/>
    <col min="1025" max="1025" width="13.83203125" style="774" customWidth="1"/>
    <col min="1026" max="1026" width="79.1640625" style="774" customWidth="1"/>
    <col min="1027" max="1027" width="25" style="774" customWidth="1"/>
    <col min="1028" max="1280" width="9.33203125" style="774"/>
    <col min="1281" max="1281" width="13.83203125" style="774" customWidth="1"/>
    <col min="1282" max="1282" width="79.1640625" style="774" customWidth="1"/>
    <col min="1283" max="1283" width="25" style="774" customWidth="1"/>
    <col min="1284" max="1536" width="9.33203125" style="774"/>
    <col min="1537" max="1537" width="13.83203125" style="774" customWidth="1"/>
    <col min="1538" max="1538" width="79.1640625" style="774" customWidth="1"/>
    <col min="1539" max="1539" width="25" style="774" customWidth="1"/>
    <col min="1540" max="1792" width="9.33203125" style="774"/>
    <col min="1793" max="1793" width="13.83203125" style="774" customWidth="1"/>
    <col min="1794" max="1794" width="79.1640625" style="774" customWidth="1"/>
    <col min="1795" max="1795" width="25" style="774" customWidth="1"/>
    <col min="1796" max="2048" width="9.33203125" style="774"/>
    <col min="2049" max="2049" width="13.83203125" style="774" customWidth="1"/>
    <col min="2050" max="2050" width="79.1640625" style="774" customWidth="1"/>
    <col min="2051" max="2051" width="25" style="774" customWidth="1"/>
    <col min="2052" max="2304" width="9.33203125" style="774"/>
    <col min="2305" max="2305" width="13.83203125" style="774" customWidth="1"/>
    <col min="2306" max="2306" width="79.1640625" style="774" customWidth="1"/>
    <col min="2307" max="2307" width="25" style="774" customWidth="1"/>
    <col min="2308" max="2560" width="9.33203125" style="774"/>
    <col min="2561" max="2561" width="13.83203125" style="774" customWidth="1"/>
    <col min="2562" max="2562" width="79.1640625" style="774" customWidth="1"/>
    <col min="2563" max="2563" width="25" style="774" customWidth="1"/>
    <col min="2564" max="2816" width="9.33203125" style="774"/>
    <col min="2817" max="2817" width="13.83203125" style="774" customWidth="1"/>
    <col min="2818" max="2818" width="79.1640625" style="774" customWidth="1"/>
    <col min="2819" max="2819" width="25" style="774" customWidth="1"/>
    <col min="2820" max="3072" width="9.33203125" style="774"/>
    <col min="3073" max="3073" width="13.83203125" style="774" customWidth="1"/>
    <col min="3074" max="3074" width="79.1640625" style="774" customWidth="1"/>
    <col min="3075" max="3075" width="25" style="774" customWidth="1"/>
    <col min="3076" max="3328" width="9.33203125" style="774"/>
    <col min="3329" max="3329" width="13.83203125" style="774" customWidth="1"/>
    <col min="3330" max="3330" width="79.1640625" style="774" customWidth="1"/>
    <col min="3331" max="3331" width="25" style="774" customWidth="1"/>
    <col min="3332" max="3584" width="9.33203125" style="774"/>
    <col min="3585" max="3585" width="13.83203125" style="774" customWidth="1"/>
    <col min="3586" max="3586" width="79.1640625" style="774" customWidth="1"/>
    <col min="3587" max="3587" width="25" style="774" customWidth="1"/>
    <col min="3588" max="3840" width="9.33203125" style="774"/>
    <col min="3841" max="3841" width="13.83203125" style="774" customWidth="1"/>
    <col min="3842" max="3842" width="79.1640625" style="774" customWidth="1"/>
    <col min="3843" max="3843" width="25" style="774" customWidth="1"/>
    <col min="3844" max="4096" width="9.33203125" style="774"/>
    <col min="4097" max="4097" width="13.83203125" style="774" customWidth="1"/>
    <col min="4098" max="4098" width="79.1640625" style="774" customWidth="1"/>
    <col min="4099" max="4099" width="25" style="774" customWidth="1"/>
    <col min="4100" max="4352" width="9.33203125" style="774"/>
    <col min="4353" max="4353" width="13.83203125" style="774" customWidth="1"/>
    <col min="4354" max="4354" width="79.1640625" style="774" customWidth="1"/>
    <col min="4355" max="4355" width="25" style="774" customWidth="1"/>
    <col min="4356" max="4608" width="9.33203125" style="774"/>
    <col min="4609" max="4609" width="13.83203125" style="774" customWidth="1"/>
    <col min="4610" max="4610" width="79.1640625" style="774" customWidth="1"/>
    <col min="4611" max="4611" width="25" style="774" customWidth="1"/>
    <col min="4612" max="4864" width="9.33203125" style="774"/>
    <col min="4865" max="4865" width="13.83203125" style="774" customWidth="1"/>
    <col min="4866" max="4866" width="79.1640625" style="774" customWidth="1"/>
    <col min="4867" max="4867" width="25" style="774" customWidth="1"/>
    <col min="4868" max="5120" width="9.33203125" style="774"/>
    <col min="5121" max="5121" width="13.83203125" style="774" customWidth="1"/>
    <col min="5122" max="5122" width="79.1640625" style="774" customWidth="1"/>
    <col min="5123" max="5123" width="25" style="774" customWidth="1"/>
    <col min="5124" max="5376" width="9.33203125" style="774"/>
    <col min="5377" max="5377" width="13.83203125" style="774" customWidth="1"/>
    <col min="5378" max="5378" width="79.1640625" style="774" customWidth="1"/>
    <col min="5379" max="5379" width="25" style="774" customWidth="1"/>
    <col min="5380" max="5632" width="9.33203125" style="774"/>
    <col min="5633" max="5633" width="13.83203125" style="774" customWidth="1"/>
    <col min="5634" max="5634" width="79.1640625" style="774" customWidth="1"/>
    <col min="5635" max="5635" width="25" style="774" customWidth="1"/>
    <col min="5636" max="5888" width="9.33203125" style="774"/>
    <col min="5889" max="5889" width="13.83203125" style="774" customWidth="1"/>
    <col min="5890" max="5890" width="79.1640625" style="774" customWidth="1"/>
    <col min="5891" max="5891" width="25" style="774" customWidth="1"/>
    <col min="5892" max="6144" width="9.33203125" style="774"/>
    <col min="6145" max="6145" width="13.83203125" style="774" customWidth="1"/>
    <col min="6146" max="6146" width="79.1640625" style="774" customWidth="1"/>
    <col min="6147" max="6147" width="25" style="774" customWidth="1"/>
    <col min="6148" max="6400" width="9.33203125" style="774"/>
    <col min="6401" max="6401" width="13.83203125" style="774" customWidth="1"/>
    <col min="6402" max="6402" width="79.1640625" style="774" customWidth="1"/>
    <col min="6403" max="6403" width="25" style="774" customWidth="1"/>
    <col min="6404" max="6656" width="9.33203125" style="774"/>
    <col min="6657" max="6657" width="13.83203125" style="774" customWidth="1"/>
    <col min="6658" max="6658" width="79.1640625" style="774" customWidth="1"/>
    <col min="6659" max="6659" width="25" style="774" customWidth="1"/>
    <col min="6660" max="6912" width="9.33203125" style="774"/>
    <col min="6913" max="6913" width="13.83203125" style="774" customWidth="1"/>
    <col min="6914" max="6914" width="79.1640625" style="774" customWidth="1"/>
    <col min="6915" max="6915" width="25" style="774" customWidth="1"/>
    <col min="6916" max="7168" width="9.33203125" style="774"/>
    <col min="7169" max="7169" width="13.83203125" style="774" customWidth="1"/>
    <col min="7170" max="7170" width="79.1640625" style="774" customWidth="1"/>
    <col min="7171" max="7171" width="25" style="774" customWidth="1"/>
    <col min="7172" max="7424" width="9.33203125" style="774"/>
    <col min="7425" max="7425" width="13.83203125" style="774" customWidth="1"/>
    <col min="7426" max="7426" width="79.1640625" style="774" customWidth="1"/>
    <col min="7427" max="7427" width="25" style="774" customWidth="1"/>
    <col min="7428" max="7680" width="9.33203125" style="774"/>
    <col min="7681" max="7681" width="13.83203125" style="774" customWidth="1"/>
    <col min="7682" max="7682" width="79.1640625" style="774" customWidth="1"/>
    <col min="7683" max="7683" width="25" style="774" customWidth="1"/>
    <col min="7684" max="7936" width="9.33203125" style="774"/>
    <col min="7937" max="7937" width="13.83203125" style="774" customWidth="1"/>
    <col min="7938" max="7938" width="79.1640625" style="774" customWidth="1"/>
    <col min="7939" max="7939" width="25" style="774" customWidth="1"/>
    <col min="7940" max="8192" width="9.33203125" style="774"/>
    <col min="8193" max="8193" width="13.83203125" style="774" customWidth="1"/>
    <col min="8194" max="8194" width="79.1640625" style="774" customWidth="1"/>
    <col min="8195" max="8195" width="25" style="774" customWidth="1"/>
    <col min="8196" max="8448" width="9.33203125" style="774"/>
    <col min="8449" max="8449" width="13.83203125" style="774" customWidth="1"/>
    <col min="8450" max="8450" width="79.1640625" style="774" customWidth="1"/>
    <col min="8451" max="8451" width="25" style="774" customWidth="1"/>
    <col min="8452" max="8704" width="9.33203125" style="774"/>
    <col min="8705" max="8705" width="13.83203125" style="774" customWidth="1"/>
    <col min="8706" max="8706" width="79.1640625" style="774" customWidth="1"/>
    <col min="8707" max="8707" width="25" style="774" customWidth="1"/>
    <col min="8708" max="8960" width="9.33203125" style="774"/>
    <col min="8961" max="8961" width="13.83203125" style="774" customWidth="1"/>
    <col min="8962" max="8962" width="79.1640625" style="774" customWidth="1"/>
    <col min="8963" max="8963" width="25" style="774" customWidth="1"/>
    <col min="8964" max="9216" width="9.33203125" style="774"/>
    <col min="9217" max="9217" width="13.83203125" style="774" customWidth="1"/>
    <col min="9218" max="9218" width="79.1640625" style="774" customWidth="1"/>
    <col min="9219" max="9219" width="25" style="774" customWidth="1"/>
    <col min="9220" max="9472" width="9.33203125" style="774"/>
    <col min="9473" max="9473" width="13.83203125" style="774" customWidth="1"/>
    <col min="9474" max="9474" width="79.1640625" style="774" customWidth="1"/>
    <col min="9475" max="9475" width="25" style="774" customWidth="1"/>
    <col min="9476" max="9728" width="9.33203125" style="774"/>
    <col min="9729" max="9729" width="13.83203125" style="774" customWidth="1"/>
    <col min="9730" max="9730" width="79.1640625" style="774" customWidth="1"/>
    <col min="9731" max="9731" width="25" style="774" customWidth="1"/>
    <col min="9732" max="9984" width="9.33203125" style="774"/>
    <col min="9985" max="9985" width="13.83203125" style="774" customWidth="1"/>
    <col min="9986" max="9986" width="79.1640625" style="774" customWidth="1"/>
    <col min="9987" max="9987" width="25" style="774" customWidth="1"/>
    <col min="9988" max="10240" width="9.33203125" style="774"/>
    <col min="10241" max="10241" width="13.83203125" style="774" customWidth="1"/>
    <col min="10242" max="10242" width="79.1640625" style="774" customWidth="1"/>
    <col min="10243" max="10243" width="25" style="774" customWidth="1"/>
    <col min="10244" max="10496" width="9.33203125" style="774"/>
    <col min="10497" max="10497" width="13.83203125" style="774" customWidth="1"/>
    <col min="10498" max="10498" width="79.1640625" style="774" customWidth="1"/>
    <col min="10499" max="10499" width="25" style="774" customWidth="1"/>
    <col min="10500" max="10752" width="9.33203125" style="774"/>
    <col min="10753" max="10753" width="13.83203125" style="774" customWidth="1"/>
    <col min="10754" max="10754" width="79.1640625" style="774" customWidth="1"/>
    <col min="10755" max="10755" width="25" style="774" customWidth="1"/>
    <col min="10756" max="11008" width="9.33203125" style="774"/>
    <col min="11009" max="11009" width="13.83203125" style="774" customWidth="1"/>
    <col min="11010" max="11010" width="79.1640625" style="774" customWidth="1"/>
    <col min="11011" max="11011" width="25" style="774" customWidth="1"/>
    <col min="11012" max="11264" width="9.33203125" style="774"/>
    <col min="11265" max="11265" width="13.83203125" style="774" customWidth="1"/>
    <col min="11266" max="11266" width="79.1640625" style="774" customWidth="1"/>
    <col min="11267" max="11267" width="25" style="774" customWidth="1"/>
    <col min="11268" max="11520" width="9.33203125" style="774"/>
    <col min="11521" max="11521" width="13.83203125" style="774" customWidth="1"/>
    <col min="11522" max="11522" width="79.1640625" style="774" customWidth="1"/>
    <col min="11523" max="11523" width="25" style="774" customWidth="1"/>
    <col min="11524" max="11776" width="9.33203125" style="774"/>
    <col min="11777" max="11777" width="13.83203125" style="774" customWidth="1"/>
    <col min="11778" max="11778" width="79.1640625" style="774" customWidth="1"/>
    <col min="11779" max="11779" width="25" style="774" customWidth="1"/>
    <col min="11780" max="12032" width="9.33203125" style="774"/>
    <col min="12033" max="12033" width="13.83203125" style="774" customWidth="1"/>
    <col min="12034" max="12034" width="79.1640625" style="774" customWidth="1"/>
    <col min="12035" max="12035" width="25" style="774" customWidth="1"/>
    <col min="12036" max="12288" width="9.33203125" style="774"/>
    <col min="12289" max="12289" width="13.83203125" style="774" customWidth="1"/>
    <col min="12290" max="12290" width="79.1640625" style="774" customWidth="1"/>
    <col min="12291" max="12291" width="25" style="774" customWidth="1"/>
    <col min="12292" max="12544" width="9.33203125" style="774"/>
    <col min="12545" max="12545" width="13.83203125" style="774" customWidth="1"/>
    <col min="12546" max="12546" width="79.1640625" style="774" customWidth="1"/>
    <col min="12547" max="12547" width="25" style="774" customWidth="1"/>
    <col min="12548" max="12800" width="9.33203125" style="774"/>
    <col min="12801" max="12801" width="13.83203125" style="774" customWidth="1"/>
    <col min="12802" max="12802" width="79.1640625" style="774" customWidth="1"/>
    <col min="12803" max="12803" width="25" style="774" customWidth="1"/>
    <col min="12804" max="13056" width="9.33203125" style="774"/>
    <col min="13057" max="13057" width="13.83203125" style="774" customWidth="1"/>
    <col min="13058" max="13058" width="79.1640625" style="774" customWidth="1"/>
    <col min="13059" max="13059" width="25" style="774" customWidth="1"/>
    <col min="13060" max="13312" width="9.33203125" style="774"/>
    <col min="13313" max="13313" width="13.83203125" style="774" customWidth="1"/>
    <col min="13314" max="13314" width="79.1640625" style="774" customWidth="1"/>
    <col min="13315" max="13315" width="25" style="774" customWidth="1"/>
    <col min="13316" max="13568" width="9.33203125" style="774"/>
    <col min="13569" max="13569" width="13.83203125" style="774" customWidth="1"/>
    <col min="13570" max="13570" width="79.1640625" style="774" customWidth="1"/>
    <col min="13571" max="13571" width="25" style="774" customWidth="1"/>
    <col min="13572" max="13824" width="9.33203125" style="774"/>
    <col min="13825" max="13825" width="13.83203125" style="774" customWidth="1"/>
    <col min="13826" max="13826" width="79.1640625" style="774" customWidth="1"/>
    <col min="13827" max="13827" width="25" style="774" customWidth="1"/>
    <col min="13828" max="14080" width="9.33203125" style="774"/>
    <col min="14081" max="14081" width="13.83203125" style="774" customWidth="1"/>
    <col min="14082" max="14082" width="79.1640625" style="774" customWidth="1"/>
    <col min="14083" max="14083" width="25" style="774" customWidth="1"/>
    <col min="14084" max="14336" width="9.33203125" style="774"/>
    <col min="14337" max="14337" width="13.83203125" style="774" customWidth="1"/>
    <col min="14338" max="14338" width="79.1640625" style="774" customWidth="1"/>
    <col min="14339" max="14339" width="25" style="774" customWidth="1"/>
    <col min="14340" max="14592" width="9.33203125" style="774"/>
    <col min="14593" max="14593" width="13.83203125" style="774" customWidth="1"/>
    <col min="14594" max="14594" width="79.1640625" style="774" customWidth="1"/>
    <col min="14595" max="14595" width="25" style="774" customWidth="1"/>
    <col min="14596" max="14848" width="9.33203125" style="774"/>
    <col min="14849" max="14849" width="13.83203125" style="774" customWidth="1"/>
    <col min="14850" max="14850" width="79.1640625" style="774" customWidth="1"/>
    <col min="14851" max="14851" width="25" style="774" customWidth="1"/>
    <col min="14852" max="15104" width="9.33203125" style="774"/>
    <col min="15105" max="15105" width="13.83203125" style="774" customWidth="1"/>
    <col min="15106" max="15106" width="79.1640625" style="774" customWidth="1"/>
    <col min="15107" max="15107" width="25" style="774" customWidth="1"/>
    <col min="15108" max="15360" width="9.33203125" style="774"/>
    <col min="15361" max="15361" width="13.83203125" style="774" customWidth="1"/>
    <col min="15362" max="15362" width="79.1640625" style="774" customWidth="1"/>
    <col min="15363" max="15363" width="25" style="774" customWidth="1"/>
    <col min="15364" max="15616" width="9.33203125" style="774"/>
    <col min="15617" max="15617" width="13.83203125" style="774" customWidth="1"/>
    <col min="15618" max="15618" width="79.1640625" style="774" customWidth="1"/>
    <col min="15619" max="15619" width="25" style="774" customWidth="1"/>
    <col min="15620" max="15872" width="9.33203125" style="774"/>
    <col min="15873" max="15873" width="13.83203125" style="774" customWidth="1"/>
    <col min="15874" max="15874" width="79.1640625" style="774" customWidth="1"/>
    <col min="15875" max="15875" width="25" style="774" customWidth="1"/>
    <col min="15876" max="16128" width="9.33203125" style="774"/>
    <col min="16129" max="16129" width="13.83203125" style="774" customWidth="1"/>
    <col min="16130" max="16130" width="79.1640625" style="774" customWidth="1"/>
    <col min="16131" max="16131" width="25" style="774" customWidth="1"/>
    <col min="16132" max="16384" width="9.33203125" style="774"/>
  </cols>
  <sheetData>
    <row r="1" spans="1:13" ht="12.75" customHeight="1" x14ac:dyDescent="0.2">
      <c r="A1" s="1482" t="str">
        <f>CONCATENATE("19. melléklet"," ",ALAPADATOK!A7," ",ALAPADATOK!B7," ",ALAPADATOK!C7," ",ALAPADATOK!D7," ",ALAPADATOK!E7," ",ALAPADATOK!F7," ",ALAPADATOK!G7," ",ALAPADATOK!H7)</f>
        <v>19. melléklet a 19 / 2021. ( XI.29. ) önkormányzati rendelethez</v>
      </c>
      <c r="B1" s="1482"/>
      <c r="C1" s="1482"/>
    </row>
    <row r="2" spans="1:13" s="77" customFormat="1" ht="21" customHeight="1" x14ac:dyDescent="0.2">
      <c r="A2" s="76"/>
      <c r="B2" s="78"/>
      <c r="C2" s="961"/>
      <c r="E2" s="797"/>
      <c r="F2" s="797"/>
    </row>
    <row r="3" spans="1:13" s="217" customFormat="1" ht="36" customHeight="1" thickBot="1" x14ac:dyDescent="0.25">
      <c r="A3" s="1442" t="s">
        <v>1080</v>
      </c>
      <c r="B3" s="1442"/>
      <c r="C3" s="1442"/>
      <c r="E3" s="497"/>
      <c r="F3" s="497"/>
    </row>
    <row r="4" spans="1:13" ht="13.5" thickBot="1" x14ac:dyDescent="0.25">
      <c r="A4" s="175" t="s">
        <v>154</v>
      </c>
      <c r="B4" s="81" t="s">
        <v>50</v>
      </c>
      <c r="C4" s="330" t="s">
        <v>1033</v>
      </c>
    </row>
    <row r="5" spans="1:13" s="219" customFormat="1" ht="12.95" customHeight="1" thickBot="1" x14ac:dyDescent="0.25">
      <c r="A5" s="71" t="s">
        <v>391</v>
      </c>
      <c r="B5" s="72" t="s">
        <v>392</v>
      </c>
      <c r="C5" s="331" t="s">
        <v>393</v>
      </c>
      <c r="E5" s="498"/>
      <c r="F5" s="498"/>
    </row>
    <row r="6" spans="1:13" s="219" customFormat="1" ht="15.95" customHeight="1" thickBot="1" x14ac:dyDescent="0.25">
      <c r="A6" s="83"/>
      <c r="B6" s="84" t="s">
        <v>52</v>
      </c>
      <c r="C6" s="332"/>
      <c r="E6" s="498"/>
      <c r="F6" s="498"/>
      <c r="J6" s="502"/>
      <c r="K6" s="502"/>
      <c r="L6" s="502"/>
      <c r="M6" s="502"/>
    </row>
    <row r="7" spans="1:13" s="168" customFormat="1" ht="12" customHeight="1" thickBot="1" x14ac:dyDescent="0.25">
      <c r="A7" s="71" t="s">
        <v>16</v>
      </c>
      <c r="B7" s="86" t="s">
        <v>467</v>
      </c>
      <c r="C7" s="569">
        <f>SUM(C8:C18)</f>
        <v>1175672</v>
      </c>
      <c r="E7" s="499">
        <f>'9.7.1. sz. mell TIB  '!C7+'9.7.2. sz. mell TIB'!C9</f>
        <v>1175672</v>
      </c>
      <c r="F7" s="499">
        <f>C7-E7</f>
        <v>0</v>
      </c>
      <c r="J7" s="504"/>
      <c r="K7" s="1387"/>
      <c r="L7" s="504"/>
      <c r="M7" s="504"/>
    </row>
    <row r="8" spans="1:13" s="168" customFormat="1" ht="12" customHeight="1" x14ac:dyDescent="0.2">
      <c r="A8" s="211" t="s">
        <v>86</v>
      </c>
      <c r="B8" s="7" t="s">
        <v>209</v>
      </c>
      <c r="C8" s="570"/>
      <c r="E8" s="499">
        <f>'9.7.1. sz. mell TIB  '!C8+'9.7.2. sz. mell TIB'!C10</f>
        <v>0</v>
      </c>
      <c r="F8" s="499">
        <f t="shared" ref="F8:F56" si="0">C8-E8</f>
        <v>0</v>
      </c>
      <c r="J8" s="504"/>
      <c r="K8" s="1387"/>
      <c r="L8" s="504"/>
      <c r="M8" s="504"/>
    </row>
    <row r="9" spans="1:13" s="168" customFormat="1" ht="12" customHeight="1" x14ac:dyDescent="0.2">
      <c r="A9" s="212" t="s">
        <v>87</v>
      </c>
      <c r="B9" s="5" t="s">
        <v>210</v>
      </c>
      <c r="C9" s="571"/>
      <c r="E9" s="499">
        <f>'9.7.1. sz. mell TIB  '!C9+'9.7.2. sz. mell TIB'!C11</f>
        <v>0</v>
      </c>
      <c r="F9" s="499">
        <f t="shared" si="0"/>
        <v>0</v>
      </c>
      <c r="J9" s="504"/>
      <c r="K9" s="504"/>
      <c r="L9" s="504"/>
      <c r="M9" s="504"/>
    </row>
    <row r="10" spans="1:13" s="168" customFormat="1" ht="12" customHeight="1" x14ac:dyDescent="0.2">
      <c r="A10" s="212" t="s">
        <v>88</v>
      </c>
      <c r="B10" s="5" t="s">
        <v>211</v>
      </c>
      <c r="C10" s="571"/>
      <c r="E10" s="499">
        <f>'9.7.1. sz. mell TIB  '!C10+'9.7.2. sz. mell TIB'!C12</f>
        <v>0</v>
      </c>
      <c r="F10" s="499">
        <f t="shared" si="0"/>
        <v>0</v>
      </c>
      <c r="J10" s="504"/>
      <c r="K10" s="504"/>
      <c r="L10" s="504"/>
      <c r="M10" s="504"/>
    </row>
    <row r="11" spans="1:13" s="168" customFormat="1" ht="12" customHeight="1" x14ac:dyDescent="0.2">
      <c r="A11" s="212" t="s">
        <v>89</v>
      </c>
      <c r="B11" s="5" t="s">
        <v>212</v>
      </c>
      <c r="C11" s="571"/>
      <c r="E11" s="499">
        <f>'9.7.1. sz. mell TIB  '!C11+'9.7.2. sz. mell TIB'!C13</f>
        <v>0</v>
      </c>
      <c r="F11" s="499">
        <f t="shared" si="0"/>
        <v>0</v>
      </c>
      <c r="J11" s="504"/>
      <c r="K11" s="504"/>
      <c r="L11" s="504"/>
      <c r="M11" s="504"/>
    </row>
    <row r="12" spans="1:13" s="168" customFormat="1" ht="12" customHeight="1" x14ac:dyDescent="0.2">
      <c r="A12" s="212" t="s">
        <v>112</v>
      </c>
      <c r="B12" s="5" t="s">
        <v>213</v>
      </c>
      <c r="C12" s="571">
        <v>1175672</v>
      </c>
      <c r="E12" s="499">
        <f>'9.7.1. sz. mell TIB  '!C12+'9.7.2. sz. mell TIB'!C14</f>
        <v>1175672</v>
      </c>
      <c r="F12" s="499">
        <f t="shared" si="0"/>
        <v>0</v>
      </c>
      <c r="J12" s="504"/>
      <c r="K12" s="1387"/>
      <c r="L12" s="504"/>
      <c r="M12" s="504"/>
    </row>
    <row r="13" spans="1:13" s="168" customFormat="1" ht="12" customHeight="1" x14ac:dyDescent="0.2">
      <c r="A13" s="212" t="s">
        <v>90</v>
      </c>
      <c r="B13" s="5" t="s">
        <v>333</v>
      </c>
      <c r="C13" s="571"/>
      <c r="E13" s="499">
        <f>'9.7.1. sz. mell TIB  '!C13+'9.7.2. sz. mell TIB'!C15</f>
        <v>0</v>
      </c>
      <c r="F13" s="499">
        <f t="shared" si="0"/>
        <v>0</v>
      </c>
      <c r="J13" s="504"/>
      <c r="K13" s="504"/>
      <c r="L13" s="504"/>
      <c r="M13" s="504"/>
    </row>
    <row r="14" spans="1:13" s="168" customFormat="1" ht="12" customHeight="1" x14ac:dyDescent="0.2">
      <c r="A14" s="212" t="s">
        <v>91</v>
      </c>
      <c r="B14" s="4" t="s">
        <v>334</v>
      </c>
      <c r="C14" s="571"/>
      <c r="E14" s="499">
        <f>'9.7.1. sz. mell TIB  '!C14+'9.7.2. sz. mell TIB'!C16</f>
        <v>0</v>
      </c>
      <c r="F14" s="499">
        <f t="shared" si="0"/>
        <v>0</v>
      </c>
    </row>
    <row r="15" spans="1:13" s="168" customFormat="1" ht="12" customHeight="1" x14ac:dyDescent="0.2">
      <c r="A15" s="212" t="s">
        <v>101</v>
      </c>
      <c r="B15" s="5" t="s">
        <v>216</v>
      </c>
      <c r="C15" s="572"/>
      <c r="E15" s="499">
        <f>'9.7.1. sz. mell TIB  '!C15+'9.7.2. sz. mell TIB'!C17</f>
        <v>0</v>
      </c>
      <c r="F15" s="499">
        <f t="shared" si="0"/>
        <v>0</v>
      </c>
    </row>
    <row r="16" spans="1:13" s="220" customFormat="1" ht="12" customHeight="1" x14ac:dyDescent="0.2">
      <c r="A16" s="212" t="s">
        <v>102</v>
      </c>
      <c r="B16" s="5" t="s">
        <v>217</v>
      </c>
      <c r="C16" s="571"/>
      <c r="E16" s="499">
        <f>'9.7.1. sz. mell TIB  '!C16+'9.7.2. sz. mell TIB'!C18</f>
        <v>0</v>
      </c>
      <c r="F16" s="499">
        <f t="shared" si="0"/>
        <v>0</v>
      </c>
    </row>
    <row r="17" spans="1:6" s="220" customFormat="1" ht="12" customHeight="1" x14ac:dyDescent="0.2">
      <c r="A17" s="212" t="s">
        <v>103</v>
      </c>
      <c r="B17" s="5" t="s">
        <v>397</v>
      </c>
      <c r="C17" s="573"/>
      <c r="E17" s="499">
        <f>'9.7.1. sz. mell TIB  '!C17+'9.7.2. sz. mell TIB'!C19</f>
        <v>0</v>
      </c>
      <c r="F17" s="499">
        <f t="shared" si="0"/>
        <v>0</v>
      </c>
    </row>
    <row r="18" spans="1:6" s="220" customFormat="1" ht="12" customHeight="1" thickBot="1" x14ac:dyDescent="0.25">
      <c r="A18" s="212" t="s">
        <v>104</v>
      </c>
      <c r="B18" s="4" t="s">
        <v>218</v>
      </c>
      <c r="C18" s="573"/>
      <c r="E18" s="499">
        <f>'9.7.1. sz. mell TIB  '!C18+'9.7.2. sz. mell TIB'!C20</f>
        <v>0</v>
      </c>
      <c r="F18" s="499">
        <f t="shared" si="0"/>
        <v>0</v>
      </c>
    </row>
    <row r="19" spans="1:6" s="168" customFormat="1" ht="12" customHeight="1" thickBot="1" x14ac:dyDescent="0.25">
      <c r="A19" s="71" t="s">
        <v>17</v>
      </c>
      <c r="B19" s="86" t="s">
        <v>335</v>
      </c>
      <c r="C19" s="569">
        <f>SUM(C20:C22)</f>
        <v>0</v>
      </c>
      <c r="E19" s="499">
        <f>'9.7.1. sz. mell TIB  '!C19+'9.7.2. sz. mell TIB'!C21</f>
        <v>0</v>
      </c>
      <c r="F19" s="499">
        <f t="shared" si="0"/>
        <v>0</v>
      </c>
    </row>
    <row r="20" spans="1:6" s="220" customFormat="1" ht="12" customHeight="1" x14ac:dyDescent="0.2">
      <c r="A20" s="212" t="s">
        <v>92</v>
      </c>
      <c r="B20" s="6" t="s">
        <v>187</v>
      </c>
      <c r="C20" s="574"/>
      <c r="E20" s="499">
        <f>'9.7.1. sz. mell TIB  '!C20+'9.7.2. sz. mell TIB'!C22</f>
        <v>0</v>
      </c>
      <c r="F20" s="499">
        <f t="shared" si="0"/>
        <v>0</v>
      </c>
    </row>
    <row r="21" spans="1:6" s="220" customFormat="1" ht="12" customHeight="1" x14ac:dyDescent="0.2">
      <c r="A21" s="212" t="s">
        <v>93</v>
      </c>
      <c r="B21" s="5" t="s">
        <v>336</v>
      </c>
      <c r="C21" s="571"/>
      <c r="E21" s="499">
        <f>'9.7.1. sz. mell TIB  '!C21+'9.7.2. sz. mell TIB'!C23</f>
        <v>0</v>
      </c>
      <c r="F21" s="499">
        <f t="shared" si="0"/>
        <v>0</v>
      </c>
    </row>
    <row r="22" spans="1:6" s="220" customFormat="1" ht="12" customHeight="1" x14ac:dyDescent="0.2">
      <c r="A22" s="212" t="s">
        <v>94</v>
      </c>
      <c r="B22" s="5" t="s">
        <v>337</v>
      </c>
      <c r="C22" s="575"/>
      <c r="E22" s="499">
        <f>'9.7.1. sz. mell TIB  '!C22+'9.7.2. sz. mell TIB'!C24</f>
        <v>0</v>
      </c>
      <c r="F22" s="499">
        <f t="shared" si="0"/>
        <v>0</v>
      </c>
    </row>
    <row r="23" spans="1:6" s="220" customFormat="1" ht="12" customHeight="1" thickBot="1" x14ac:dyDescent="0.25">
      <c r="A23" s="212" t="s">
        <v>95</v>
      </c>
      <c r="B23" s="5" t="s">
        <v>468</v>
      </c>
      <c r="C23" s="571"/>
      <c r="E23" s="499">
        <f>'9.7.1. sz. mell TIB  '!C23+'9.7.2. sz. mell TIB'!C25</f>
        <v>0</v>
      </c>
      <c r="F23" s="499">
        <f t="shared" si="0"/>
        <v>0</v>
      </c>
    </row>
    <row r="24" spans="1:6" s="220" customFormat="1" ht="12" customHeight="1" thickBot="1" x14ac:dyDescent="0.25">
      <c r="A24" s="74" t="s">
        <v>18</v>
      </c>
      <c r="B24" s="54" t="s">
        <v>126</v>
      </c>
      <c r="C24" s="576"/>
      <c r="E24" s="499">
        <f>'9.7.1. sz. mell TIB  '!C24+'9.7.2. sz. mell TIB'!C26</f>
        <v>0</v>
      </c>
      <c r="F24" s="499">
        <f t="shared" si="0"/>
        <v>0</v>
      </c>
    </row>
    <row r="25" spans="1:6" s="220" customFormat="1" ht="12" customHeight="1" thickBot="1" x14ac:dyDescent="0.25">
      <c r="A25" s="74" t="s">
        <v>19</v>
      </c>
      <c r="B25" s="54" t="s">
        <v>469</v>
      </c>
      <c r="C25" s="569">
        <f>+C26+C27+C28</f>
        <v>0</v>
      </c>
      <c r="E25" s="499">
        <f>'9.7.1. sz. mell TIB  '!C25+'9.7.2. sz. mell TIB'!C27</f>
        <v>0</v>
      </c>
      <c r="F25" s="499">
        <f t="shared" si="0"/>
        <v>0</v>
      </c>
    </row>
    <row r="26" spans="1:6" s="220" customFormat="1" ht="12" customHeight="1" x14ac:dyDescent="0.2">
      <c r="A26" s="213" t="s">
        <v>197</v>
      </c>
      <c r="B26" s="214" t="s">
        <v>192</v>
      </c>
      <c r="C26" s="577"/>
      <c r="E26" s="499">
        <f>'9.7.1. sz. mell TIB  '!C26+'9.7.2. sz. mell TIB'!C28</f>
        <v>0</v>
      </c>
      <c r="F26" s="499">
        <f t="shared" si="0"/>
        <v>0</v>
      </c>
    </row>
    <row r="27" spans="1:6" s="220" customFormat="1" ht="12" customHeight="1" x14ac:dyDescent="0.2">
      <c r="A27" s="213" t="s">
        <v>200</v>
      </c>
      <c r="B27" s="214" t="s">
        <v>336</v>
      </c>
      <c r="C27" s="574"/>
      <c r="E27" s="499">
        <f>'9.7.1. sz. mell TIB  '!C27+'9.7.2. sz. mell TIB'!C30</f>
        <v>0</v>
      </c>
      <c r="F27" s="499">
        <f t="shared" si="0"/>
        <v>0</v>
      </c>
    </row>
    <row r="28" spans="1:6" s="220" customFormat="1" ht="12" customHeight="1" x14ac:dyDescent="0.2">
      <c r="A28" s="213" t="s">
        <v>201</v>
      </c>
      <c r="B28" s="215" t="s">
        <v>338</v>
      </c>
      <c r="C28" s="574"/>
      <c r="E28" s="499">
        <f>'9.7.1. sz. mell TIB  '!C28+'9.7.2. sz. mell TIB'!C31</f>
        <v>0</v>
      </c>
      <c r="F28" s="499">
        <f t="shared" si="0"/>
        <v>0</v>
      </c>
    </row>
    <row r="29" spans="1:6" s="220" customFormat="1" ht="12" customHeight="1" thickBot="1" x14ac:dyDescent="0.25">
      <c r="A29" s="212" t="s">
        <v>202</v>
      </c>
      <c r="B29" s="57" t="s">
        <v>470</v>
      </c>
      <c r="C29" s="578"/>
      <c r="E29" s="499">
        <f>'9.7.1. sz. mell TIB  '!C29+'9.7.2. sz. mell TIB'!C32</f>
        <v>0</v>
      </c>
      <c r="F29" s="499">
        <f t="shared" si="0"/>
        <v>0</v>
      </c>
    </row>
    <row r="30" spans="1:6" s="220" customFormat="1" ht="12" customHeight="1" thickBot="1" x14ac:dyDescent="0.25">
      <c r="A30" s="74" t="s">
        <v>20</v>
      </c>
      <c r="B30" s="54" t="s">
        <v>339</v>
      </c>
      <c r="C30" s="569">
        <f>+C31+C32+C33</f>
        <v>0</v>
      </c>
      <c r="E30" s="499">
        <f>'9.7.1. sz. mell TIB  '!C30+'9.7.2. sz. mell TIB'!C33</f>
        <v>0</v>
      </c>
      <c r="F30" s="499">
        <f t="shared" si="0"/>
        <v>0</v>
      </c>
    </row>
    <row r="31" spans="1:6" s="220" customFormat="1" ht="12" customHeight="1" x14ac:dyDescent="0.2">
      <c r="A31" s="213" t="s">
        <v>79</v>
      </c>
      <c r="B31" s="214" t="s">
        <v>223</v>
      </c>
      <c r="C31" s="577"/>
      <c r="E31" s="499">
        <f>'9.7.1. sz. mell TIB  '!C31+'9.7.2. sz. mell TIB'!C34</f>
        <v>0</v>
      </c>
      <c r="F31" s="499">
        <f t="shared" si="0"/>
        <v>0</v>
      </c>
    </row>
    <row r="32" spans="1:6" s="220" customFormat="1" ht="12" customHeight="1" x14ac:dyDescent="0.2">
      <c r="A32" s="213" t="s">
        <v>80</v>
      </c>
      <c r="B32" s="215" t="s">
        <v>224</v>
      </c>
      <c r="C32" s="572"/>
      <c r="E32" s="499">
        <f>'9.7.1. sz. mell TIB  '!C32+'9.7.2. sz. mell TIB'!C35</f>
        <v>0</v>
      </c>
      <c r="F32" s="499">
        <f t="shared" si="0"/>
        <v>0</v>
      </c>
    </row>
    <row r="33" spans="1:6" s="168" customFormat="1" ht="12" customHeight="1" thickBot="1" x14ac:dyDescent="0.25">
      <c r="A33" s="212" t="s">
        <v>81</v>
      </c>
      <c r="B33" s="57" t="s">
        <v>225</v>
      </c>
      <c r="C33" s="578"/>
      <c r="E33" s="499">
        <f>'9.7.1. sz. mell TIB  '!C33+'9.7.2. sz. mell TIB'!C36</f>
        <v>0</v>
      </c>
      <c r="F33" s="499">
        <f t="shared" si="0"/>
        <v>0</v>
      </c>
    </row>
    <row r="34" spans="1:6" s="168" customFormat="1" ht="12" customHeight="1" thickBot="1" x14ac:dyDescent="0.25">
      <c r="A34" s="74" t="s">
        <v>21</v>
      </c>
      <c r="B34" s="54" t="s">
        <v>311</v>
      </c>
      <c r="C34" s="576"/>
      <c r="E34" s="499">
        <f>'9.7.1. sz. mell TIB  '!C34+'9.7.2. sz. mell TIB'!C37</f>
        <v>0</v>
      </c>
      <c r="F34" s="499">
        <f t="shared" si="0"/>
        <v>0</v>
      </c>
    </row>
    <row r="35" spans="1:6" s="168" customFormat="1" ht="12" customHeight="1" thickBot="1" x14ac:dyDescent="0.25">
      <c r="A35" s="74" t="s">
        <v>22</v>
      </c>
      <c r="B35" s="54" t="s">
        <v>340</v>
      </c>
      <c r="C35" s="579">
        <f>200000+50000</f>
        <v>250000</v>
      </c>
      <c r="E35" s="499">
        <f>'9.7.1. sz. mell TIB  '!C35+'9.7.2. sz. mell TIB'!C38</f>
        <v>250000</v>
      </c>
      <c r="F35" s="499">
        <f t="shared" si="0"/>
        <v>0</v>
      </c>
    </row>
    <row r="36" spans="1:6" s="168" customFormat="1" ht="12" customHeight="1" thickBot="1" x14ac:dyDescent="0.25">
      <c r="A36" s="71" t="s">
        <v>23</v>
      </c>
      <c r="B36" s="54" t="s">
        <v>341</v>
      </c>
      <c r="C36" s="580">
        <f>+C7+C19+C24+C25+C30+C34+C35</f>
        <v>1425672</v>
      </c>
      <c r="E36" s="499">
        <f>'9.7.1. sz. mell TIB  '!C36+'9.7.2. sz. mell TIB'!C39</f>
        <v>1425672</v>
      </c>
      <c r="F36" s="499">
        <f t="shared" si="0"/>
        <v>0</v>
      </c>
    </row>
    <row r="37" spans="1:6" s="168" customFormat="1" ht="12" customHeight="1" thickBot="1" x14ac:dyDescent="0.25">
      <c r="A37" s="962" t="s">
        <v>24</v>
      </c>
      <c r="B37" s="54" t="s">
        <v>342</v>
      </c>
      <c r="C37" s="857">
        <f>+C38+C39+C40</f>
        <v>114933334</v>
      </c>
      <c r="E37" s="499">
        <f>'9.7.1. sz. mell TIB  '!C37+'9.7.2. sz. mell TIB'!C40</f>
        <v>114933334</v>
      </c>
      <c r="F37" s="499">
        <f t="shared" si="0"/>
        <v>0</v>
      </c>
    </row>
    <row r="38" spans="1:6" s="168" customFormat="1" ht="12" customHeight="1" x14ac:dyDescent="0.2">
      <c r="A38" s="213" t="s">
        <v>343</v>
      </c>
      <c r="B38" s="214" t="s">
        <v>168</v>
      </c>
      <c r="C38" s="577">
        <v>284491</v>
      </c>
      <c r="E38" s="499">
        <f>'9.7.1. sz. mell TIB  '!C38+'9.7.2. sz. mell TIB'!C41</f>
        <v>284491</v>
      </c>
      <c r="F38" s="499">
        <f t="shared" si="0"/>
        <v>0</v>
      </c>
    </row>
    <row r="39" spans="1:6" s="220" customFormat="1" ht="12" customHeight="1" x14ac:dyDescent="0.2">
      <c r="A39" s="213" t="s">
        <v>344</v>
      </c>
      <c r="B39" s="215" t="s">
        <v>6</v>
      </c>
      <c r="C39" s="572"/>
      <c r="E39" s="499">
        <f>'9.7.1. sz. mell TIB  '!C39+'9.7.2. sz. mell TIB'!C42</f>
        <v>0</v>
      </c>
      <c r="F39" s="499">
        <f t="shared" si="0"/>
        <v>0</v>
      </c>
    </row>
    <row r="40" spans="1:6" s="220" customFormat="1" ht="15" customHeight="1" thickBot="1" x14ac:dyDescent="0.25">
      <c r="A40" s="212" t="s">
        <v>345</v>
      </c>
      <c r="B40" s="57" t="s">
        <v>346</v>
      </c>
      <c r="C40" s="1174">
        <f>110066135-484352+381000+4686060</f>
        <v>114648843</v>
      </c>
      <c r="E40" s="499">
        <f>'9.7.1. sz. mell TIB  '!C40+'9.7.2. sz. mell TIB'!C43</f>
        <v>114648843</v>
      </c>
      <c r="F40" s="499">
        <f t="shared" si="0"/>
        <v>0</v>
      </c>
    </row>
    <row r="41" spans="1:6" s="220" customFormat="1" ht="15" customHeight="1" thickBot="1" x14ac:dyDescent="0.25">
      <c r="A41" s="962" t="s">
        <v>25</v>
      </c>
      <c r="B41" s="963" t="s">
        <v>347</v>
      </c>
      <c r="C41" s="857">
        <f>+C36+C37</f>
        <v>116359006</v>
      </c>
      <c r="E41" s="499">
        <f>'9.7.1. sz. mell TIB  '!C41+'9.7.2. sz. mell TIB'!C44</f>
        <v>116359006</v>
      </c>
      <c r="F41" s="499">
        <f t="shared" si="0"/>
        <v>0</v>
      </c>
    </row>
    <row r="42" spans="1:6" s="221" customFormat="1" ht="12" customHeight="1" thickBot="1" x14ac:dyDescent="0.25">
      <c r="A42" s="93"/>
      <c r="B42" s="94" t="s">
        <v>53</v>
      </c>
      <c r="C42" s="581"/>
      <c r="E42" s="499">
        <f>'9.7.1. sz. mell TIB  '!C42+'9.7.2. sz. mell TIB'!C47</f>
        <v>0</v>
      </c>
      <c r="F42" s="499">
        <f t="shared" si="0"/>
        <v>0</v>
      </c>
    </row>
    <row r="43" spans="1:6" ht="12" customHeight="1" thickBot="1" x14ac:dyDescent="0.25">
      <c r="A43" s="74" t="s">
        <v>16</v>
      </c>
      <c r="B43" s="54" t="s">
        <v>348</v>
      </c>
      <c r="C43" s="856">
        <f>SUM(C44:C48)</f>
        <v>113033206</v>
      </c>
      <c r="E43" s="499">
        <f>'9.7.1. sz. mell TIB  '!C43+'9.7.2. sz. mell TIB'!C48</f>
        <v>113033206</v>
      </c>
      <c r="F43" s="499">
        <f t="shared" si="0"/>
        <v>0</v>
      </c>
    </row>
    <row r="44" spans="1:6" ht="12" customHeight="1" x14ac:dyDescent="0.2">
      <c r="A44" s="212" t="s">
        <v>86</v>
      </c>
      <c r="B44" s="6" t="s">
        <v>46</v>
      </c>
      <c r="C44" s="858">
        <f>82248525+442866</f>
        <v>82691391</v>
      </c>
      <c r="E44" s="499">
        <f>'9.7.1. sz. mell TIB  '!C44+'9.7.2. sz. mell TIB'!C49</f>
        <v>82691391</v>
      </c>
      <c r="F44" s="499">
        <f t="shared" si="0"/>
        <v>0</v>
      </c>
    </row>
    <row r="45" spans="1:6" ht="12" customHeight="1" x14ac:dyDescent="0.2">
      <c r="A45" s="212" t="s">
        <v>87</v>
      </c>
      <c r="B45" s="5" t="s">
        <v>135</v>
      </c>
      <c r="C45" s="859">
        <f>13031917+68644</f>
        <v>13100561</v>
      </c>
      <c r="E45" s="499">
        <f>'9.7.1. sz. mell TIB  '!C45+'9.7.2. sz. mell TIB'!C50</f>
        <v>13100561</v>
      </c>
      <c r="F45" s="499">
        <f t="shared" si="0"/>
        <v>0</v>
      </c>
    </row>
    <row r="46" spans="1:6" ht="12" customHeight="1" x14ac:dyDescent="0.2">
      <c r="A46" s="212" t="s">
        <v>88</v>
      </c>
      <c r="B46" s="5" t="s">
        <v>111</v>
      </c>
      <c r="C46" s="859">
        <f>16220856-484352+381000+1123750</f>
        <v>17241254</v>
      </c>
      <c r="E46" s="499">
        <f>'9.7.1. sz. mell TIB  '!C46+'9.7.2. sz. mell TIB'!C51</f>
        <v>17241254</v>
      </c>
      <c r="F46" s="499">
        <f t="shared" si="0"/>
        <v>0</v>
      </c>
    </row>
    <row r="47" spans="1:6" ht="12" customHeight="1" x14ac:dyDescent="0.2">
      <c r="A47" s="212" t="s">
        <v>89</v>
      </c>
      <c r="B47" s="5" t="s">
        <v>136</v>
      </c>
      <c r="C47" s="571"/>
      <c r="E47" s="499">
        <f>'9.7.1. sz. mell TIB  '!C47+'9.7.2. sz. mell TIB'!C52</f>
        <v>0</v>
      </c>
      <c r="F47" s="499">
        <f t="shared" si="0"/>
        <v>0</v>
      </c>
    </row>
    <row r="48" spans="1:6" ht="12" customHeight="1" thickBot="1" x14ac:dyDescent="0.25">
      <c r="A48" s="212" t="s">
        <v>112</v>
      </c>
      <c r="B48" s="5" t="s">
        <v>137</v>
      </c>
      <c r="C48" s="571"/>
      <c r="E48" s="499">
        <f>'9.7.1. sz. mell TIB  '!C48+'9.7.2. sz. mell TIB'!C53</f>
        <v>0</v>
      </c>
      <c r="F48" s="499">
        <f t="shared" si="0"/>
        <v>0</v>
      </c>
    </row>
    <row r="49" spans="1:6" s="221" customFormat="1" ht="12" customHeight="1" thickBot="1" x14ac:dyDescent="0.25">
      <c r="A49" s="74" t="s">
        <v>17</v>
      </c>
      <c r="B49" s="54" t="s">
        <v>349</v>
      </c>
      <c r="C49" s="569">
        <f>SUM(C50:C52)</f>
        <v>3325800</v>
      </c>
      <c r="E49" s="499">
        <f>'9.7.1. sz. mell TIB  '!C49+'9.7.2. sz. mell TIB'!C54</f>
        <v>3325800</v>
      </c>
      <c r="F49" s="499">
        <f t="shared" si="0"/>
        <v>0</v>
      </c>
    </row>
    <row r="50" spans="1:6" ht="12" customHeight="1" x14ac:dyDescent="0.2">
      <c r="A50" s="212" t="s">
        <v>92</v>
      </c>
      <c r="B50" s="6" t="s">
        <v>159</v>
      </c>
      <c r="C50" s="858">
        <f>25000+200000+50000+3050800</f>
        <v>3325800</v>
      </c>
      <c r="E50" s="499">
        <f>'9.7.1. sz. mell TIB  '!C50+'9.7.2. sz. mell TIB'!C55</f>
        <v>3325800</v>
      </c>
      <c r="F50" s="499">
        <f t="shared" si="0"/>
        <v>0</v>
      </c>
    </row>
    <row r="51" spans="1:6" ht="12" customHeight="1" x14ac:dyDescent="0.2">
      <c r="A51" s="212" t="s">
        <v>93</v>
      </c>
      <c r="B51" s="5" t="s">
        <v>139</v>
      </c>
      <c r="C51" s="571"/>
      <c r="E51" s="499">
        <f>'9.7.1. sz. mell TIB  '!C51+'9.7.2. sz. mell TIB'!C56</f>
        <v>0</v>
      </c>
      <c r="F51" s="499">
        <f t="shared" si="0"/>
        <v>0</v>
      </c>
    </row>
    <row r="52" spans="1:6" ht="12" customHeight="1" x14ac:dyDescent="0.2">
      <c r="A52" s="212" t="s">
        <v>94</v>
      </c>
      <c r="B52" s="5" t="s">
        <v>54</v>
      </c>
      <c r="C52" s="571"/>
      <c r="E52" s="499">
        <f>'9.7.1. sz. mell TIB  '!C52+'9.7.2. sz. mell TIB'!C57</f>
        <v>0</v>
      </c>
      <c r="F52" s="499">
        <f t="shared" si="0"/>
        <v>0</v>
      </c>
    </row>
    <row r="53" spans="1:6" ht="15" customHeight="1" thickBot="1" x14ac:dyDescent="0.25">
      <c r="A53" s="212" t="s">
        <v>95</v>
      </c>
      <c r="B53" s="5" t="s">
        <v>471</v>
      </c>
      <c r="C53" s="571"/>
      <c r="E53" s="499">
        <f>'9.7.1. sz. mell TIB  '!C53+'9.7.2. sz. mell TIB'!C58</f>
        <v>0</v>
      </c>
      <c r="F53" s="499">
        <f t="shared" si="0"/>
        <v>0</v>
      </c>
    </row>
    <row r="54" spans="1:6" ht="13.5" thickBot="1" x14ac:dyDescent="0.25">
      <c r="A54" s="74" t="s">
        <v>18</v>
      </c>
      <c r="B54" s="54" t="s">
        <v>12</v>
      </c>
      <c r="C54" s="576"/>
      <c r="E54" s="499">
        <f>'9.7.1. sz. mell TIB  '!C54+'9.7.2. sz. mell TIB'!C59</f>
        <v>0</v>
      </c>
      <c r="F54" s="499">
        <f t="shared" si="0"/>
        <v>0</v>
      </c>
    </row>
    <row r="55" spans="1:6" ht="15" customHeight="1" thickBot="1" x14ac:dyDescent="0.25">
      <c r="A55" s="74" t="s">
        <v>19</v>
      </c>
      <c r="B55" s="95" t="s">
        <v>472</v>
      </c>
      <c r="C55" s="856">
        <f>+C43+C49+C54</f>
        <v>116359006</v>
      </c>
      <c r="E55" s="499">
        <f>'9.7.1. sz. mell TIB  '!C55+'9.7.2. sz. mell TIB'!C60</f>
        <v>116359006</v>
      </c>
      <c r="F55" s="499">
        <f t="shared" si="0"/>
        <v>0</v>
      </c>
    </row>
    <row r="56" spans="1:6" ht="13.5" thickBot="1" x14ac:dyDescent="0.25">
      <c r="A56" s="1477" t="s">
        <v>465</v>
      </c>
      <c r="B56" s="1478"/>
      <c r="C56" s="586">
        <v>21</v>
      </c>
      <c r="E56" s="499" t="e">
        <f>'9.7.1. sz. mell TIB  '!C56+'9.7.2. sz. mell TIB'!#REF!</f>
        <v>#REF!</v>
      </c>
      <c r="F56" s="499" t="e">
        <f t="shared" si="0"/>
        <v>#REF!</v>
      </c>
    </row>
    <row r="57" spans="1:6" x14ac:dyDescent="0.2">
      <c r="E57" s="499"/>
      <c r="F57" s="499"/>
    </row>
    <row r="58" spans="1:6" x14ac:dyDescent="0.2">
      <c r="E58" s="499"/>
      <c r="F58" s="499"/>
    </row>
  </sheetData>
  <sheetProtection formatCells="0"/>
  <mergeCells count="3">
    <mergeCell ref="A1:C1"/>
    <mergeCell ref="A56:B56"/>
    <mergeCell ref="A3:C3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42"/>
  <dimension ref="A1:F56"/>
  <sheetViews>
    <sheetView zoomScale="118" zoomScaleNormal="118" workbookViewId="0">
      <selection activeCell="C6" sqref="C6"/>
    </sheetView>
  </sheetViews>
  <sheetFormatPr defaultRowHeight="12.75" x14ac:dyDescent="0.2"/>
  <cols>
    <col min="1" max="1" width="13.83203125" style="96" customWidth="1"/>
    <col min="2" max="2" width="79.1640625" style="774" customWidth="1"/>
    <col min="3" max="3" width="25" style="333" customWidth="1"/>
    <col min="4" max="256" width="9.33203125" style="774"/>
    <col min="257" max="257" width="13.83203125" style="774" customWidth="1"/>
    <col min="258" max="258" width="79.1640625" style="774" customWidth="1"/>
    <col min="259" max="259" width="25" style="774" customWidth="1"/>
    <col min="260" max="512" width="9.33203125" style="774"/>
    <col min="513" max="513" width="13.83203125" style="774" customWidth="1"/>
    <col min="514" max="514" width="79.1640625" style="774" customWidth="1"/>
    <col min="515" max="515" width="25" style="774" customWidth="1"/>
    <col min="516" max="768" width="9.33203125" style="774"/>
    <col min="769" max="769" width="13.83203125" style="774" customWidth="1"/>
    <col min="770" max="770" width="79.1640625" style="774" customWidth="1"/>
    <col min="771" max="771" width="25" style="774" customWidth="1"/>
    <col min="772" max="1024" width="9.33203125" style="774"/>
    <col min="1025" max="1025" width="13.83203125" style="774" customWidth="1"/>
    <col min="1026" max="1026" width="79.1640625" style="774" customWidth="1"/>
    <col min="1027" max="1027" width="25" style="774" customWidth="1"/>
    <col min="1028" max="1280" width="9.33203125" style="774"/>
    <col min="1281" max="1281" width="13.83203125" style="774" customWidth="1"/>
    <col min="1282" max="1282" width="79.1640625" style="774" customWidth="1"/>
    <col min="1283" max="1283" width="25" style="774" customWidth="1"/>
    <col min="1284" max="1536" width="9.33203125" style="774"/>
    <col min="1537" max="1537" width="13.83203125" style="774" customWidth="1"/>
    <col min="1538" max="1538" width="79.1640625" style="774" customWidth="1"/>
    <col min="1539" max="1539" width="25" style="774" customWidth="1"/>
    <col min="1540" max="1792" width="9.33203125" style="774"/>
    <col min="1793" max="1793" width="13.83203125" style="774" customWidth="1"/>
    <col min="1794" max="1794" width="79.1640625" style="774" customWidth="1"/>
    <col min="1795" max="1795" width="25" style="774" customWidth="1"/>
    <col min="1796" max="2048" width="9.33203125" style="774"/>
    <col min="2049" max="2049" width="13.83203125" style="774" customWidth="1"/>
    <col min="2050" max="2050" width="79.1640625" style="774" customWidth="1"/>
    <col min="2051" max="2051" width="25" style="774" customWidth="1"/>
    <col min="2052" max="2304" width="9.33203125" style="774"/>
    <col min="2305" max="2305" width="13.83203125" style="774" customWidth="1"/>
    <col min="2306" max="2306" width="79.1640625" style="774" customWidth="1"/>
    <col min="2307" max="2307" width="25" style="774" customWidth="1"/>
    <col min="2308" max="2560" width="9.33203125" style="774"/>
    <col min="2561" max="2561" width="13.83203125" style="774" customWidth="1"/>
    <col min="2562" max="2562" width="79.1640625" style="774" customWidth="1"/>
    <col min="2563" max="2563" width="25" style="774" customWidth="1"/>
    <col min="2564" max="2816" width="9.33203125" style="774"/>
    <col min="2817" max="2817" width="13.83203125" style="774" customWidth="1"/>
    <col min="2818" max="2818" width="79.1640625" style="774" customWidth="1"/>
    <col min="2819" max="2819" width="25" style="774" customWidth="1"/>
    <col min="2820" max="3072" width="9.33203125" style="774"/>
    <col min="3073" max="3073" width="13.83203125" style="774" customWidth="1"/>
    <col min="3074" max="3074" width="79.1640625" style="774" customWidth="1"/>
    <col min="3075" max="3075" width="25" style="774" customWidth="1"/>
    <col min="3076" max="3328" width="9.33203125" style="774"/>
    <col min="3329" max="3329" width="13.83203125" style="774" customWidth="1"/>
    <col min="3330" max="3330" width="79.1640625" style="774" customWidth="1"/>
    <col min="3331" max="3331" width="25" style="774" customWidth="1"/>
    <col min="3332" max="3584" width="9.33203125" style="774"/>
    <col min="3585" max="3585" width="13.83203125" style="774" customWidth="1"/>
    <col min="3586" max="3586" width="79.1640625" style="774" customWidth="1"/>
    <col min="3587" max="3587" width="25" style="774" customWidth="1"/>
    <col min="3588" max="3840" width="9.33203125" style="774"/>
    <col min="3841" max="3841" width="13.83203125" style="774" customWidth="1"/>
    <col min="3842" max="3842" width="79.1640625" style="774" customWidth="1"/>
    <col min="3843" max="3843" width="25" style="774" customWidth="1"/>
    <col min="3844" max="4096" width="9.33203125" style="774"/>
    <col min="4097" max="4097" width="13.83203125" style="774" customWidth="1"/>
    <col min="4098" max="4098" width="79.1640625" style="774" customWidth="1"/>
    <col min="4099" max="4099" width="25" style="774" customWidth="1"/>
    <col min="4100" max="4352" width="9.33203125" style="774"/>
    <col min="4353" max="4353" width="13.83203125" style="774" customWidth="1"/>
    <col min="4354" max="4354" width="79.1640625" style="774" customWidth="1"/>
    <col min="4355" max="4355" width="25" style="774" customWidth="1"/>
    <col min="4356" max="4608" width="9.33203125" style="774"/>
    <col min="4609" max="4609" width="13.83203125" style="774" customWidth="1"/>
    <col min="4610" max="4610" width="79.1640625" style="774" customWidth="1"/>
    <col min="4611" max="4611" width="25" style="774" customWidth="1"/>
    <col min="4612" max="4864" width="9.33203125" style="774"/>
    <col min="4865" max="4865" width="13.83203125" style="774" customWidth="1"/>
    <col min="4866" max="4866" width="79.1640625" style="774" customWidth="1"/>
    <col min="4867" max="4867" width="25" style="774" customWidth="1"/>
    <col min="4868" max="5120" width="9.33203125" style="774"/>
    <col min="5121" max="5121" width="13.83203125" style="774" customWidth="1"/>
    <col min="5122" max="5122" width="79.1640625" style="774" customWidth="1"/>
    <col min="5123" max="5123" width="25" style="774" customWidth="1"/>
    <col min="5124" max="5376" width="9.33203125" style="774"/>
    <col min="5377" max="5377" width="13.83203125" style="774" customWidth="1"/>
    <col min="5378" max="5378" width="79.1640625" style="774" customWidth="1"/>
    <col min="5379" max="5379" width="25" style="774" customWidth="1"/>
    <col min="5380" max="5632" width="9.33203125" style="774"/>
    <col min="5633" max="5633" width="13.83203125" style="774" customWidth="1"/>
    <col min="5634" max="5634" width="79.1640625" style="774" customWidth="1"/>
    <col min="5635" max="5635" width="25" style="774" customWidth="1"/>
    <col min="5636" max="5888" width="9.33203125" style="774"/>
    <col min="5889" max="5889" width="13.83203125" style="774" customWidth="1"/>
    <col min="5890" max="5890" width="79.1640625" style="774" customWidth="1"/>
    <col min="5891" max="5891" width="25" style="774" customWidth="1"/>
    <col min="5892" max="6144" width="9.33203125" style="774"/>
    <col min="6145" max="6145" width="13.83203125" style="774" customWidth="1"/>
    <col min="6146" max="6146" width="79.1640625" style="774" customWidth="1"/>
    <col min="6147" max="6147" width="25" style="774" customWidth="1"/>
    <col min="6148" max="6400" width="9.33203125" style="774"/>
    <col min="6401" max="6401" width="13.83203125" style="774" customWidth="1"/>
    <col min="6402" max="6402" width="79.1640625" style="774" customWidth="1"/>
    <col min="6403" max="6403" width="25" style="774" customWidth="1"/>
    <col min="6404" max="6656" width="9.33203125" style="774"/>
    <col min="6657" max="6657" width="13.83203125" style="774" customWidth="1"/>
    <col min="6658" max="6658" width="79.1640625" style="774" customWidth="1"/>
    <col min="6659" max="6659" width="25" style="774" customWidth="1"/>
    <col min="6660" max="6912" width="9.33203125" style="774"/>
    <col min="6913" max="6913" width="13.83203125" style="774" customWidth="1"/>
    <col min="6914" max="6914" width="79.1640625" style="774" customWidth="1"/>
    <col min="6915" max="6915" width="25" style="774" customWidth="1"/>
    <col min="6916" max="7168" width="9.33203125" style="774"/>
    <col min="7169" max="7169" width="13.83203125" style="774" customWidth="1"/>
    <col min="7170" max="7170" width="79.1640625" style="774" customWidth="1"/>
    <col min="7171" max="7171" width="25" style="774" customWidth="1"/>
    <col min="7172" max="7424" width="9.33203125" style="774"/>
    <col min="7425" max="7425" width="13.83203125" style="774" customWidth="1"/>
    <col min="7426" max="7426" width="79.1640625" style="774" customWidth="1"/>
    <col min="7427" max="7427" width="25" style="774" customWidth="1"/>
    <col min="7428" max="7680" width="9.33203125" style="774"/>
    <col min="7681" max="7681" width="13.83203125" style="774" customWidth="1"/>
    <col min="7682" max="7682" width="79.1640625" style="774" customWidth="1"/>
    <col min="7683" max="7683" width="25" style="774" customWidth="1"/>
    <col min="7684" max="7936" width="9.33203125" style="774"/>
    <col min="7937" max="7937" width="13.83203125" style="774" customWidth="1"/>
    <col min="7938" max="7938" width="79.1640625" style="774" customWidth="1"/>
    <col min="7939" max="7939" width="25" style="774" customWidth="1"/>
    <col min="7940" max="8192" width="9.33203125" style="774"/>
    <col min="8193" max="8193" width="13.83203125" style="774" customWidth="1"/>
    <col min="8194" max="8194" width="79.1640625" style="774" customWidth="1"/>
    <col min="8195" max="8195" width="25" style="774" customWidth="1"/>
    <col min="8196" max="8448" width="9.33203125" style="774"/>
    <col min="8449" max="8449" width="13.83203125" style="774" customWidth="1"/>
    <col min="8450" max="8450" width="79.1640625" style="774" customWidth="1"/>
    <col min="8451" max="8451" width="25" style="774" customWidth="1"/>
    <col min="8452" max="8704" width="9.33203125" style="774"/>
    <col min="8705" max="8705" width="13.83203125" style="774" customWidth="1"/>
    <col min="8706" max="8706" width="79.1640625" style="774" customWidth="1"/>
    <col min="8707" max="8707" width="25" style="774" customWidth="1"/>
    <col min="8708" max="8960" width="9.33203125" style="774"/>
    <col min="8961" max="8961" width="13.83203125" style="774" customWidth="1"/>
    <col min="8962" max="8962" width="79.1640625" style="774" customWidth="1"/>
    <col min="8963" max="8963" width="25" style="774" customWidth="1"/>
    <col min="8964" max="9216" width="9.33203125" style="774"/>
    <col min="9217" max="9217" width="13.83203125" style="774" customWidth="1"/>
    <col min="9218" max="9218" width="79.1640625" style="774" customWidth="1"/>
    <col min="9219" max="9219" width="25" style="774" customWidth="1"/>
    <col min="9220" max="9472" width="9.33203125" style="774"/>
    <col min="9473" max="9473" width="13.83203125" style="774" customWidth="1"/>
    <col min="9474" max="9474" width="79.1640625" style="774" customWidth="1"/>
    <col min="9475" max="9475" width="25" style="774" customWidth="1"/>
    <col min="9476" max="9728" width="9.33203125" style="774"/>
    <col min="9729" max="9729" width="13.83203125" style="774" customWidth="1"/>
    <col min="9730" max="9730" width="79.1640625" style="774" customWidth="1"/>
    <col min="9731" max="9731" width="25" style="774" customWidth="1"/>
    <col min="9732" max="9984" width="9.33203125" style="774"/>
    <col min="9985" max="9985" width="13.83203125" style="774" customWidth="1"/>
    <col min="9986" max="9986" width="79.1640625" style="774" customWidth="1"/>
    <col min="9987" max="9987" width="25" style="774" customWidth="1"/>
    <col min="9988" max="10240" width="9.33203125" style="774"/>
    <col min="10241" max="10241" width="13.83203125" style="774" customWidth="1"/>
    <col min="10242" max="10242" width="79.1640625" style="774" customWidth="1"/>
    <col min="10243" max="10243" width="25" style="774" customWidth="1"/>
    <col min="10244" max="10496" width="9.33203125" style="774"/>
    <col min="10497" max="10497" width="13.83203125" style="774" customWidth="1"/>
    <col min="10498" max="10498" width="79.1640625" style="774" customWidth="1"/>
    <col min="10499" max="10499" width="25" style="774" customWidth="1"/>
    <col min="10500" max="10752" width="9.33203125" style="774"/>
    <col min="10753" max="10753" width="13.83203125" style="774" customWidth="1"/>
    <col min="10754" max="10754" width="79.1640625" style="774" customWidth="1"/>
    <col min="10755" max="10755" width="25" style="774" customWidth="1"/>
    <col min="10756" max="11008" width="9.33203125" style="774"/>
    <col min="11009" max="11009" width="13.83203125" style="774" customWidth="1"/>
    <col min="11010" max="11010" width="79.1640625" style="774" customWidth="1"/>
    <col min="11011" max="11011" width="25" style="774" customWidth="1"/>
    <col min="11012" max="11264" width="9.33203125" style="774"/>
    <col min="11265" max="11265" width="13.83203125" style="774" customWidth="1"/>
    <col min="11266" max="11266" width="79.1640625" style="774" customWidth="1"/>
    <col min="11267" max="11267" width="25" style="774" customWidth="1"/>
    <col min="11268" max="11520" width="9.33203125" style="774"/>
    <col min="11521" max="11521" width="13.83203125" style="774" customWidth="1"/>
    <col min="11522" max="11522" width="79.1640625" style="774" customWidth="1"/>
    <col min="11523" max="11523" width="25" style="774" customWidth="1"/>
    <col min="11524" max="11776" width="9.33203125" style="774"/>
    <col min="11777" max="11777" width="13.83203125" style="774" customWidth="1"/>
    <col min="11778" max="11778" width="79.1640625" style="774" customWidth="1"/>
    <col min="11779" max="11779" width="25" style="774" customWidth="1"/>
    <col min="11780" max="12032" width="9.33203125" style="774"/>
    <col min="12033" max="12033" width="13.83203125" style="774" customWidth="1"/>
    <col min="12034" max="12034" width="79.1640625" style="774" customWidth="1"/>
    <col min="12035" max="12035" width="25" style="774" customWidth="1"/>
    <col min="12036" max="12288" width="9.33203125" style="774"/>
    <col min="12289" max="12289" width="13.83203125" style="774" customWidth="1"/>
    <col min="12290" max="12290" width="79.1640625" style="774" customWidth="1"/>
    <col min="12291" max="12291" width="25" style="774" customWidth="1"/>
    <col min="12292" max="12544" width="9.33203125" style="774"/>
    <col min="12545" max="12545" width="13.83203125" style="774" customWidth="1"/>
    <col min="12546" max="12546" width="79.1640625" style="774" customWidth="1"/>
    <col min="12547" max="12547" width="25" style="774" customWidth="1"/>
    <col min="12548" max="12800" width="9.33203125" style="774"/>
    <col min="12801" max="12801" width="13.83203125" style="774" customWidth="1"/>
    <col min="12802" max="12802" width="79.1640625" style="774" customWidth="1"/>
    <col min="12803" max="12803" width="25" style="774" customWidth="1"/>
    <col min="12804" max="13056" width="9.33203125" style="774"/>
    <col min="13057" max="13057" width="13.83203125" style="774" customWidth="1"/>
    <col min="13058" max="13058" width="79.1640625" style="774" customWidth="1"/>
    <col min="13059" max="13059" width="25" style="774" customWidth="1"/>
    <col min="13060" max="13312" width="9.33203125" style="774"/>
    <col min="13313" max="13313" width="13.83203125" style="774" customWidth="1"/>
    <col min="13314" max="13314" width="79.1640625" style="774" customWidth="1"/>
    <col min="13315" max="13315" width="25" style="774" customWidth="1"/>
    <col min="13316" max="13568" width="9.33203125" style="774"/>
    <col min="13569" max="13569" width="13.83203125" style="774" customWidth="1"/>
    <col min="13570" max="13570" width="79.1640625" style="774" customWidth="1"/>
    <col min="13571" max="13571" width="25" style="774" customWidth="1"/>
    <col min="13572" max="13824" width="9.33203125" style="774"/>
    <col min="13825" max="13825" width="13.83203125" style="774" customWidth="1"/>
    <col min="13826" max="13826" width="79.1640625" style="774" customWidth="1"/>
    <col min="13827" max="13827" width="25" style="774" customWidth="1"/>
    <col min="13828" max="14080" width="9.33203125" style="774"/>
    <col min="14081" max="14081" width="13.83203125" style="774" customWidth="1"/>
    <col min="14082" max="14082" width="79.1640625" style="774" customWidth="1"/>
    <col min="14083" max="14083" width="25" style="774" customWidth="1"/>
    <col min="14084" max="14336" width="9.33203125" style="774"/>
    <col min="14337" max="14337" width="13.83203125" style="774" customWidth="1"/>
    <col min="14338" max="14338" width="79.1640625" style="774" customWidth="1"/>
    <col min="14339" max="14339" width="25" style="774" customWidth="1"/>
    <col min="14340" max="14592" width="9.33203125" style="774"/>
    <col min="14593" max="14593" width="13.83203125" style="774" customWidth="1"/>
    <col min="14594" max="14594" width="79.1640625" style="774" customWidth="1"/>
    <col min="14595" max="14595" width="25" style="774" customWidth="1"/>
    <col min="14596" max="14848" width="9.33203125" style="774"/>
    <col min="14849" max="14849" width="13.83203125" style="774" customWidth="1"/>
    <col min="14850" max="14850" width="79.1640625" style="774" customWidth="1"/>
    <col min="14851" max="14851" width="25" style="774" customWidth="1"/>
    <col min="14852" max="15104" width="9.33203125" style="774"/>
    <col min="15105" max="15105" width="13.83203125" style="774" customWidth="1"/>
    <col min="15106" max="15106" width="79.1640625" style="774" customWidth="1"/>
    <col min="15107" max="15107" width="25" style="774" customWidth="1"/>
    <col min="15108" max="15360" width="9.33203125" style="774"/>
    <col min="15361" max="15361" width="13.83203125" style="774" customWidth="1"/>
    <col min="15362" max="15362" width="79.1640625" style="774" customWidth="1"/>
    <col min="15363" max="15363" width="25" style="774" customWidth="1"/>
    <col min="15364" max="15616" width="9.33203125" style="774"/>
    <col min="15617" max="15617" width="13.83203125" style="774" customWidth="1"/>
    <col min="15618" max="15618" width="79.1640625" style="774" customWidth="1"/>
    <col min="15619" max="15619" width="25" style="774" customWidth="1"/>
    <col min="15620" max="15872" width="9.33203125" style="774"/>
    <col min="15873" max="15873" width="13.83203125" style="774" customWidth="1"/>
    <col min="15874" max="15874" width="79.1640625" style="774" customWidth="1"/>
    <col min="15875" max="15875" width="25" style="774" customWidth="1"/>
    <col min="15876" max="16128" width="9.33203125" style="774"/>
    <col min="16129" max="16129" width="13.83203125" style="774" customWidth="1"/>
    <col min="16130" max="16130" width="79.1640625" style="774" customWidth="1"/>
    <col min="16131" max="16131" width="25" style="774" customWidth="1"/>
    <col min="16132" max="16384" width="9.33203125" style="774"/>
  </cols>
  <sheetData>
    <row r="1" spans="1:6" ht="12.75" customHeight="1" x14ac:dyDescent="0.2">
      <c r="A1" s="1482" t="str">
        <f>CONCATENATE("20. melléklet"," ",ALAPADATOK!A7," ",ALAPADATOK!B7," ",ALAPADATOK!C7," ",ALAPADATOK!D7," ",ALAPADATOK!E7," ",ALAPADATOK!F7," ",ALAPADATOK!G7," ",ALAPADATOK!H7)</f>
        <v>20. melléklet a 19 / 2021. ( XI.29. ) önkormányzati rendelethez</v>
      </c>
      <c r="B1" s="1482"/>
      <c r="C1" s="1482"/>
    </row>
    <row r="2" spans="1:6" s="77" customFormat="1" ht="21" customHeight="1" x14ac:dyDescent="0.2">
      <c r="A2" s="76"/>
      <c r="B2" s="78"/>
      <c r="C2" s="961"/>
    </row>
    <row r="3" spans="1:6" s="217" customFormat="1" ht="36" customHeight="1" thickBot="1" x14ac:dyDescent="0.25">
      <c r="A3" s="1442" t="s">
        <v>1081</v>
      </c>
      <c r="B3" s="1442"/>
      <c r="C3" s="1442"/>
    </row>
    <row r="4" spans="1:6" ht="13.5" thickBot="1" x14ac:dyDescent="0.25">
      <c r="A4" s="175" t="s">
        <v>154</v>
      </c>
      <c r="B4" s="81" t="s">
        <v>50</v>
      </c>
      <c r="C4" s="330" t="s">
        <v>1033</v>
      </c>
    </row>
    <row r="5" spans="1:6" s="219" customFormat="1" ht="12.95" customHeight="1" thickBot="1" x14ac:dyDescent="0.25">
      <c r="A5" s="71" t="s">
        <v>391</v>
      </c>
      <c r="B5" s="72" t="s">
        <v>392</v>
      </c>
      <c r="C5" s="331" t="s">
        <v>393</v>
      </c>
    </row>
    <row r="6" spans="1:6" s="219" customFormat="1" ht="15.95" customHeight="1" thickBot="1" x14ac:dyDescent="0.25">
      <c r="A6" s="83"/>
      <c r="B6" s="84" t="s">
        <v>52</v>
      </c>
      <c r="C6" s="332"/>
      <c r="D6" s="502"/>
      <c r="E6" s="1387"/>
      <c r="F6" s="502"/>
    </row>
    <row r="7" spans="1:6" s="168" customFormat="1" ht="12" customHeight="1" thickBot="1" x14ac:dyDescent="0.25">
      <c r="A7" s="71" t="s">
        <v>16</v>
      </c>
      <c r="B7" s="86" t="s">
        <v>467</v>
      </c>
      <c r="C7" s="569">
        <f>SUM(C8:C18)</f>
        <v>1175672</v>
      </c>
      <c r="D7" s="504"/>
      <c r="E7" s="1387"/>
      <c r="F7" s="504"/>
    </row>
    <row r="8" spans="1:6" s="168" customFormat="1" ht="12" customHeight="1" x14ac:dyDescent="0.2">
      <c r="A8" s="211" t="s">
        <v>86</v>
      </c>
      <c r="B8" s="7" t="s">
        <v>209</v>
      </c>
      <c r="C8" s="570"/>
      <c r="F8" s="1388"/>
    </row>
    <row r="9" spans="1:6" s="168" customFormat="1" ht="12" customHeight="1" x14ac:dyDescent="0.2">
      <c r="A9" s="212" t="s">
        <v>87</v>
      </c>
      <c r="B9" s="5" t="s">
        <v>210</v>
      </c>
      <c r="C9" s="571"/>
    </row>
    <row r="10" spans="1:6" s="168" customFormat="1" ht="12" customHeight="1" x14ac:dyDescent="0.2">
      <c r="A10" s="212" t="s">
        <v>88</v>
      </c>
      <c r="B10" s="5" t="s">
        <v>211</v>
      </c>
      <c r="C10" s="571"/>
    </row>
    <row r="11" spans="1:6" s="168" customFormat="1" ht="12" customHeight="1" x14ac:dyDescent="0.2">
      <c r="A11" s="212" t="s">
        <v>89</v>
      </c>
      <c r="B11" s="5" t="s">
        <v>212</v>
      </c>
      <c r="C11" s="571"/>
    </row>
    <row r="12" spans="1:6" s="168" customFormat="1" ht="12" customHeight="1" x14ac:dyDescent="0.2">
      <c r="A12" s="212" t="s">
        <v>112</v>
      </c>
      <c r="B12" s="5" t="s">
        <v>213</v>
      </c>
      <c r="C12" s="571">
        <v>1175672</v>
      </c>
    </row>
    <row r="13" spans="1:6" s="168" customFormat="1" ht="12" customHeight="1" x14ac:dyDescent="0.2">
      <c r="A13" s="212" t="s">
        <v>90</v>
      </c>
      <c r="B13" s="5" t="s">
        <v>333</v>
      </c>
      <c r="C13" s="571"/>
    </row>
    <row r="14" spans="1:6" s="168" customFormat="1" ht="12" customHeight="1" x14ac:dyDescent="0.2">
      <c r="A14" s="212" t="s">
        <v>91</v>
      </c>
      <c r="B14" s="4" t="s">
        <v>334</v>
      </c>
      <c r="C14" s="571"/>
    </row>
    <row r="15" spans="1:6" s="168" customFormat="1" ht="12" customHeight="1" x14ac:dyDescent="0.2">
      <c r="A15" s="212" t="s">
        <v>101</v>
      </c>
      <c r="B15" s="5" t="s">
        <v>216</v>
      </c>
      <c r="C15" s="572"/>
    </row>
    <row r="16" spans="1:6" s="220" customFormat="1" ht="12" customHeight="1" x14ac:dyDescent="0.2">
      <c r="A16" s="212" t="s">
        <v>102</v>
      </c>
      <c r="B16" s="5" t="s">
        <v>217</v>
      </c>
      <c r="C16" s="571"/>
    </row>
    <row r="17" spans="1:3" s="220" customFormat="1" ht="12" customHeight="1" x14ac:dyDescent="0.2">
      <c r="A17" s="212" t="s">
        <v>103</v>
      </c>
      <c r="B17" s="5" t="s">
        <v>397</v>
      </c>
      <c r="C17" s="573"/>
    </row>
    <row r="18" spans="1:3" s="220" customFormat="1" ht="12" customHeight="1" thickBot="1" x14ac:dyDescent="0.25">
      <c r="A18" s="212" t="s">
        <v>104</v>
      </c>
      <c r="B18" s="4" t="s">
        <v>218</v>
      </c>
      <c r="C18" s="573"/>
    </row>
    <row r="19" spans="1:3" s="168" customFormat="1" ht="12" customHeight="1" thickBot="1" x14ac:dyDescent="0.25">
      <c r="A19" s="71" t="s">
        <v>17</v>
      </c>
      <c r="B19" s="86" t="s">
        <v>335</v>
      </c>
      <c r="C19" s="569">
        <f>SUM(C20:C22)</f>
        <v>0</v>
      </c>
    </row>
    <row r="20" spans="1:3" s="220" customFormat="1" ht="12" customHeight="1" x14ac:dyDescent="0.2">
      <c r="A20" s="212" t="s">
        <v>92</v>
      </c>
      <c r="B20" s="6" t="s">
        <v>187</v>
      </c>
      <c r="C20" s="574"/>
    </row>
    <row r="21" spans="1:3" s="220" customFormat="1" ht="12" customHeight="1" x14ac:dyDescent="0.2">
      <c r="A21" s="212" t="s">
        <v>93</v>
      </c>
      <c r="B21" s="5" t="s">
        <v>336</v>
      </c>
      <c r="C21" s="571"/>
    </row>
    <row r="22" spans="1:3" s="220" customFormat="1" ht="12" customHeight="1" x14ac:dyDescent="0.2">
      <c r="A22" s="212" t="s">
        <v>94</v>
      </c>
      <c r="B22" s="5" t="s">
        <v>337</v>
      </c>
      <c r="C22" s="575"/>
    </row>
    <row r="23" spans="1:3" s="220" customFormat="1" ht="12" customHeight="1" thickBot="1" x14ac:dyDescent="0.25">
      <c r="A23" s="212" t="s">
        <v>95</v>
      </c>
      <c r="B23" s="5" t="s">
        <v>468</v>
      </c>
      <c r="C23" s="571"/>
    </row>
    <row r="24" spans="1:3" s="220" customFormat="1" ht="12" customHeight="1" thickBot="1" x14ac:dyDescent="0.25">
      <c r="A24" s="74" t="s">
        <v>18</v>
      </c>
      <c r="B24" s="54" t="s">
        <v>126</v>
      </c>
      <c r="C24" s="576"/>
    </row>
    <row r="25" spans="1:3" s="220" customFormat="1" ht="12" customHeight="1" thickBot="1" x14ac:dyDescent="0.25">
      <c r="A25" s="74" t="s">
        <v>19</v>
      </c>
      <c r="B25" s="54" t="s">
        <v>469</v>
      </c>
      <c r="C25" s="569">
        <f>+C26+C27+C28</f>
        <v>0</v>
      </c>
    </row>
    <row r="26" spans="1:3" s="220" customFormat="1" ht="12" customHeight="1" x14ac:dyDescent="0.2">
      <c r="A26" s="213" t="s">
        <v>197</v>
      </c>
      <c r="B26" s="214" t="s">
        <v>192</v>
      </c>
      <c r="C26" s="577"/>
    </row>
    <row r="27" spans="1:3" s="220" customFormat="1" ht="12" customHeight="1" x14ac:dyDescent="0.2">
      <c r="A27" s="213" t="s">
        <v>200</v>
      </c>
      <c r="B27" s="214" t="s">
        <v>336</v>
      </c>
      <c r="C27" s="574"/>
    </row>
    <row r="28" spans="1:3" s="220" customFormat="1" ht="12" customHeight="1" x14ac:dyDescent="0.2">
      <c r="A28" s="213" t="s">
        <v>201</v>
      </c>
      <c r="B28" s="215" t="s">
        <v>338</v>
      </c>
      <c r="C28" s="574"/>
    </row>
    <row r="29" spans="1:3" s="220" customFormat="1" ht="12" customHeight="1" thickBot="1" x14ac:dyDescent="0.25">
      <c r="A29" s="212" t="s">
        <v>202</v>
      </c>
      <c r="B29" s="57" t="s">
        <v>470</v>
      </c>
      <c r="C29" s="578"/>
    </row>
    <row r="30" spans="1:3" s="220" customFormat="1" ht="12" customHeight="1" thickBot="1" x14ac:dyDescent="0.25">
      <c r="A30" s="74" t="s">
        <v>20</v>
      </c>
      <c r="B30" s="54" t="s">
        <v>339</v>
      </c>
      <c r="C30" s="569">
        <f>+C31+C32+C33</f>
        <v>0</v>
      </c>
    </row>
    <row r="31" spans="1:3" s="220" customFormat="1" ht="12" customHeight="1" x14ac:dyDescent="0.2">
      <c r="A31" s="213" t="s">
        <v>79</v>
      </c>
      <c r="B31" s="214" t="s">
        <v>223</v>
      </c>
      <c r="C31" s="577"/>
    </row>
    <row r="32" spans="1:3" s="220" customFormat="1" ht="12" customHeight="1" x14ac:dyDescent="0.2">
      <c r="A32" s="213" t="s">
        <v>80</v>
      </c>
      <c r="B32" s="215" t="s">
        <v>224</v>
      </c>
      <c r="C32" s="572"/>
    </row>
    <row r="33" spans="1:3" s="168" customFormat="1" ht="12" customHeight="1" thickBot="1" x14ac:dyDescent="0.25">
      <c r="A33" s="212" t="s">
        <v>81</v>
      </c>
      <c r="B33" s="57" t="s">
        <v>225</v>
      </c>
      <c r="C33" s="578"/>
    </row>
    <row r="34" spans="1:3" s="168" customFormat="1" ht="12" customHeight="1" thickBot="1" x14ac:dyDescent="0.25">
      <c r="A34" s="74" t="s">
        <v>21</v>
      </c>
      <c r="B34" s="54" t="s">
        <v>311</v>
      </c>
      <c r="C34" s="576"/>
    </row>
    <row r="35" spans="1:3" s="168" customFormat="1" ht="12" customHeight="1" thickBot="1" x14ac:dyDescent="0.25">
      <c r="A35" s="74" t="s">
        <v>22</v>
      </c>
      <c r="B35" s="54" t="s">
        <v>340</v>
      </c>
      <c r="C35" s="160">
        <f>200000+50000</f>
        <v>250000</v>
      </c>
    </row>
    <row r="36" spans="1:3" s="168" customFormat="1" ht="12" customHeight="1" thickBot="1" x14ac:dyDescent="0.25">
      <c r="A36" s="71" t="s">
        <v>23</v>
      </c>
      <c r="B36" s="54" t="s">
        <v>341</v>
      </c>
      <c r="C36" s="580">
        <f>+C7+C19+C24+C25+C30+C34+C35</f>
        <v>1425672</v>
      </c>
    </row>
    <row r="37" spans="1:3" s="168" customFormat="1" ht="12" customHeight="1" thickBot="1" x14ac:dyDescent="0.25">
      <c r="A37" s="962" t="s">
        <v>24</v>
      </c>
      <c r="B37" s="54" t="s">
        <v>342</v>
      </c>
      <c r="C37" s="857">
        <f>+C38+C39+C40</f>
        <v>114933334</v>
      </c>
    </row>
    <row r="38" spans="1:3" s="168" customFormat="1" ht="12" customHeight="1" x14ac:dyDescent="0.2">
      <c r="A38" s="213" t="s">
        <v>343</v>
      </c>
      <c r="B38" s="214" t="s">
        <v>168</v>
      </c>
      <c r="C38" s="577">
        <v>284491</v>
      </c>
    </row>
    <row r="39" spans="1:3" s="220" customFormat="1" ht="12" customHeight="1" x14ac:dyDescent="0.2">
      <c r="A39" s="213" t="s">
        <v>344</v>
      </c>
      <c r="B39" s="215" t="s">
        <v>6</v>
      </c>
      <c r="C39" s="572"/>
    </row>
    <row r="40" spans="1:3" s="220" customFormat="1" ht="15" customHeight="1" thickBot="1" x14ac:dyDescent="0.25">
      <c r="A40" s="212" t="s">
        <v>345</v>
      </c>
      <c r="B40" s="57" t="s">
        <v>346</v>
      </c>
      <c r="C40" s="1174">
        <f>110066135-484352+381000+4686060</f>
        <v>114648843</v>
      </c>
    </row>
    <row r="41" spans="1:3" s="220" customFormat="1" ht="15" customHeight="1" thickBot="1" x14ac:dyDescent="0.25">
      <c r="A41" s="962" t="s">
        <v>25</v>
      </c>
      <c r="B41" s="963" t="s">
        <v>347</v>
      </c>
      <c r="C41" s="857">
        <f>+C36+C37</f>
        <v>116359006</v>
      </c>
    </row>
    <row r="42" spans="1:3" s="221" customFormat="1" ht="12" customHeight="1" thickBot="1" x14ac:dyDescent="0.25">
      <c r="A42" s="93"/>
      <c r="B42" s="94" t="s">
        <v>53</v>
      </c>
      <c r="C42" s="581"/>
    </row>
    <row r="43" spans="1:3" ht="12" customHeight="1" thickBot="1" x14ac:dyDescent="0.25">
      <c r="A43" s="74" t="s">
        <v>16</v>
      </c>
      <c r="B43" s="54" t="s">
        <v>348</v>
      </c>
      <c r="C43" s="856">
        <f>SUM(C44:C48)</f>
        <v>113033206</v>
      </c>
    </row>
    <row r="44" spans="1:3" ht="12" customHeight="1" x14ac:dyDescent="0.2">
      <c r="A44" s="212" t="s">
        <v>86</v>
      </c>
      <c r="B44" s="6" t="s">
        <v>46</v>
      </c>
      <c r="C44" s="858">
        <f>82248525+442866</f>
        <v>82691391</v>
      </c>
    </row>
    <row r="45" spans="1:3" ht="12" customHeight="1" x14ac:dyDescent="0.2">
      <c r="A45" s="212" t="s">
        <v>87</v>
      </c>
      <c r="B45" s="5" t="s">
        <v>135</v>
      </c>
      <c r="C45" s="859">
        <f>13031917+68644</f>
        <v>13100561</v>
      </c>
    </row>
    <row r="46" spans="1:3" ht="12" customHeight="1" x14ac:dyDescent="0.2">
      <c r="A46" s="212" t="s">
        <v>88</v>
      </c>
      <c r="B46" s="5" t="s">
        <v>111</v>
      </c>
      <c r="C46" s="859">
        <f>16220856-484352+381000+1123750</f>
        <v>17241254</v>
      </c>
    </row>
    <row r="47" spans="1:3" ht="12" customHeight="1" x14ac:dyDescent="0.2">
      <c r="A47" s="212" t="s">
        <v>89</v>
      </c>
      <c r="B47" s="5" t="s">
        <v>136</v>
      </c>
      <c r="C47" s="571"/>
    </row>
    <row r="48" spans="1:3" ht="12" customHeight="1" thickBot="1" x14ac:dyDescent="0.25">
      <c r="A48" s="212" t="s">
        <v>112</v>
      </c>
      <c r="B48" s="5" t="s">
        <v>137</v>
      </c>
      <c r="C48" s="571"/>
    </row>
    <row r="49" spans="1:3" s="221" customFormat="1" ht="12" customHeight="1" thickBot="1" x14ac:dyDescent="0.25">
      <c r="A49" s="74" t="s">
        <v>17</v>
      </c>
      <c r="B49" s="54" t="s">
        <v>349</v>
      </c>
      <c r="C49" s="569">
        <f>SUM(C50:C52)</f>
        <v>3325800</v>
      </c>
    </row>
    <row r="50" spans="1:3" ht="12" customHeight="1" x14ac:dyDescent="0.2">
      <c r="A50" s="212" t="s">
        <v>92</v>
      </c>
      <c r="B50" s="6" t="s">
        <v>159</v>
      </c>
      <c r="C50" s="858">
        <f>25000+200000+50000+3050800</f>
        <v>3325800</v>
      </c>
    </row>
    <row r="51" spans="1:3" ht="12" customHeight="1" x14ac:dyDescent="0.2">
      <c r="A51" s="212" t="s">
        <v>93</v>
      </c>
      <c r="B51" s="5" t="s">
        <v>139</v>
      </c>
      <c r="C51" s="571"/>
    </row>
    <row r="52" spans="1:3" ht="12" customHeight="1" x14ac:dyDescent="0.2">
      <c r="A52" s="212" t="s">
        <v>94</v>
      </c>
      <c r="B52" s="5" t="s">
        <v>54</v>
      </c>
      <c r="C52" s="571"/>
    </row>
    <row r="53" spans="1:3" ht="15" customHeight="1" thickBot="1" x14ac:dyDescent="0.25">
      <c r="A53" s="212" t="s">
        <v>95</v>
      </c>
      <c r="B53" s="5" t="s">
        <v>471</v>
      </c>
      <c r="C53" s="571"/>
    </row>
    <row r="54" spans="1:3" ht="13.5" thickBot="1" x14ac:dyDescent="0.25">
      <c r="A54" s="74" t="s">
        <v>18</v>
      </c>
      <c r="B54" s="54" t="s">
        <v>12</v>
      </c>
      <c r="C54" s="576"/>
    </row>
    <row r="55" spans="1:3" ht="15" customHeight="1" thickBot="1" x14ac:dyDescent="0.25">
      <c r="A55" s="74" t="s">
        <v>19</v>
      </c>
      <c r="B55" s="95" t="s">
        <v>472</v>
      </c>
      <c r="C55" s="856">
        <f>+C43+C49+C54</f>
        <v>116359006</v>
      </c>
    </row>
    <row r="56" spans="1:3" ht="13.5" thickBot="1" x14ac:dyDescent="0.25">
      <c r="A56" s="1477" t="s">
        <v>465</v>
      </c>
      <c r="B56" s="1478"/>
      <c r="C56" s="1425">
        <v>21</v>
      </c>
    </row>
  </sheetData>
  <sheetProtection formatCells="0"/>
  <mergeCells count="3">
    <mergeCell ref="A1:C1"/>
    <mergeCell ref="A56:B56"/>
    <mergeCell ref="A3:C3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43"/>
  <dimension ref="A1:C61"/>
  <sheetViews>
    <sheetView workbookViewId="0">
      <selection activeCell="B51" sqref="B51"/>
    </sheetView>
  </sheetViews>
  <sheetFormatPr defaultRowHeight="12.75" x14ac:dyDescent="0.2"/>
  <cols>
    <col min="1" max="1" width="13.83203125" style="767" customWidth="1"/>
    <col min="2" max="2" width="79.1640625" style="767" customWidth="1"/>
    <col min="3" max="3" width="25" style="767" customWidth="1"/>
    <col min="4" max="16384" width="9.33203125" style="767"/>
  </cols>
  <sheetData>
    <row r="1" spans="1:3" x14ac:dyDescent="0.2">
      <c r="A1" s="1482" t="str">
        <f>CONCATENATE("9.7.2. melléklet"," ",ALAPADATOK!A7," ",ALAPADATOK!B7," ",ALAPADATOK!C7," ",ALAPADATOK!D7," ",ALAPADATOK!E7," ",ALAPADATOK!F7," ",ALAPADATOK!G7," ",ALAPADATOK!H7)</f>
        <v>9.7.2. melléklet a 19 / 2021. ( XI.29. ) önkormányzati rendelethez</v>
      </c>
      <c r="B1" s="1482"/>
      <c r="C1" s="1482"/>
    </row>
    <row r="2" spans="1:3" ht="16.5" thickBot="1" x14ac:dyDescent="0.25">
      <c r="A2" s="76"/>
      <c r="B2" s="78"/>
      <c r="C2" s="216"/>
    </row>
    <row r="3" spans="1:3" ht="36" x14ac:dyDescent="0.2">
      <c r="A3" s="174" t="s">
        <v>153</v>
      </c>
      <c r="B3" s="154" t="s">
        <v>478</v>
      </c>
      <c r="C3" s="166" t="s">
        <v>57</v>
      </c>
    </row>
    <row r="4" spans="1:3" ht="24.75" thickBot="1" x14ac:dyDescent="0.25">
      <c r="A4" s="210" t="s">
        <v>152</v>
      </c>
      <c r="B4" s="155" t="s">
        <v>350</v>
      </c>
      <c r="C4" s="167" t="s">
        <v>56</v>
      </c>
    </row>
    <row r="5" spans="1:3" ht="14.25" thickBot="1" x14ac:dyDescent="0.3">
      <c r="A5" s="79"/>
      <c r="B5" s="79"/>
      <c r="C5" s="80" t="s">
        <v>495</v>
      </c>
    </row>
    <row r="6" spans="1:3" ht="13.5" thickBot="1" x14ac:dyDescent="0.25">
      <c r="A6" s="175" t="s">
        <v>154</v>
      </c>
      <c r="B6" s="81" t="s">
        <v>50</v>
      </c>
      <c r="C6" s="82" t="s">
        <v>51</v>
      </c>
    </row>
    <row r="7" spans="1:3" ht="13.5" thickBot="1" x14ac:dyDescent="0.25">
      <c r="A7" s="71" t="s">
        <v>391</v>
      </c>
      <c r="B7" s="72" t="s">
        <v>392</v>
      </c>
      <c r="C7" s="73" t="s">
        <v>393</v>
      </c>
    </row>
    <row r="8" spans="1:3" ht="13.5" thickBot="1" x14ac:dyDescent="0.25">
      <c r="A8" s="83"/>
      <c r="B8" s="84" t="s">
        <v>52</v>
      </c>
      <c r="C8" s="85"/>
    </row>
    <row r="9" spans="1:3" ht="13.5" thickBot="1" x14ac:dyDescent="0.25">
      <c r="A9" s="71" t="s">
        <v>16</v>
      </c>
      <c r="B9" s="86" t="s">
        <v>467</v>
      </c>
      <c r="C9" s="856">
        <f>SUM(C10:C20)</f>
        <v>0</v>
      </c>
    </row>
    <row r="10" spans="1:3" x14ac:dyDescent="0.2">
      <c r="A10" s="211" t="s">
        <v>86</v>
      </c>
      <c r="B10" s="7" t="s">
        <v>209</v>
      </c>
      <c r="C10" s="158"/>
    </row>
    <row r="11" spans="1:3" x14ac:dyDescent="0.2">
      <c r="A11" s="212" t="s">
        <v>87</v>
      </c>
      <c r="B11" s="5" t="s">
        <v>210</v>
      </c>
      <c r="C11" s="124"/>
    </row>
    <row r="12" spans="1:3" x14ac:dyDescent="0.2">
      <c r="A12" s="212" t="s">
        <v>88</v>
      </c>
      <c r="B12" s="5" t="s">
        <v>211</v>
      </c>
      <c r="C12" s="124"/>
    </row>
    <row r="13" spans="1:3" x14ac:dyDescent="0.2">
      <c r="A13" s="212" t="s">
        <v>89</v>
      </c>
      <c r="B13" s="5" t="s">
        <v>212</v>
      </c>
      <c r="C13" s="124"/>
    </row>
    <row r="14" spans="1:3" x14ac:dyDescent="0.2">
      <c r="A14" s="212" t="s">
        <v>112</v>
      </c>
      <c r="B14" s="5" t="s">
        <v>968</v>
      </c>
      <c r="C14" s="124"/>
    </row>
    <row r="15" spans="1:3" x14ac:dyDescent="0.2">
      <c r="A15" s="212" t="s">
        <v>90</v>
      </c>
      <c r="B15" s="5" t="s">
        <v>333</v>
      </c>
      <c r="C15" s="124"/>
    </row>
    <row r="16" spans="1:3" x14ac:dyDescent="0.2">
      <c r="A16" s="212" t="s">
        <v>91</v>
      </c>
      <c r="B16" s="4" t="s">
        <v>334</v>
      </c>
      <c r="C16" s="124"/>
    </row>
    <row r="17" spans="1:3" x14ac:dyDescent="0.2">
      <c r="A17" s="212" t="s">
        <v>101</v>
      </c>
      <c r="B17" s="5" t="s">
        <v>216</v>
      </c>
      <c r="C17" s="159"/>
    </row>
    <row r="18" spans="1:3" x14ac:dyDescent="0.2">
      <c r="A18" s="212" t="s">
        <v>102</v>
      </c>
      <c r="B18" s="5" t="s">
        <v>217</v>
      </c>
      <c r="C18" s="124"/>
    </row>
    <row r="19" spans="1:3" x14ac:dyDescent="0.2">
      <c r="A19" s="212" t="s">
        <v>103</v>
      </c>
      <c r="B19" s="5" t="s">
        <v>397</v>
      </c>
      <c r="C19" s="125"/>
    </row>
    <row r="20" spans="1:3" ht="13.5" thickBot="1" x14ac:dyDescent="0.25">
      <c r="A20" s="212" t="s">
        <v>104</v>
      </c>
      <c r="B20" s="4" t="s">
        <v>218</v>
      </c>
      <c r="C20" s="125"/>
    </row>
    <row r="21" spans="1:3" ht="13.5" thickBot="1" x14ac:dyDescent="0.25">
      <c r="A21" s="71" t="s">
        <v>17</v>
      </c>
      <c r="B21" s="86" t="s">
        <v>335</v>
      </c>
      <c r="C21" s="856">
        <f>SUM(C22:C24)</f>
        <v>0</v>
      </c>
    </row>
    <row r="22" spans="1:3" x14ac:dyDescent="0.2">
      <c r="A22" s="212" t="s">
        <v>92</v>
      </c>
      <c r="B22" s="6" t="s">
        <v>187</v>
      </c>
      <c r="C22" s="124"/>
    </row>
    <row r="23" spans="1:3" x14ac:dyDescent="0.2">
      <c r="A23" s="212" t="s">
        <v>93</v>
      </c>
      <c r="B23" s="5" t="s">
        <v>336</v>
      </c>
      <c r="C23" s="124"/>
    </row>
    <row r="24" spans="1:3" x14ac:dyDescent="0.2">
      <c r="A24" s="212" t="s">
        <v>94</v>
      </c>
      <c r="B24" s="5" t="s">
        <v>337</v>
      </c>
      <c r="C24" s="124"/>
    </row>
    <row r="25" spans="1:3" ht="13.5" thickBot="1" x14ac:dyDescent="0.25">
      <c r="A25" s="212" t="s">
        <v>95</v>
      </c>
      <c r="B25" s="5" t="s">
        <v>473</v>
      </c>
      <c r="C25" s="124"/>
    </row>
    <row r="26" spans="1:3" ht="13.5" thickBot="1" x14ac:dyDescent="0.25">
      <c r="A26" s="74" t="s">
        <v>18</v>
      </c>
      <c r="B26" s="54" t="s">
        <v>126</v>
      </c>
      <c r="C26" s="144"/>
    </row>
    <row r="27" spans="1:3" ht="13.5" thickBot="1" x14ac:dyDescent="0.25">
      <c r="A27" s="74" t="s">
        <v>19</v>
      </c>
      <c r="B27" s="54" t="s">
        <v>474</v>
      </c>
      <c r="C27" s="856">
        <f>+C28+C30</f>
        <v>0</v>
      </c>
    </row>
    <row r="28" spans="1:3" x14ac:dyDescent="0.2">
      <c r="A28" s="213" t="s">
        <v>197</v>
      </c>
      <c r="B28" s="214" t="s">
        <v>192</v>
      </c>
      <c r="C28" s="577"/>
    </row>
    <row r="29" spans="1:3" x14ac:dyDescent="0.2">
      <c r="A29" s="212" t="s">
        <v>200</v>
      </c>
      <c r="B29" s="215" t="s">
        <v>336</v>
      </c>
      <c r="C29" s="854"/>
    </row>
    <row r="30" spans="1:3" x14ac:dyDescent="0.2">
      <c r="A30" s="213" t="s">
        <v>201</v>
      </c>
      <c r="B30" s="214" t="s">
        <v>338</v>
      </c>
      <c r="C30" s="127"/>
    </row>
    <row r="31" spans="1:3" ht="13.5" thickBot="1" x14ac:dyDescent="0.25">
      <c r="A31" s="212" t="s">
        <v>202</v>
      </c>
      <c r="B31" s="57" t="s">
        <v>475</v>
      </c>
      <c r="C31" s="855"/>
    </row>
    <row r="32" spans="1:3" ht="13.5" thickBot="1" x14ac:dyDescent="0.25">
      <c r="A32" s="74" t="s">
        <v>20</v>
      </c>
      <c r="B32" s="54" t="s">
        <v>339</v>
      </c>
      <c r="C32" s="856">
        <f>+C33+C34+C35</f>
        <v>0</v>
      </c>
    </row>
    <row r="33" spans="1:3" x14ac:dyDescent="0.2">
      <c r="A33" s="213" t="s">
        <v>79</v>
      </c>
      <c r="B33" s="214" t="s">
        <v>223</v>
      </c>
      <c r="C33" s="853"/>
    </row>
    <row r="34" spans="1:3" x14ac:dyDescent="0.2">
      <c r="A34" s="213" t="s">
        <v>80</v>
      </c>
      <c r="B34" s="215" t="s">
        <v>224</v>
      </c>
      <c r="C34" s="127"/>
    </row>
    <row r="35" spans="1:3" ht="13.5" thickBot="1" x14ac:dyDescent="0.25">
      <c r="A35" s="212" t="s">
        <v>81</v>
      </c>
      <c r="B35" s="57" t="s">
        <v>225</v>
      </c>
      <c r="C35" s="855"/>
    </row>
    <row r="36" spans="1:3" ht="13.5" thickBot="1" x14ac:dyDescent="0.25">
      <c r="A36" s="74" t="s">
        <v>21</v>
      </c>
      <c r="B36" s="54" t="s">
        <v>311</v>
      </c>
      <c r="C36" s="144"/>
    </row>
    <row r="37" spans="1:3" ht="13.5" thickBot="1" x14ac:dyDescent="0.25">
      <c r="A37" s="74" t="s">
        <v>22</v>
      </c>
      <c r="B37" s="54" t="s">
        <v>340</v>
      </c>
      <c r="C37" s="160"/>
    </row>
    <row r="38" spans="1:3" ht="13.5" thickBot="1" x14ac:dyDescent="0.25">
      <c r="A38" s="71" t="s">
        <v>23</v>
      </c>
      <c r="B38" s="54" t="s">
        <v>476</v>
      </c>
      <c r="C38" s="857">
        <f>+C9+C21+C26+C27+C32+C36+C37</f>
        <v>0</v>
      </c>
    </row>
    <row r="39" spans="1:3" ht="13.5" thickBot="1" x14ac:dyDescent="0.25">
      <c r="A39" s="87" t="s">
        <v>24</v>
      </c>
      <c r="B39" s="54" t="s">
        <v>342</v>
      </c>
      <c r="C39" s="857">
        <f>+C40+C41+C42</f>
        <v>0</v>
      </c>
    </row>
    <row r="40" spans="1:3" x14ac:dyDescent="0.2">
      <c r="A40" s="213" t="s">
        <v>343</v>
      </c>
      <c r="B40" s="214" t="s">
        <v>168</v>
      </c>
      <c r="C40" s="853"/>
    </row>
    <row r="41" spans="1:3" x14ac:dyDescent="0.2">
      <c r="A41" s="213" t="s">
        <v>344</v>
      </c>
      <c r="B41" s="215" t="s">
        <v>6</v>
      </c>
      <c r="C41" s="127"/>
    </row>
    <row r="42" spans="1:3" ht="13.5" thickBot="1" x14ac:dyDescent="0.25">
      <c r="A42" s="212" t="s">
        <v>345</v>
      </c>
      <c r="B42" s="57" t="s">
        <v>346</v>
      </c>
      <c r="C42" s="855"/>
    </row>
    <row r="43" spans="1:3" ht="13.5" thickBot="1" x14ac:dyDescent="0.25">
      <c r="A43" s="87" t="s">
        <v>25</v>
      </c>
      <c r="B43" s="88" t="s">
        <v>347</v>
      </c>
      <c r="C43" s="163">
        <f>+C38+C39</f>
        <v>0</v>
      </c>
    </row>
    <row r="44" spans="1:3" x14ac:dyDescent="0.2">
      <c r="A44" s="89"/>
      <c r="B44" s="90"/>
      <c r="C44" s="161"/>
    </row>
    <row r="45" spans="1:3" ht="13.5" thickBot="1" x14ac:dyDescent="0.25">
      <c r="A45" s="91"/>
      <c r="B45" s="92"/>
      <c r="C45" s="162"/>
    </row>
    <row r="46" spans="1:3" ht="13.5" thickBot="1" x14ac:dyDescent="0.25">
      <c r="A46" s="93"/>
      <c r="B46" s="94" t="s">
        <v>53</v>
      </c>
      <c r="C46" s="163"/>
    </row>
    <row r="47" spans="1:3" ht="13.5" thickBot="1" x14ac:dyDescent="0.25">
      <c r="A47" s="74" t="s">
        <v>16</v>
      </c>
      <c r="B47" s="54" t="s">
        <v>348</v>
      </c>
      <c r="C47" s="856">
        <f>SUM(C48:C52)</f>
        <v>0</v>
      </c>
    </row>
    <row r="48" spans="1:3" x14ac:dyDescent="0.2">
      <c r="A48" s="212" t="s">
        <v>86</v>
      </c>
      <c r="B48" s="6" t="s">
        <v>46</v>
      </c>
      <c r="C48" s="853"/>
    </row>
    <row r="49" spans="1:3" x14ac:dyDescent="0.2">
      <c r="A49" s="212" t="s">
        <v>87</v>
      </c>
      <c r="B49" s="5" t="s">
        <v>135</v>
      </c>
      <c r="C49" s="854"/>
    </row>
    <row r="50" spans="1:3" x14ac:dyDescent="0.2">
      <c r="A50" s="212" t="s">
        <v>88</v>
      </c>
      <c r="B50" s="5" t="s">
        <v>111</v>
      </c>
      <c r="C50" s="854"/>
    </row>
    <row r="51" spans="1:3" x14ac:dyDescent="0.2">
      <c r="A51" s="212" t="s">
        <v>89</v>
      </c>
      <c r="B51" s="5" t="s">
        <v>136</v>
      </c>
      <c r="C51" s="854"/>
    </row>
    <row r="52" spans="1:3" ht="13.5" thickBot="1" x14ac:dyDescent="0.25">
      <c r="A52" s="212" t="s">
        <v>112</v>
      </c>
      <c r="B52" s="5" t="s">
        <v>137</v>
      </c>
      <c r="C52" s="854"/>
    </row>
    <row r="53" spans="1:3" ht="13.5" thickBot="1" x14ac:dyDescent="0.25">
      <c r="A53" s="74" t="s">
        <v>17</v>
      </c>
      <c r="B53" s="54" t="s">
        <v>349</v>
      </c>
      <c r="C53" s="856">
        <f>SUM(C54:C56)</f>
        <v>0</v>
      </c>
    </row>
    <row r="54" spans="1:3" x14ac:dyDescent="0.2">
      <c r="A54" s="212" t="s">
        <v>92</v>
      </c>
      <c r="B54" s="6" t="s">
        <v>159</v>
      </c>
      <c r="C54" s="853"/>
    </row>
    <row r="55" spans="1:3" x14ac:dyDescent="0.2">
      <c r="A55" s="212" t="s">
        <v>93</v>
      </c>
      <c r="B55" s="5" t="s">
        <v>139</v>
      </c>
      <c r="C55" s="854"/>
    </row>
    <row r="56" spans="1:3" x14ac:dyDescent="0.2">
      <c r="A56" s="212" t="s">
        <v>94</v>
      </c>
      <c r="B56" s="5" t="s">
        <v>54</v>
      </c>
      <c r="C56" s="854"/>
    </row>
    <row r="57" spans="1:3" ht="13.5" thickBot="1" x14ac:dyDescent="0.25">
      <c r="A57" s="212" t="s">
        <v>95</v>
      </c>
      <c r="B57" s="5" t="s">
        <v>471</v>
      </c>
      <c r="C57" s="854"/>
    </row>
    <row r="58" spans="1:3" ht="13.5" thickBot="1" x14ac:dyDescent="0.25">
      <c r="A58" s="74" t="s">
        <v>18</v>
      </c>
      <c r="B58" s="54" t="s">
        <v>12</v>
      </c>
      <c r="C58" s="144"/>
    </row>
    <row r="59" spans="1:3" ht="13.5" thickBot="1" x14ac:dyDescent="0.25">
      <c r="A59" s="74" t="s">
        <v>19</v>
      </c>
      <c r="B59" s="95" t="s">
        <v>472</v>
      </c>
      <c r="C59" s="164">
        <f>+C47+C53+C58</f>
        <v>0</v>
      </c>
    </row>
    <row r="60" spans="1:3" ht="13.5" thickBot="1" x14ac:dyDescent="0.25">
      <c r="A60" s="96"/>
      <c r="B60" s="774"/>
      <c r="C60" s="165"/>
    </row>
    <row r="61" spans="1:3" ht="13.5" thickBot="1" x14ac:dyDescent="0.25">
      <c r="A61" s="97" t="s">
        <v>465</v>
      </c>
      <c r="B61" s="98"/>
      <c r="C61" s="53"/>
    </row>
  </sheetData>
  <mergeCells count="1">
    <mergeCell ref="A1:C1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1" orientation="portrait" r:id="rId1"/>
  <headerFooter alignWithMargins="0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44">
    <pageSetUpPr fitToPage="1"/>
  </sheetPr>
  <dimension ref="A1:K20"/>
  <sheetViews>
    <sheetView zoomScale="115" zoomScaleNormal="115" zoomScaleSheetLayoutView="115" zoomScalePageLayoutView="85" workbookViewId="0">
      <selection activeCell="A2" sqref="A2"/>
    </sheetView>
  </sheetViews>
  <sheetFormatPr defaultColWidth="12.5" defaultRowHeight="12.75" x14ac:dyDescent="0.2"/>
  <cols>
    <col min="1" max="1" width="35.83203125" style="633" customWidth="1"/>
    <col min="2" max="3" width="12.33203125" style="633" customWidth="1"/>
    <col min="4" max="4" width="12.33203125" style="643" customWidth="1"/>
    <col min="5" max="10" width="12.33203125" style="633" customWidth="1"/>
    <col min="11" max="11" width="12.33203125" style="643" customWidth="1"/>
    <col min="12" max="254" width="12.5" style="587"/>
    <col min="255" max="255" width="34" style="587" bestFit="1" customWidth="1"/>
    <col min="256" max="256" width="13" style="587" bestFit="1" customWidth="1"/>
    <col min="257" max="258" width="14.83203125" style="587" bestFit="1" customWidth="1"/>
    <col min="259" max="259" width="13.1640625" style="587" customWidth="1"/>
    <col min="260" max="261" width="13" style="587" bestFit="1" customWidth="1"/>
    <col min="262" max="262" width="12.83203125" style="587" customWidth="1"/>
    <col min="263" max="263" width="11.83203125" style="587" bestFit="1" customWidth="1"/>
    <col min="264" max="264" width="14.83203125" style="587" bestFit="1" customWidth="1"/>
    <col min="265" max="510" width="12.5" style="587"/>
    <col min="511" max="511" width="34" style="587" bestFit="1" customWidth="1"/>
    <col min="512" max="512" width="13" style="587" bestFit="1" customWidth="1"/>
    <col min="513" max="514" width="14.83203125" style="587" bestFit="1" customWidth="1"/>
    <col min="515" max="515" width="13.1640625" style="587" customWidth="1"/>
    <col min="516" max="517" width="13" style="587" bestFit="1" customWidth="1"/>
    <col min="518" max="518" width="12.83203125" style="587" customWidth="1"/>
    <col min="519" max="519" width="11.83203125" style="587" bestFit="1" customWidth="1"/>
    <col min="520" max="520" width="14.83203125" style="587" bestFit="1" customWidth="1"/>
    <col min="521" max="766" width="12.5" style="587"/>
    <col min="767" max="767" width="34" style="587" bestFit="1" customWidth="1"/>
    <col min="768" max="768" width="13" style="587" bestFit="1" customWidth="1"/>
    <col min="769" max="770" width="14.83203125" style="587" bestFit="1" customWidth="1"/>
    <col min="771" max="771" width="13.1640625" style="587" customWidth="1"/>
    <col min="772" max="773" width="13" style="587" bestFit="1" customWidth="1"/>
    <col min="774" max="774" width="12.83203125" style="587" customWidth="1"/>
    <col min="775" max="775" width="11.83203125" style="587" bestFit="1" customWidth="1"/>
    <col min="776" max="776" width="14.83203125" style="587" bestFit="1" customWidth="1"/>
    <col min="777" max="1022" width="12.5" style="587"/>
    <col min="1023" max="1023" width="34" style="587" bestFit="1" customWidth="1"/>
    <col min="1024" max="1024" width="13" style="587" bestFit="1" customWidth="1"/>
    <col min="1025" max="1026" width="14.83203125" style="587" bestFit="1" customWidth="1"/>
    <col min="1027" max="1027" width="13.1640625" style="587" customWidth="1"/>
    <col min="1028" max="1029" width="13" style="587" bestFit="1" customWidth="1"/>
    <col min="1030" max="1030" width="12.83203125" style="587" customWidth="1"/>
    <col min="1031" max="1031" width="11.83203125" style="587" bestFit="1" customWidth="1"/>
    <col min="1032" max="1032" width="14.83203125" style="587" bestFit="1" customWidth="1"/>
    <col min="1033" max="1278" width="12.5" style="587"/>
    <col min="1279" max="1279" width="34" style="587" bestFit="1" customWidth="1"/>
    <col min="1280" max="1280" width="13" style="587" bestFit="1" customWidth="1"/>
    <col min="1281" max="1282" width="14.83203125" style="587" bestFit="1" customWidth="1"/>
    <col min="1283" max="1283" width="13.1640625" style="587" customWidth="1"/>
    <col min="1284" max="1285" width="13" style="587" bestFit="1" customWidth="1"/>
    <col min="1286" max="1286" width="12.83203125" style="587" customWidth="1"/>
    <col min="1287" max="1287" width="11.83203125" style="587" bestFit="1" customWidth="1"/>
    <col min="1288" max="1288" width="14.83203125" style="587" bestFit="1" customWidth="1"/>
    <col min="1289" max="1534" width="12.5" style="587"/>
    <col min="1535" max="1535" width="34" style="587" bestFit="1" customWidth="1"/>
    <col min="1536" max="1536" width="13" style="587" bestFit="1" customWidth="1"/>
    <col min="1537" max="1538" width="14.83203125" style="587" bestFit="1" customWidth="1"/>
    <col min="1539" max="1539" width="13.1640625" style="587" customWidth="1"/>
    <col min="1540" max="1541" width="13" style="587" bestFit="1" customWidth="1"/>
    <col min="1542" max="1542" width="12.83203125" style="587" customWidth="1"/>
    <col min="1543" max="1543" width="11.83203125" style="587" bestFit="1" customWidth="1"/>
    <col min="1544" max="1544" width="14.83203125" style="587" bestFit="1" customWidth="1"/>
    <col min="1545" max="1790" width="12.5" style="587"/>
    <col min="1791" max="1791" width="34" style="587" bestFit="1" customWidth="1"/>
    <col min="1792" max="1792" width="13" style="587" bestFit="1" customWidth="1"/>
    <col min="1793" max="1794" width="14.83203125" style="587" bestFit="1" customWidth="1"/>
    <col min="1795" max="1795" width="13.1640625" style="587" customWidth="1"/>
    <col min="1796" max="1797" width="13" style="587" bestFit="1" customWidth="1"/>
    <col min="1798" max="1798" width="12.83203125" style="587" customWidth="1"/>
    <col min="1799" max="1799" width="11.83203125" style="587" bestFit="1" customWidth="1"/>
    <col min="1800" max="1800" width="14.83203125" style="587" bestFit="1" customWidth="1"/>
    <col min="1801" max="2046" width="12.5" style="587"/>
    <col min="2047" max="2047" width="34" style="587" bestFit="1" customWidth="1"/>
    <col min="2048" max="2048" width="13" style="587" bestFit="1" customWidth="1"/>
    <col min="2049" max="2050" width="14.83203125" style="587" bestFit="1" customWidth="1"/>
    <col min="2051" max="2051" width="13.1640625" style="587" customWidth="1"/>
    <col min="2052" max="2053" width="13" style="587" bestFit="1" customWidth="1"/>
    <col min="2054" max="2054" width="12.83203125" style="587" customWidth="1"/>
    <col min="2055" max="2055" width="11.83203125" style="587" bestFit="1" customWidth="1"/>
    <col min="2056" max="2056" width="14.83203125" style="587" bestFit="1" customWidth="1"/>
    <col min="2057" max="2302" width="12.5" style="587"/>
    <col min="2303" max="2303" width="34" style="587" bestFit="1" customWidth="1"/>
    <col min="2304" max="2304" width="13" style="587" bestFit="1" customWidth="1"/>
    <col min="2305" max="2306" width="14.83203125" style="587" bestFit="1" customWidth="1"/>
    <col min="2307" max="2307" width="13.1640625" style="587" customWidth="1"/>
    <col min="2308" max="2309" width="13" style="587" bestFit="1" customWidth="1"/>
    <col min="2310" max="2310" width="12.83203125" style="587" customWidth="1"/>
    <col min="2311" max="2311" width="11.83203125" style="587" bestFit="1" customWidth="1"/>
    <col min="2312" max="2312" width="14.83203125" style="587" bestFit="1" customWidth="1"/>
    <col min="2313" max="2558" width="12.5" style="587"/>
    <col min="2559" max="2559" width="34" style="587" bestFit="1" customWidth="1"/>
    <col min="2560" max="2560" width="13" style="587" bestFit="1" customWidth="1"/>
    <col min="2561" max="2562" width="14.83203125" style="587" bestFit="1" customWidth="1"/>
    <col min="2563" max="2563" width="13.1640625" style="587" customWidth="1"/>
    <col min="2564" max="2565" width="13" style="587" bestFit="1" customWidth="1"/>
    <col min="2566" max="2566" width="12.83203125" style="587" customWidth="1"/>
    <col min="2567" max="2567" width="11.83203125" style="587" bestFit="1" customWidth="1"/>
    <col min="2568" max="2568" width="14.83203125" style="587" bestFit="1" customWidth="1"/>
    <col min="2569" max="2814" width="12.5" style="587"/>
    <col min="2815" max="2815" width="34" style="587" bestFit="1" customWidth="1"/>
    <col min="2816" max="2816" width="13" style="587" bestFit="1" customWidth="1"/>
    <col min="2817" max="2818" width="14.83203125" style="587" bestFit="1" customWidth="1"/>
    <col min="2819" max="2819" width="13.1640625" style="587" customWidth="1"/>
    <col min="2820" max="2821" width="13" style="587" bestFit="1" customWidth="1"/>
    <col min="2822" max="2822" width="12.83203125" style="587" customWidth="1"/>
    <col min="2823" max="2823" width="11.83203125" style="587" bestFit="1" customWidth="1"/>
    <col min="2824" max="2824" width="14.83203125" style="587" bestFit="1" customWidth="1"/>
    <col min="2825" max="3070" width="12.5" style="587"/>
    <col min="3071" max="3071" width="34" style="587" bestFit="1" customWidth="1"/>
    <col min="3072" max="3072" width="13" style="587" bestFit="1" customWidth="1"/>
    <col min="3073" max="3074" width="14.83203125" style="587" bestFit="1" customWidth="1"/>
    <col min="3075" max="3075" width="13.1640625" style="587" customWidth="1"/>
    <col min="3076" max="3077" width="13" style="587" bestFit="1" customWidth="1"/>
    <col min="3078" max="3078" width="12.83203125" style="587" customWidth="1"/>
    <col min="3079" max="3079" width="11.83203125" style="587" bestFit="1" customWidth="1"/>
    <col min="3080" max="3080" width="14.83203125" style="587" bestFit="1" customWidth="1"/>
    <col min="3081" max="3326" width="12.5" style="587"/>
    <col min="3327" max="3327" width="34" style="587" bestFit="1" customWidth="1"/>
    <col min="3328" max="3328" width="13" style="587" bestFit="1" customWidth="1"/>
    <col min="3329" max="3330" width="14.83203125" style="587" bestFit="1" customWidth="1"/>
    <col min="3331" max="3331" width="13.1640625" style="587" customWidth="1"/>
    <col min="3332" max="3333" width="13" style="587" bestFit="1" customWidth="1"/>
    <col min="3334" max="3334" width="12.83203125" style="587" customWidth="1"/>
    <col min="3335" max="3335" width="11.83203125" style="587" bestFit="1" customWidth="1"/>
    <col min="3336" max="3336" width="14.83203125" style="587" bestFit="1" customWidth="1"/>
    <col min="3337" max="3582" width="12.5" style="587"/>
    <col min="3583" max="3583" width="34" style="587" bestFit="1" customWidth="1"/>
    <col min="3584" max="3584" width="13" style="587" bestFit="1" customWidth="1"/>
    <col min="3585" max="3586" width="14.83203125" style="587" bestFit="1" customWidth="1"/>
    <col min="3587" max="3587" width="13.1640625" style="587" customWidth="1"/>
    <col min="3588" max="3589" width="13" style="587" bestFit="1" customWidth="1"/>
    <col min="3590" max="3590" width="12.83203125" style="587" customWidth="1"/>
    <col min="3591" max="3591" width="11.83203125" style="587" bestFit="1" customWidth="1"/>
    <col min="3592" max="3592" width="14.83203125" style="587" bestFit="1" customWidth="1"/>
    <col min="3593" max="3838" width="12.5" style="587"/>
    <col min="3839" max="3839" width="34" style="587" bestFit="1" customWidth="1"/>
    <col min="3840" max="3840" width="13" style="587" bestFit="1" customWidth="1"/>
    <col min="3841" max="3842" width="14.83203125" style="587" bestFit="1" customWidth="1"/>
    <col min="3843" max="3843" width="13.1640625" style="587" customWidth="1"/>
    <col min="3844" max="3845" width="13" style="587" bestFit="1" customWidth="1"/>
    <col min="3846" max="3846" width="12.83203125" style="587" customWidth="1"/>
    <col min="3847" max="3847" width="11.83203125" style="587" bestFit="1" customWidth="1"/>
    <col min="3848" max="3848" width="14.83203125" style="587" bestFit="1" customWidth="1"/>
    <col min="3849" max="4094" width="12.5" style="587"/>
    <col min="4095" max="4095" width="34" style="587" bestFit="1" customWidth="1"/>
    <col min="4096" max="4096" width="13" style="587" bestFit="1" customWidth="1"/>
    <col min="4097" max="4098" width="14.83203125" style="587" bestFit="1" customWidth="1"/>
    <col min="4099" max="4099" width="13.1640625" style="587" customWidth="1"/>
    <col min="4100" max="4101" width="13" style="587" bestFit="1" customWidth="1"/>
    <col min="4102" max="4102" width="12.83203125" style="587" customWidth="1"/>
    <col min="4103" max="4103" width="11.83203125" style="587" bestFit="1" customWidth="1"/>
    <col min="4104" max="4104" width="14.83203125" style="587" bestFit="1" customWidth="1"/>
    <col min="4105" max="4350" width="12.5" style="587"/>
    <col min="4351" max="4351" width="34" style="587" bestFit="1" customWidth="1"/>
    <col min="4352" max="4352" width="13" style="587" bestFit="1" customWidth="1"/>
    <col min="4353" max="4354" width="14.83203125" style="587" bestFit="1" customWidth="1"/>
    <col min="4355" max="4355" width="13.1640625" style="587" customWidth="1"/>
    <col min="4356" max="4357" width="13" style="587" bestFit="1" customWidth="1"/>
    <col min="4358" max="4358" width="12.83203125" style="587" customWidth="1"/>
    <col min="4359" max="4359" width="11.83203125" style="587" bestFit="1" customWidth="1"/>
    <col min="4360" max="4360" width="14.83203125" style="587" bestFit="1" customWidth="1"/>
    <col min="4361" max="4606" width="12.5" style="587"/>
    <col min="4607" max="4607" width="34" style="587" bestFit="1" customWidth="1"/>
    <col min="4608" max="4608" width="13" style="587" bestFit="1" customWidth="1"/>
    <col min="4609" max="4610" width="14.83203125" style="587" bestFit="1" customWidth="1"/>
    <col min="4611" max="4611" width="13.1640625" style="587" customWidth="1"/>
    <col min="4612" max="4613" width="13" style="587" bestFit="1" customWidth="1"/>
    <col min="4614" max="4614" width="12.83203125" style="587" customWidth="1"/>
    <col min="4615" max="4615" width="11.83203125" style="587" bestFit="1" customWidth="1"/>
    <col min="4616" max="4616" width="14.83203125" style="587" bestFit="1" customWidth="1"/>
    <col min="4617" max="4862" width="12.5" style="587"/>
    <col min="4863" max="4863" width="34" style="587" bestFit="1" customWidth="1"/>
    <col min="4864" max="4864" width="13" style="587" bestFit="1" customWidth="1"/>
    <col min="4865" max="4866" width="14.83203125" style="587" bestFit="1" customWidth="1"/>
    <col min="4867" max="4867" width="13.1640625" style="587" customWidth="1"/>
    <col min="4868" max="4869" width="13" style="587" bestFit="1" customWidth="1"/>
    <col min="4870" max="4870" width="12.83203125" style="587" customWidth="1"/>
    <col min="4871" max="4871" width="11.83203125" style="587" bestFit="1" customWidth="1"/>
    <col min="4872" max="4872" width="14.83203125" style="587" bestFit="1" customWidth="1"/>
    <col min="4873" max="5118" width="12.5" style="587"/>
    <col min="5119" max="5119" width="34" style="587" bestFit="1" customWidth="1"/>
    <col min="5120" max="5120" width="13" style="587" bestFit="1" customWidth="1"/>
    <col min="5121" max="5122" width="14.83203125" style="587" bestFit="1" customWidth="1"/>
    <col min="5123" max="5123" width="13.1640625" style="587" customWidth="1"/>
    <col min="5124" max="5125" width="13" style="587" bestFit="1" customWidth="1"/>
    <col min="5126" max="5126" width="12.83203125" style="587" customWidth="1"/>
    <col min="5127" max="5127" width="11.83203125" style="587" bestFit="1" customWidth="1"/>
    <col min="5128" max="5128" width="14.83203125" style="587" bestFit="1" customWidth="1"/>
    <col min="5129" max="5374" width="12.5" style="587"/>
    <col min="5375" max="5375" width="34" style="587" bestFit="1" customWidth="1"/>
    <col min="5376" max="5376" width="13" style="587" bestFit="1" customWidth="1"/>
    <col min="5377" max="5378" width="14.83203125" style="587" bestFit="1" customWidth="1"/>
    <col min="5379" max="5379" width="13.1640625" style="587" customWidth="1"/>
    <col min="5380" max="5381" width="13" style="587" bestFit="1" customWidth="1"/>
    <col min="5382" max="5382" width="12.83203125" style="587" customWidth="1"/>
    <col min="5383" max="5383" width="11.83203125" style="587" bestFit="1" customWidth="1"/>
    <col min="5384" max="5384" width="14.83203125" style="587" bestFit="1" customWidth="1"/>
    <col min="5385" max="5630" width="12.5" style="587"/>
    <col min="5631" max="5631" width="34" style="587" bestFit="1" customWidth="1"/>
    <col min="5632" max="5632" width="13" style="587" bestFit="1" customWidth="1"/>
    <col min="5633" max="5634" width="14.83203125" style="587" bestFit="1" customWidth="1"/>
    <col min="5635" max="5635" width="13.1640625" style="587" customWidth="1"/>
    <col min="5636" max="5637" width="13" style="587" bestFit="1" customWidth="1"/>
    <col min="5638" max="5638" width="12.83203125" style="587" customWidth="1"/>
    <col min="5639" max="5639" width="11.83203125" style="587" bestFit="1" customWidth="1"/>
    <col min="5640" max="5640" width="14.83203125" style="587" bestFit="1" customWidth="1"/>
    <col min="5641" max="5886" width="12.5" style="587"/>
    <col min="5887" max="5887" width="34" style="587" bestFit="1" customWidth="1"/>
    <col min="5888" max="5888" width="13" style="587" bestFit="1" customWidth="1"/>
    <col min="5889" max="5890" width="14.83203125" style="587" bestFit="1" customWidth="1"/>
    <col min="5891" max="5891" width="13.1640625" style="587" customWidth="1"/>
    <col min="5892" max="5893" width="13" style="587" bestFit="1" customWidth="1"/>
    <col min="5894" max="5894" width="12.83203125" style="587" customWidth="1"/>
    <col min="5895" max="5895" width="11.83203125" style="587" bestFit="1" customWidth="1"/>
    <col min="5896" max="5896" width="14.83203125" style="587" bestFit="1" customWidth="1"/>
    <col min="5897" max="6142" width="12.5" style="587"/>
    <col min="6143" max="6143" width="34" style="587" bestFit="1" customWidth="1"/>
    <col min="6144" max="6144" width="13" style="587" bestFit="1" customWidth="1"/>
    <col min="6145" max="6146" width="14.83203125" style="587" bestFit="1" customWidth="1"/>
    <col min="6147" max="6147" width="13.1640625" style="587" customWidth="1"/>
    <col min="6148" max="6149" width="13" style="587" bestFit="1" customWidth="1"/>
    <col min="6150" max="6150" width="12.83203125" style="587" customWidth="1"/>
    <col min="6151" max="6151" width="11.83203125" style="587" bestFit="1" customWidth="1"/>
    <col min="6152" max="6152" width="14.83203125" style="587" bestFit="1" customWidth="1"/>
    <col min="6153" max="6398" width="12.5" style="587"/>
    <col min="6399" max="6399" width="34" style="587" bestFit="1" customWidth="1"/>
    <col min="6400" max="6400" width="13" style="587" bestFit="1" customWidth="1"/>
    <col min="6401" max="6402" width="14.83203125" style="587" bestFit="1" customWidth="1"/>
    <col min="6403" max="6403" width="13.1640625" style="587" customWidth="1"/>
    <col min="6404" max="6405" width="13" style="587" bestFit="1" customWidth="1"/>
    <col min="6406" max="6406" width="12.83203125" style="587" customWidth="1"/>
    <col min="6407" max="6407" width="11.83203125" style="587" bestFit="1" customWidth="1"/>
    <col min="6408" max="6408" width="14.83203125" style="587" bestFit="1" customWidth="1"/>
    <col min="6409" max="6654" width="12.5" style="587"/>
    <col min="6655" max="6655" width="34" style="587" bestFit="1" customWidth="1"/>
    <col min="6656" max="6656" width="13" style="587" bestFit="1" customWidth="1"/>
    <col min="6657" max="6658" width="14.83203125" style="587" bestFit="1" customWidth="1"/>
    <col min="6659" max="6659" width="13.1640625" style="587" customWidth="1"/>
    <col min="6660" max="6661" width="13" style="587" bestFit="1" customWidth="1"/>
    <col min="6662" max="6662" width="12.83203125" style="587" customWidth="1"/>
    <col min="6663" max="6663" width="11.83203125" style="587" bestFit="1" customWidth="1"/>
    <col min="6664" max="6664" width="14.83203125" style="587" bestFit="1" customWidth="1"/>
    <col min="6665" max="6910" width="12.5" style="587"/>
    <col min="6911" max="6911" width="34" style="587" bestFit="1" customWidth="1"/>
    <col min="6912" max="6912" width="13" style="587" bestFit="1" customWidth="1"/>
    <col min="6913" max="6914" width="14.83203125" style="587" bestFit="1" customWidth="1"/>
    <col min="6915" max="6915" width="13.1640625" style="587" customWidth="1"/>
    <col min="6916" max="6917" width="13" style="587" bestFit="1" customWidth="1"/>
    <col min="6918" max="6918" width="12.83203125" style="587" customWidth="1"/>
    <col min="6919" max="6919" width="11.83203125" style="587" bestFit="1" customWidth="1"/>
    <col min="6920" max="6920" width="14.83203125" style="587" bestFit="1" customWidth="1"/>
    <col min="6921" max="7166" width="12.5" style="587"/>
    <col min="7167" max="7167" width="34" style="587" bestFit="1" customWidth="1"/>
    <col min="7168" max="7168" width="13" style="587" bestFit="1" customWidth="1"/>
    <col min="7169" max="7170" width="14.83203125" style="587" bestFit="1" customWidth="1"/>
    <col min="7171" max="7171" width="13.1640625" style="587" customWidth="1"/>
    <col min="7172" max="7173" width="13" style="587" bestFit="1" customWidth="1"/>
    <col min="7174" max="7174" width="12.83203125" style="587" customWidth="1"/>
    <col min="7175" max="7175" width="11.83203125" style="587" bestFit="1" customWidth="1"/>
    <col min="7176" max="7176" width="14.83203125" style="587" bestFit="1" customWidth="1"/>
    <col min="7177" max="7422" width="12.5" style="587"/>
    <col min="7423" max="7423" width="34" style="587" bestFit="1" customWidth="1"/>
    <col min="7424" max="7424" width="13" style="587" bestFit="1" customWidth="1"/>
    <col min="7425" max="7426" width="14.83203125" style="587" bestFit="1" customWidth="1"/>
    <col min="7427" max="7427" width="13.1640625" style="587" customWidth="1"/>
    <col min="7428" max="7429" width="13" style="587" bestFit="1" customWidth="1"/>
    <col min="7430" max="7430" width="12.83203125" style="587" customWidth="1"/>
    <col min="7431" max="7431" width="11.83203125" style="587" bestFit="1" customWidth="1"/>
    <col min="7432" max="7432" width="14.83203125" style="587" bestFit="1" customWidth="1"/>
    <col min="7433" max="7678" width="12.5" style="587"/>
    <col min="7679" max="7679" width="34" style="587" bestFit="1" customWidth="1"/>
    <col min="7680" max="7680" width="13" style="587" bestFit="1" customWidth="1"/>
    <col min="7681" max="7682" width="14.83203125" style="587" bestFit="1" customWidth="1"/>
    <col min="7683" max="7683" width="13.1640625" style="587" customWidth="1"/>
    <col min="7684" max="7685" width="13" style="587" bestFit="1" customWidth="1"/>
    <col min="7686" max="7686" width="12.83203125" style="587" customWidth="1"/>
    <col min="7687" max="7687" width="11.83203125" style="587" bestFit="1" customWidth="1"/>
    <col min="7688" max="7688" width="14.83203125" style="587" bestFit="1" customWidth="1"/>
    <col min="7689" max="7934" width="12.5" style="587"/>
    <col min="7935" max="7935" width="34" style="587" bestFit="1" customWidth="1"/>
    <col min="7936" max="7936" width="13" style="587" bestFit="1" customWidth="1"/>
    <col min="7937" max="7938" width="14.83203125" style="587" bestFit="1" customWidth="1"/>
    <col min="7939" max="7939" width="13.1640625" style="587" customWidth="1"/>
    <col min="7940" max="7941" width="13" style="587" bestFit="1" customWidth="1"/>
    <col min="7942" max="7942" width="12.83203125" style="587" customWidth="1"/>
    <col min="7943" max="7943" width="11.83203125" style="587" bestFit="1" customWidth="1"/>
    <col min="7944" max="7944" width="14.83203125" style="587" bestFit="1" customWidth="1"/>
    <col min="7945" max="8190" width="12.5" style="587"/>
    <col min="8191" max="8191" width="34" style="587" bestFit="1" customWidth="1"/>
    <col min="8192" max="8192" width="13" style="587" bestFit="1" customWidth="1"/>
    <col min="8193" max="8194" width="14.83203125" style="587" bestFit="1" customWidth="1"/>
    <col min="8195" max="8195" width="13.1640625" style="587" customWidth="1"/>
    <col min="8196" max="8197" width="13" style="587" bestFit="1" customWidth="1"/>
    <col min="8198" max="8198" width="12.83203125" style="587" customWidth="1"/>
    <col min="8199" max="8199" width="11.83203125" style="587" bestFit="1" customWidth="1"/>
    <col min="8200" max="8200" width="14.83203125" style="587" bestFit="1" customWidth="1"/>
    <col min="8201" max="8446" width="12.5" style="587"/>
    <col min="8447" max="8447" width="34" style="587" bestFit="1" customWidth="1"/>
    <col min="8448" max="8448" width="13" style="587" bestFit="1" customWidth="1"/>
    <col min="8449" max="8450" width="14.83203125" style="587" bestFit="1" customWidth="1"/>
    <col min="8451" max="8451" width="13.1640625" style="587" customWidth="1"/>
    <col min="8452" max="8453" width="13" style="587" bestFit="1" customWidth="1"/>
    <col min="8454" max="8454" width="12.83203125" style="587" customWidth="1"/>
    <col min="8455" max="8455" width="11.83203125" style="587" bestFit="1" customWidth="1"/>
    <col min="8456" max="8456" width="14.83203125" style="587" bestFit="1" customWidth="1"/>
    <col min="8457" max="8702" width="12.5" style="587"/>
    <col min="8703" max="8703" width="34" style="587" bestFit="1" customWidth="1"/>
    <col min="8704" max="8704" width="13" style="587" bestFit="1" customWidth="1"/>
    <col min="8705" max="8706" width="14.83203125" style="587" bestFit="1" customWidth="1"/>
    <col min="8707" max="8707" width="13.1640625" style="587" customWidth="1"/>
    <col min="8708" max="8709" width="13" style="587" bestFit="1" customWidth="1"/>
    <col min="8710" max="8710" width="12.83203125" style="587" customWidth="1"/>
    <col min="8711" max="8711" width="11.83203125" style="587" bestFit="1" customWidth="1"/>
    <col min="8712" max="8712" width="14.83203125" style="587" bestFit="1" customWidth="1"/>
    <col min="8713" max="8958" width="12.5" style="587"/>
    <col min="8959" max="8959" width="34" style="587" bestFit="1" customWidth="1"/>
    <col min="8960" max="8960" width="13" style="587" bestFit="1" customWidth="1"/>
    <col min="8961" max="8962" width="14.83203125" style="587" bestFit="1" customWidth="1"/>
    <col min="8963" max="8963" width="13.1640625" style="587" customWidth="1"/>
    <col min="8964" max="8965" width="13" style="587" bestFit="1" customWidth="1"/>
    <col min="8966" max="8966" width="12.83203125" style="587" customWidth="1"/>
    <col min="8967" max="8967" width="11.83203125" style="587" bestFit="1" customWidth="1"/>
    <col min="8968" max="8968" width="14.83203125" style="587" bestFit="1" customWidth="1"/>
    <col min="8969" max="9214" width="12.5" style="587"/>
    <col min="9215" max="9215" width="34" style="587" bestFit="1" customWidth="1"/>
    <col min="9216" max="9216" width="13" style="587" bestFit="1" customWidth="1"/>
    <col min="9217" max="9218" width="14.83203125" style="587" bestFit="1" customWidth="1"/>
    <col min="9219" max="9219" width="13.1640625" style="587" customWidth="1"/>
    <col min="9220" max="9221" width="13" style="587" bestFit="1" customWidth="1"/>
    <col min="9222" max="9222" width="12.83203125" style="587" customWidth="1"/>
    <col min="9223" max="9223" width="11.83203125" style="587" bestFit="1" customWidth="1"/>
    <col min="9224" max="9224" width="14.83203125" style="587" bestFit="1" customWidth="1"/>
    <col min="9225" max="9470" width="12.5" style="587"/>
    <col min="9471" max="9471" width="34" style="587" bestFit="1" customWidth="1"/>
    <col min="9472" max="9472" width="13" style="587" bestFit="1" customWidth="1"/>
    <col min="9473" max="9474" width="14.83203125" style="587" bestFit="1" customWidth="1"/>
    <col min="9475" max="9475" width="13.1640625" style="587" customWidth="1"/>
    <col min="9476" max="9477" width="13" style="587" bestFit="1" customWidth="1"/>
    <col min="9478" max="9478" width="12.83203125" style="587" customWidth="1"/>
    <col min="9479" max="9479" width="11.83203125" style="587" bestFit="1" customWidth="1"/>
    <col min="9480" max="9480" width="14.83203125" style="587" bestFit="1" customWidth="1"/>
    <col min="9481" max="9726" width="12.5" style="587"/>
    <col min="9727" max="9727" width="34" style="587" bestFit="1" customWidth="1"/>
    <col min="9728" max="9728" width="13" style="587" bestFit="1" customWidth="1"/>
    <col min="9729" max="9730" width="14.83203125" style="587" bestFit="1" customWidth="1"/>
    <col min="9731" max="9731" width="13.1640625" style="587" customWidth="1"/>
    <col min="9732" max="9733" width="13" style="587" bestFit="1" customWidth="1"/>
    <col min="9734" max="9734" width="12.83203125" style="587" customWidth="1"/>
    <col min="9735" max="9735" width="11.83203125" style="587" bestFit="1" customWidth="1"/>
    <col min="9736" max="9736" width="14.83203125" style="587" bestFit="1" customWidth="1"/>
    <col min="9737" max="9982" width="12.5" style="587"/>
    <col min="9983" max="9983" width="34" style="587" bestFit="1" customWidth="1"/>
    <col min="9984" max="9984" width="13" style="587" bestFit="1" customWidth="1"/>
    <col min="9985" max="9986" width="14.83203125" style="587" bestFit="1" customWidth="1"/>
    <col min="9987" max="9987" width="13.1640625" style="587" customWidth="1"/>
    <col min="9988" max="9989" width="13" style="587" bestFit="1" customWidth="1"/>
    <col min="9990" max="9990" width="12.83203125" style="587" customWidth="1"/>
    <col min="9991" max="9991" width="11.83203125" style="587" bestFit="1" customWidth="1"/>
    <col min="9992" max="9992" width="14.83203125" style="587" bestFit="1" customWidth="1"/>
    <col min="9993" max="10238" width="12.5" style="587"/>
    <col min="10239" max="10239" width="34" style="587" bestFit="1" customWidth="1"/>
    <col min="10240" max="10240" width="13" style="587" bestFit="1" customWidth="1"/>
    <col min="10241" max="10242" width="14.83203125" style="587" bestFit="1" customWidth="1"/>
    <col min="10243" max="10243" width="13.1640625" style="587" customWidth="1"/>
    <col min="10244" max="10245" width="13" style="587" bestFit="1" customWidth="1"/>
    <col min="10246" max="10246" width="12.83203125" style="587" customWidth="1"/>
    <col min="10247" max="10247" width="11.83203125" style="587" bestFit="1" customWidth="1"/>
    <col min="10248" max="10248" width="14.83203125" style="587" bestFit="1" customWidth="1"/>
    <col min="10249" max="10494" width="12.5" style="587"/>
    <col min="10495" max="10495" width="34" style="587" bestFit="1" customWidth="1"/>
    <col min="10496" max="10496" width="13" style="587" bestFit="1" customWidth="1"/>
    <col min="10497" max="10498" width="14.83203125" style="587" bestFit="1" customWidth="1"/>
    <col min="10499" max="10499" width="13.1640625" style="587" customWidth="1"/>
    <col min="10500" max="10501" width="13" style="587" bestFit="1" customWidth="1"/>
    <col min="10502" max="10502" width="12.83203125" style="587" customWidth="1"/>
    <col min="10503" max="10503" width="11.83203125" style="587" bestFit="1" customWidth="1"/>
    <col min="10504" max="10504" width="14.83203125" style="587" bestFit="1" customWidth="1"/>
    <col min="10505" max="10750" width="12.5" style="587"/>
    <col min="10751" max="10751" width="34" style="587" bestFit="1" customWidth="1"/>
    <col min="10752" max="10752" width="13" style="587" bestFit="1" customWidth="1"/>
    <col min="10753" max="10754" width="14.83203125" style="587" bestFit="1" customWidth="1"/>
    <col min="10755" max="10755" width="13.1640625" style="587" customWidth="1"/>
    <col min="10756" max="10757" width="13" style="587" bestFit="1" customWidth="1"/>
    <col min="10758" max="10758" width="12.83203125" style="587" customWidth="1"/>
    <col min="10759" max="10759" width="11.83203125" style="587" bestFit="1" customWidth="1"/>
    <col min="10760" max="10760" width="14.83203125" style="587" bestFit="1" customWidth="1"/>
    <col min="10761" max="11006" width="12.5" style="587"/>
    <col min="11007" max="11007" width="34" style="587" bestFit="1" customWidth="1"/>
    <col min="11008" max="11008" width="13" style="587" bestFit="1" customWidth="1"/>
    <col min="11009" max="11010" width="14.83203125" style="587" bestFit="1" customWidth="1"/>
    <col min="11011" max="11011" width="13.1640625" style="587" customWidth="1"/>
    <col min="11012" max="11013" width="13" style="587" bestFit="1" customWidth="1"/>
    <col min="11014" max="11014" width="12.83203125" style="587" customWidth="1"/>
    <col min="11015" max="11015" width="11.83203125" style="587" bestFit="1" customWidth="1"/>
    <col min="11016" max="11016" width="14.83203125" style="587" bestFit="1" customWidth="1"/>
    <col min="11017" max="11262" width="12.5" style="587"/>
    <col min="11263" max="11263" width="34" style="587" bestFit="1" customWidth="1"/>
    <col min="11264" max="11264" width="13" style="587" bestFit="1" customWidth="1"/>
    <col min="11265" max="11266" width="14.83203125" style="587" bestFit="1" customWidth="1"/>
    <col min="11267" max="11267" width="13.1640625" style="587" customWidth="1"/>
    <col min="11268" max="11269" width="13" style="587" bestFit="1" customWidth="1"/>
    <col min="11270" max="11270" width="12.83203125" style="587" customWidth="1"/>
    <col min="11271" max="11271" width="11.83203125" style="587" bestFit="1" customWidth="1"/>
    <col min="11272" max="11272" width="14.83203125" style="587" bestFit="1" customWidth="1"/>
    <col min="11273" max="11518" width="12.5" style="587"/>
    <col min="11519" max="11519" width="34" style="587" bestFit="1" customWidth="1"/>
    <col min="11520" max="11520" width="13" style="587" bestFit="1" customWidth="1"/>
    <col min="11521" max="11522" width="14.83203125" style="587" bestFit="1" customWidth="1"/>
    <col min="11523" max="11523" width="13.1640625" style="587" customWidth="1"/>
    <col min="11524" max="11525" width="13" style="587" bestFit="1" customWidth="1"/>
    <col min="11526" max="11526" width="12.83203125" style="587" customWidth="1"/>
    <col min="11527" max="11527" width="11.83203125" style="587" bestFit="1" customWidth="1"/>
    <col min="11528" max="11528" width="14.83203125" style="587" bestFit="1" customWidth="1"/>
    <col min="11529" max="11774" width="12.5" style="587"/>
    <col min="11775" max="11775" width="34" style="587" bestFit="1" customWidth="1"/>
    <col min="11776" max="11776" width="13" style="587" bestFit="1" customWidth="1"/>
    <col min="11777" max="11778" width="14.83203125" style="587" bestFit="1" customWidth="1"/>
    <col min="11779" max="11779" width="13.1640625" style="587" customWidth="1"/>
    <col min="11780" max="11781" width="13" style="587" bestFit="1" customWidth="1"/>
    <col min="11782" max="11782" width="12.83203125" style="587" customWidth="1"/>
    <col min="11783" max="11783" width="11.83203125" style="587" bestFit="1" customWidth="1"/>
    <col min="11784" max="11784" width="14.83203125" style="587" bestFit="1" customWidth="1"/>
    <col min="11785" max="12030" width="12.5" style="587"/>
    <col min="12031" max="12031" width="34" style="587" bestFit="1" customWidth="1"/>
    <col min="12032" max="12032" width="13" style="587" bestFit="1" customWidth="1"/>
    <col min="12033" max="12034" width="14.83203125" style="587" bestFit="1" customWidth="1"/>
    <col min="12035" max="12035" width="13.1640625" style="587" customWidth="1"/>
    <col min="12036" max="12037" width="13" style="587" bestFit="1" customWidth="1"/>
    <col min="12038" max="12038" width="12.83203125" style="587" customWidth="1"/>
    <col min="12039" max="12039" width="11.83203125" style="587" bestFit="1" customWidth="1"/>
    <col min="12040" max="12040" width="14.83203125" style="587" bestFit="1" customWidth="1"/>
    <col min="12041" max="12286" width="12.5" style="587"/>
    <col min="12287" max="12287" width="34" style="587" bestFit="1" customWidth="1"/>
    <col min="12288" max="12288" width="13" style="587" bestFit="1" customWidth="1"/>
    <col min="12289" max="12290" width="14.83203125" style="587" bestFit="1" customWidth="1"/>
    <col min="12291" max="12291" width="13.1640625" style="587" customWidth="1"/>
    <col min="12292" max="12293" width="13" style="587" bestFit="1" customWidth="1"/>
    <col min="12294" max="12294" width="12.83203125" style="587" customWidth="1"/>
    <col min="12295" max="12295" width="11.83203125" style="587" bestFit="1" customWidth="1"/>
    <col min="12296" max="12296" width="14.83203125" style="587" bestFit="1" customWidth="1"/>
    <col min="12297" max="12542" width="12.5" style="587"/>
    <col min="12543" max="12543" width="34" style="587" bestFit="1" customWidth="1"/>
    <col min="12544" max="12544" width="13" style="587" bestFit="1" customWidth="1"/>
    <col min="12545" max="12546" width="14.83203125" style="587" bestFit="1" customWidth="1"/>
    <col min="12547" max="12547" width="13.1640625" style="587" customWidth="1"/>
    <col min="12548" max="12549" width="13" style="587" bestFit="1" customWidth="1"/>
    <col min="12550" max="12550" width="12.83203125" style="587" customWidth="1"/>
    <col min="12551" max="12551" width="11.83203125" style="587" bestFit="1" customWidth="1"/>
    <col min="12552" max="12552" width="14.83203125" style="587" bestFit="1" customWidth="1"/>
    <col min="12553" max="12798" width="12.5" style="587"/>
    <col min="12799" max="12799" width="34" style="587" bestFit="1" customWidth="1"/>
    <col min="12800" max="12800" width="13" style="587" bestFit="1" customWidth="1"/>
    <col min="12801" max="12802" width="14.83203125" style="587" bestFit="1" customWidth="1"/>
    <col min="12803" max="12803" width="13.1640625" style="587" customWidth="1"/>
    <col min="12804" max="12805" width="13" style="587" bestFit="1" customWidth="1"/>
    <col min="12806" max="12806" width="12.83203125" style="587" customWidth="1"/>
    <col min="12807" max="12807" width="11.83203125" style="587" bestFit="1" customWidth="1"/>
    <col min="12808" max="12808" width="14.83203125" style="587" bestFit="1" customWidth="1"/>
    <col min="12809" max="13054" width="12.5" style="587"/>
    <col min="13055" max="13055" width="34" style="587" bestFit="1" customWidth="1"/>
    <col min="13056" max="13056" width="13" style="587" bestFit="1" customWidth="1"/>
    <col min="13057" max="13058" width="14.83203125" style="587" bestFit="1" customWidth="1"/>
    <col min="13059" max="13059" width="13.1640625" style="587" customWidth="1"/>
    <col min="13060" max="13061" width="13" style="587" bestFit="1" customWidth="1"/>
    <col min="13062" max="13062" width="12.83203125" style="587" customWidth="1"/>
    <col min="13063" max="13063" width="11.83203125" style="587" bestFit="1" customWidth="1"/>
    <col min="13064" max="13064" width="14.83203125" style="587" bestFit="1" customWidth="1"/>
    <col min="13065" max="13310" width="12.5" style="587"/>
    <col min="13311" max="13311" width="34" style="587" bestFit="1" customWidth="1"/>
    <col min="13312" max="13312" width="13" style="587" bestFit="1" customWidth="1"/>
    <col min="13313" max="13314" width="14.83203125" style="587" bestFit="1" customWidth="1"/>
    <col min="13315" max="13315" width="13.1640625" style="587" customWidth="1"/>
    <col min="13316" max="13317" width="13" style="587" bestFit="1" customWidth="1"/>
    <col min="13318" max="13318" width="12.83203125" style="587" customWidth="1"/>
    <col min="13319" max="13319" width="11.83203125" style="587" bestFit="1" customWidth="1"/>
    <col min="13320" max="13320" width="14.83203125" style="587" bestFit="1" customWidth="1"/>
    <col min="13321" max="13566" width="12.5" style="587"/>
    <col min="13567" max="13567" width="34" style="587" bestFit="1" customWidth="1"/>
    <col min="13568" max="13568" width="13" style="587" bestFit="1" customWidth="1"/>
    <col min="13569" max="13570" width="14.83203125" style="587" bestFit="1" customWidth="1"/>
    <col min="13571" max="13571" width="13.1640625" style="587" customWidth="1"/>
    <col min="13572" max="13573" width="13" style="587" bestFit="1" customWidth="1"/>
    <col min="13574" max="13574" width="12.83203125" style="587" customWidth="1"/>
    <col min="13575" max="13575" width="11.83203125" style="587" bestFit="1" customWidth="1"/>
    <col min="13576" max="13576" width="14.83203125" style="587" bestFit="1" customWidth="1"/>
    <col min="13577" max="13822" width="12.5" style="587"/>
    <col min="13823" max="13823" width="34" style="587" bestFit="1" customWidth="1"/>
    <col min="13824" max="13824" width="13" style="587" bestFit="1" customWidth="1"/>
    <col min="13825" max="13826" width="14.83203125" style="587" bestFit="1" customWidth="1"/>
    <col min="13827" max="13827" width="13.1640625" style="587" customWidth="1"/>
    <col min="13828" max="13829" width="13" style="587" bestFit="1" customWidth="1"/>
    <col min="13830" max="13830" width="12.83203125" style="587" customWidth="1"/>
    <col min="13831" max="13831" width="11.83203125" style="587" bestFit="1" customWidth="1"/>
    <col min="13832" max="13832" width="14.83203125" style="587" bestFit="1" customWidth="1"/>
    <col min="13833" max="14078" width="12.5" style="587"/>
    <col min="14079" max="14079" width="34" style="587" bestFit="1" customWidth="1"/>
    <col min="14080" max="14080" width="13" style="587" bestFit="1" customWidth="1"/>
    <col min="14081" max="14082" width="14.83203125" style="587" bestFit="1" customWidth="1"/>
    <col min="14083" max="14083" width="13.1640625" style="587" customWidth="1"/>
    <col min="14084" max="14085" width="13" style="587" bestFit="1" customWidth="1"/>
    <col min="14086" max="14086" width="12.83203125" style="587" customWidth="1"/>
    <col min="14087" max="14087" width="11.83203125" style="587" bestFit="1" customWidth="1"/>
    <col min="14088" max="14088" width="14.83203125" style="587" bestFit="1" customWidth="1"/>
    <col min="14089" max="14334" width="12.5" style="587"/>
    <col min="14335" max="14335" width="34" style="587" bestFit="1" customWidth="1"/>
    <col min="14336" max="14336" width="13" style="587" bestFit="1" customWidth="1"/>
    <col min="14337" max="14338" width="14.83203125" style="587" bestFit="1" customWidth="1"/>
    <col min="14339" max="14339" width="13.1640625" style="587" customWidth="1"/>
    <col min="14340" max="14341" width="13" style="587" bestFit="1" customWidth="1"/>
    <col min="14342" max="14342" width="12.83203125" style="587" customWidth="1"/>
    <col min="14343" max="14343" width="11.83203125" style="587" bestFit="1" customWidth="1"/>
    <col min="14344" max="14344" width="14.83203125" style="587" bestFit="1" customWidth="1"/>
    <col min="14345" max="14590" width="12.5" style="587"/>
    <col min="14591" max="14591" width="34" style="587" bestFit="1" customWidth="1"/>
    <col min="14592" max="14592" width="13" style="587" bestFit="1" customWidth="1"/>
    <col min="14593" max="14594" width="14.83203125" style="587" bestFit="1" customWidth="1"/>
    <col min="14595" max="14595" width="13.1640625" style="587" customWidth="1"/>
    <col min="14596" max="14597" width="13" style="587" bestFit="1" customWidth="1"/>
    <col min="14598" max="14598" width="12.83203125" style="587" customWidth="1"/>
    <col min="14599" max="14599" width="11.83203125" style="587" bestFit="1" customWidth="1"/>
    <col min="14600" max="14600" width="14.83203125" style="587" bestFit="1" customWidth="1"/>
    <col min="14601" max="14846" width="12.5" style="587"/>
    <col min="14847" max="14847" width="34" style="587" bestFit="1" customWidth="1"/>
    <col min="14848" max="14848" width="13" style="587" bestFit="1" customWidth="1"/>
    <col min="14849" max="14850" width="14.83203125" style="587" bestFit="1" customWidth="1"/>
    <col min="14851" max="14851" width="13.1640625" style="587" customWidth="1"/>
    <col min="14852" max="14853" width="13" style="587" bestFit="1" customWidth="1"/>
    <col min="14854" max="14854" width="12.83203125" style="587" customWidth="1"/>
    <col min="14855" max="14855" width="11.83203125" style="587" bestFit="1" customWidth="1"/>
    <col min="14856" max="14856" width="14.83203125" style="587" bestFit="1" customWidth="1"/>
    <col min="14857" max="15102" width="12.5" style="587"/>
    <col min="15103" max="15103" width="34" style="587" bestFit="1" customWidth="1"/>
    <col min="15104" max="15104" width="13" style="587" bestFit="1" customWidth="1"/>
    <col min="15105" max="15106" width="14.83203125" style="587" bestFit="1" customWidth="1"/>
    <col min="15107" max="15107" width="13.1640625" style="587" customWidth="1"/>
    <col min="15108" max="15109" width="13" style="587" bestFit="1" customWidth="1"/>
    <col min="15110" max="15110" width="12.83203125" style="587" customWidth="1"/>
    <col min="15111" max="15111" width="11.83203125" style="587" bestFit="1" customWidth="1"/>
    <col min="15112" max="15112" width="14.83203125" style="587" bestFit="1" customWidth="1"/>
    <col min="15113" max="15358" width="12.5" style="587"/>
    <col min="15359" max="15359" width="34" style="587" bestFit="1" customWidth="1"/>
    <col min="15360" max="15360" width="13" style="587" bestFit="1" customWidth="1"/>
    <col min="15361" max="15362" width="14.83203125" style="587" bestFit="1" customWidth="1"/>
    <col min="15363" max="15363" width="13.1640625" style="587" customWidth="1"/>
    <col min="15364" max="15365" width="13" style="587" bestFit="1" customWidth="1"/>
    <col min="15366" max="15366" width="12.83203125" style="587" customWidth="1"/>
    <col min="15367" max="15367" width="11.83203125" style="587" bestFit="1" customWidth="1"/>
    <col min="15368" max="15368" width="14.83203125" style="587" bestFit="1" customWidth="1"/>
    <col min="15369" max="15614" width="12.5" style="587"/>
    <col min="15615" max="15615" width="34" style="587" bestFit="1" customWidth="1"/>
    <col min="15616" max="15616" width="13" style="587" bestFit="1" customWidth="1"/>
    <col min="15617" max="15618" width="14.83203125" style="587" bestFit="1" customWidth="1"/>
    <col min="15619" max="15619" width="13.1640625" style="587" customWidth="1"/>
    <col min="15620" max="15621" width="13" style="587" bestFit="1" customWidth="1"/>
    <col min="15622" max="15622" width="12.83203125" style="587" customWidth="1"/>
    <col min="15623" max="15623" width="11.83203125" style="587" bestFit="1" customWidth="1"/>
    <col min="15624" max="15624" width="14.83203125" style="587" bestFit="1" customWidth="1"/>
    <col min="15625" max="15870" width="12.5" style="587"/>
    <col min="15871" max="15871" width="34" style="587" bestFit="1" customWidth="1"/>
    <col min="15872" max="15872" width="13" style="587" bestFit="1" customWidth="1"/>
    <col min="15873" max="15874" width="14.83203125" style="587" bestFit="1" customWidth="1"/>
    <col min="15875" max="15875" width="13.1640625" style="587" customWidth="1"/>
    <col min="15876" max="15877" width="13" style="587" bestFit="1" customWidth="1"/>
    <col min="15878" max="15878" width="12.83203125" style="587" customWidth="1"/>
    <col min="15879" max="15879" width="11.83203125" style="587" bestFit="1" customWidth="1"/>
    <col min="15880" max="15880" width="14.83203125" style="587" bestFit="1" customWidth="1"/>
    <col min="15881" max="16126" width="12.5" style="587"/>
    <col min="16127" max="16127" width="34" style="587" bestFit="1" customWidth="1"/>
    <col min="16128" max="16128" width="13" style="587" bestFit="1" customWidth="1"/>
    <col min="16129" max="16130" width="14.83203125" style="587" bestFit="1" customWidth="1"/>
    <col min="16131" max="16131" width="13.1640625" style="587" customWidth="1"/>
    <col min="16132" max="16133" width="13" style="587" bestFit="1" customWidth="1"/>
    <col min="16134" max="16134" width="12.83203125" style="587" customWidth="1"/>
    <col min="16135" max="16135" width="11.83203125" style="587" bestFit="1" customWidth="1"/>
    <col min="16136" max="16136" width="14.83203125" style="587" bestFit="1" customWidth="1"/>
    <col min="16137" max="16384" width="12.5" style="587"/>
  </cols>
  <sheetData>
    <row r="1" spans="1:11" x14ac:dyDescent="0.2">
      <c r="A1" s="1495" t="str">
        <f>CONCATENATE("21. melléklet"," ",ALAPADATOK!A7," ",ALAPADATOK!B7," ",ALAPADATOK!C7," ",ALAPADATOK!D7," ",ALAPADATOK!E7," ",ALAPADATOK!F7," ",ALAPADATOK!G7," ",ALAPADATOK!H7)</f>
        <v>21. melléklet a 19 / 2021. ( XI.29. ) önkormányzati rendelethez</v>
      </c>
      <c r="B1" s="1495"/>
      <c r="C1" s="1495"/>
      <c r="D1" s="1495"/>
      <c r="E1" s="1495"/>
      <c r="F1" s="1495"/>
      <c r="G1" s="1495"/>
      <c r="H1" s="1495"/>
      <c r="I1" s="1495"/>
      <c r="J1" s="1495"/>
      <c r="K1" s="1495"/>
    </row>
    <row r="2" spans="1:11" x14ac:dyDescent="0.2">
      <c r="A2" s="631"/>
      <c r="B2" s="631"/>
      <c r="C2" s="631"/>
      <c r="D2" s="632"/>
      <c r="E2" s="631"/>
      <c r="F2" s="631"/>
      <c r="G2" s="634"/>
      <c r="H2" s="634"/>
      <c r="I2" s="634"/>
      <c r="J2" s="634"/>
      <c r="K2" s="635"/>
    </row>
    <row r="3" spans="1:11" x14ac:dyDescent="0.2">
      <c r="A3" s="631"/>
      <c r="B3" s="631"/>
      <c r="C3" s="631"/>
      <c r="D3" s="632"/>
      <c r="E3" s="631"/>
      <c r="F3" s="631"/>
      <c r="G3" s="634"/>
      <c r="H3" s="634"/>
      <c r="I3" s="634"/>
      <c r="J3" s="634"/>
      <c r="K3" s="636"/>
    </row>
    <row r="4" spans="1:11" ht="19.5" x14ac:dyDescent="0.35">
      <c r="A4" s="1507" t="s">
        <v>365</v>
      </c>
      <c r="B4" s="1507"/>
      <c r="C4" s="1507"/>
      <c r="D4" s="1507"/>
      <c r="E4" s="1507"/>
      <c r="F4" s="1507"/>
      <c r="G4" s="1507"/>
      <c r="H4" s="1507"/>
      <c r="I4" s="1507"/>
      <c r="J4" s="1507"/>
      <c r="K4" s="1507"/>
    </row>
    <row r="5" spans="1:11" ht="19.5" x14ac:dyDescent="0.35">
      <c r="A5" s="1507" t="s">
        <v>817</v>
      </c>
      <c r="B5" s="1507"/>
      <c r="C5" s="1507"/>
      <c r="D5" s="1507"/>
      <c r="E5" s="1507"/>
      <c r="F5" s="1507"/>
      <c r="G5" s="1507"/>
      <c r="H5" s="1507"/>
      <c r="I5" s="1507"/>
      <c r="J5" s="1507"/>
      <c r="K5" s="1507"/>
    </row>
    <row r="6" spans="1:11" ht="13.5" thickBot="1" x14ac:dyDescent="0.25">
      <c r="A6" s="1235"/>
      <c r="B6" s="1235"/>
      <c r="C6" s="1235"/>
      <c r="D6" s="1235"/>
      <c r="E6" s="1235"/>
      <c r="F6" s="1235"/>
      <c r="G6" s="1235"/>
      <c r="H6" s="1235"/>
      <c r="I6" s="1235"/>
      <c r="J6" s="1235"/>
      <c r="K6" s="1235"/>
    </row>
    <row r="7" spans="1:11" ht="15.95" customHeight="1" x14ac:dyDescent="0.2">
      <c r="A7" s="1496" t="s">
        <v>995</v>
      </c>
      <c r="B7" s="1499" t="s">
        <v>380</v>
      </c>
      <c r="C7" s="1500"/>
      <c r="D7" s="1501"/>
      <c r="E7" s="1502" t="s">
        <v>381</v>
      </c>
      <c r="F7" s="1503"/>
      <c r="G7" s="1503"/>
      <c r="H7" s="1503"/>
      <c r="I7" s="1503"/>
      <c r="J7" s="1503"/>
      <c r="K7" s="1504"/>
    </row>
    <row r="8" spans="1:11" ht="15.95" customHeight="1" x14ac:dyDescent="0.2">
      <c r="A8" s="1497"/>
      <c r="B8" s="1508" t="s">
        <v>1046</v>
      </c>
      <c r="C8" s="1508" t="s">
        <v>1052</v>
      </c>
      <c r="D8" s="1508" t="s">
        <v>1051</v>
      </c>
      <c r="E8" s="1508" t="s">
        <v>1047</v>
      </c>
      <c r="F8" s="1508" t="s">
        <v>1053</v>
      </c>
      <c r="G8" s="1508" t="s">
        <v>1048</v>
      </c>
      <c r="H8" s="1505" t="s">
        <v>137</v>
      </c>
      <c r="I8" s="1508" t="s">
        <v>1050</v>
      </c>
      <c r="J8" s="1508" t="s">
        <v>1049</v>
      </c>
      <c r="K8" s="1510" t="s">
        <v>1051</v>
      </c>
    </row>
    <row r="9" spans="1:11" ht="15.95" customHeight="1" x14ac:dyDescent="0.2">
      <c r="A9" s="1498"/>
      <c r="B9" s="1509"/>
      <c r="C9" s="1509"/>
      <c r="D9" s="1509"/>
      <c r="E9" s="1509"/>
      <c r="F9" s="1509"/>
      <c r="G9" s="1509"/>
      <c r="H9" s="1506"/>
      <c r="I9" s="1509"/>
      <c r="J9" s="1509"/>
      <c r="K9" s="1511"/>
    </row>
    <row r="10" spans="1:11" ht="15.95" customHeight="1" x14ac:dyDescent="0.2">
      <c r="A10" s="637" t="s">
        <v>366</v>
      </c>
      <c r="B10" s="1215">
        <f>26965328+913769</f>
        <v>27879097</v>
      </c>
      <c r="C10" s="1215">
        <f>K10-B10</f>
        <v>84683129</v>
      </c>
      <c r="D10" s="1426">
        <f>B10+C10</f>
        <v>112562226</v>
      </c>
      <c r="E10" s="1210">
        <f>71998629-3504528-20794165-11522884</f>
        <v>36177052</v>
      </c>
      <c r="F10" s="1210">
        <f>11651828-543202-3177036-2075587</f>
        <v>5856003</v>
      </c>
      <c r="G10" s="1210">
        <v>70492848</v>
      </c>
      <c r="H10" s="1210">
        <v>36323</v>
      </c>
      <c r="I10" s="861"/>
      <c r="J10" s="861"/>
      <c r="K10" s="860">
        <f>SUM(E10:J10)</f>
        <v>112562226</v>
      </c>
    </row>
    <row r="11" spans="1:11" ht="15.95" customHeight="1" x14ac:dyDescent="0.2">
      <c r="A11" s="637" t="s">
        <v>0</v>
      </c>
      <c r="B11" s="1215">
        <f>9458552+274000</f>
        <v>9732552</v>
      </c>
      <c r="C11" s="1214">
        <f t="shared" ref="C11:C14" si="0">K11-B11</f>
        <v>335534307</v>
      </c>
      <c r="D11" s="885">
        <f t="shared" ref="D11:D14" si="1">B11+C11</f>
        <v>345266859</v>
      </c>
      <c r="E11" s="1213">
        <v>220536182</v>
      </c>
      <c r="F11" s="1213">
        <v>39270476</v>
      </c>
      <c r="G11" s="1210">
        <v>84660201</v>
      </c>
      <c r="H11" s="861"/>
      <c r="I11" s="861"/>
      <c r="J11" s="861">
        <f>1117500-317500</f>
        <v>800000</v>
      </c>
      <c r="K11" s="860">
        <f t="shared" ref="K11:K14" si="2">SUM(E11:J11)</f>
        <v>345266859</v>
      </c>
    </row>
    <row r="12" spans="1:11" ht="15.95" customHeight="1" x14ac:dyDescent="0.2">
      <c r="A12" s="637" t="s">
        <v>503</v>
      </c>
      <c r="B12" s="1215">
        <f>75261629+10000+112338</f>
        <v>75383967</v>
      </c>
      <c r="C12" s="1214">
        <f t="shared" si="0"/>
        <v>112026537</v>
      </c>
      <c r="D12" s="885">
        <f t="shared" si="1"/>
        <v>187410504</v>
      </c>
      <c r="E12" s="1213">
        <v>57062774</v>
      </c>
      <c r="F12" s="1213">
        <v>9160596</v>
      </c>
      <c r="G12" s="1210">
        <v>59920266</v>
      </c>
      <c r="H12" s="861"/>
      <c r="I12" s="861"/>
      <c r="J12" s="1213">
        <f>59572529+1201000+112338+1+381000</f>
        <v>61266868</v>
      </c>
      <c r="K12" s="860">
        <f t="shared" si="2"/>
        <v>187410504</v>
      </c>
    </row>
    <row r="13" spans="1:11" s="300" customFormat="1" ht="18" customHeight="1" x14ac:dyDescent="0.2">
      <c r="A13" s="638" t="s">
        <v>488</v>
      </c>
      <c r="B13" s="1406">
        <f>305282069+34028646+1234440+133028</f>
        <v>340678183</v>
      </c>
      <c r="C13" s="1214">
        <f t="shared" si="0"/>
        <v>662689332</v>
      </c>
      <c r="D13" s="885">
        <f t="shared" si="1"/>
        <v>1003367515</v>
      </c>
      <c r="E13" s="861">
        <f>615034869-10221506+1817900+16966440+9270677+1533000+3049440</f>
        <v>637450820</v>
      </c>
      <c r="F13" s="861">
        <f>105575946-1567191+281775+1426643+237615+820163</f>
        <v>106774951</v>
      </c>
      <c r="G13" s="1213">
        <f>221374740-1501444+886325+8000000+6435021+2440940-3869603+160000+2540000+133028</f>
        <v>236599007</v>
      </c>
      <c r="H13" s="885"/>
      <c r="I13" s="885"/>
      <c r="J13" s="1213">
        <f>14882031-195000+9062206-1206500</f>
        <v>22542737</v>
      </c>
      <c r="K13" s="860">
        <f t="shared" si="2"/>
        <v>1003367515</v>
      </c>
    </row>
    <row r="14" spans="1:11" s="300" customFormat="1" ht="18" customHeight="1" x14ac:dyDescent="0.2">
      <c r="A14" s="638" t="s">
        <v>478</v>
      </c>
      <c r="B14" s="1207">
        <f>1460163+200000+50000</f>
        <v>1710163</v>
      </c>
      <c r="C14" s="1214">
        <f t="shared" si="0"/>
        <v>114648843</v>
      </c>
      <c r="D14" s="885">
        <f t="shared" si="1"/>
        <v>116359006</v>
      </c>
      <c r="E14" s="1382">
        <v>82691391</v>
      </c>
      <c r="F14" s="1382">
        <v>13100561</v>
      </c>
      <c r="G14" s="1382">
        <v>17241254</v>
      </c>
      <c r="H14" s="862"/>
      <c r="I14" s="862"/>
      <c r="J14" s="1339">
        <f>25000+200000+50000+3050800</f>
        <v>3325800</v>
      </c>
      <c r="K14" s="860">
        <f t="shared" si="2"/>
        <v>116359006</v>
      </c>
    </row>
    <row r="15" spans="1:11" s="300" customFormat="1" ht="18" customHeight="1" x14ac:dyDescent="0.2">
      <c r="A15" s="638" t="s">
        <v>489</v>
      </c>
      <c r="B15" s="1383">
        <f>'9.2. sz. mell. '!C36+'9.2. sz. mell. '!C38</f>
        <v>46419147</v>
      </c>
      <c r="C15" s="1210">
        <f t="shared" ref="C15" si="3">K15-B15</f>
        <v>272293167</v>
      </c>
      <c r="D15" s="885">
        <f>SUM(B15:C15)</f>
        <v>318712314</v>
      </c>
      <c r="E15" s="930">
        <f>'9.2. sz. mell. '!C46</f>
        <v>172913011</v>
      </c>
      <c r="F15" s="930">
        <f>'9.2. sz. mell. '!C47</f>
        <v>30113915</v>
      </c>
      <c r="G15" s="1211">
        <f>'9.2. sz. mell. '!C48</f>
        <v>112920189</v>
      </c>
      <c r="H15" s="862"/>
      <c r="I15" s="862"/>
      <c r="J15" s="930">
        <f>'9.2. sz. mell. '!C52</f>
        <v>2765199</v>
      </c>
      <c r="K15" s="860">
        <f t="shared" ref="K15" si="4">SUM(E15:J15)</f>
        <v>318712314</v>
      </c>
    </row>
    <row r="16" spans="1:11" s="415" customFormat="1" ht="18" customHeight="1" thickBot="1" x14ac:dyDescent="0.25">
      <c r="A16" s="639" t="s">
        <v>368</v>
      </c>
      <c r="B16" s="846">
        <f t="shared" ref="B16:J16" si="5">SUM(B10:B15)</f>
        <v>501803109</v>
      </c>
      <c r="C16" s="931">
        <f t="shared" si="5"/>
        <v>1581875315</v>
      </c>
      <c r="D16" s="931">
        <f t="shared" si="5"/>
        <v>2083678424</v>
      </c>
      <c r="E16" s="931">
        <f t="shared" si="5"/>
        <v>1206831230</v>
      </c>
      <c r="F16" s="931">
        <f t="shared" si="5"/>
        <v>204276502</v>
      </c>
      <c r="G16" s="931">
        <f t="shared" si="5"/>
        <v>581833765</v>
      </c>
      <c r="H16" s="846">
        <f t="shared" si="5"/>
        <v>36323</v>
      </c>
      <c r="I16" s="846">
        <f t="shared" si="5"/>
        <v>0</v>
      </c>
      <c r="J16" s="846">
        <f t="shared" si="5"/>
        <v>90700604</v>
      </c>
      <c r="K16" s="852">
        <f>SUM(K10:K15)</f>
        <v>2083678424</v>
      </c>
    </row>
    <row r="17" spans="1:11" s="372" customFormat="1" ht="11.25" x14ac:dyDescent="0.2">
      <c r="A17" s="640"/>
      <c r="B17" s="640"/>
      <c r="C17" s="640"/>
      <c r="D17" s="641"/>
      <c r="E17" s="640"/>
      <c r="F17" s="640"/>
      <c r="G17" s="640"/>
      <c r="H17" s="640"/>
      <c r="I17" s="640"/>
      <c r="J17" s="640"/>
      <c r="K17" s="641"/>
    </row>
    <row r="18" spans="1:11" s="372" customFormat="1" ht="11.25" x14ac:dyDescent="0.2">
      <c r="A18" s="640"/>
      <c r="B18" s="640"/>
      <c r="C18" s="640"/>
      <c r="D18" s="641"/>
      <c r="E18" s="640"/>
      <c r="F18" s="640"/>
      <c r="G18" s="640"/>
      <c r="H18" s="640"/>
      <c r="I18" s="640"/>
      <c r="J18" s="640"/>
      <c r="K18" s="641"/>
    </row>
    <row r="19" spans="1:11" x14ac:dyDescent="0.2">
      <c r="B19" s="642"/>
      <c r="C19" s="642"/>
      <c r="D19" s="642"/>
    </row>
    <row r="20" spans="1:11" x14ac:dyDescent="0.2">
      <c r="C20" s="642"/>
    </row>
  </sheetData>
  <mergeCells count="16">
    <mergeCell ref="A1:K1"/>
    <mergeCell ref="A7:A9"/>
    <mergeCell ref="B7:D7"/>
    <mergeCell ref="E7:K7"/>
    <mergeCell ref="H8:H9"/>
    <mergeCell ref="A4:K4"/>
    <mergeCell ref="A5:K5"/>
    <mergeCell ref="B8:B9"/>
    <mergeCell ref="C8:C9"/>
    <mergeCell ref="D8:D9"/>
    <mergeCell ref="E8:E9"/>
    <mergeCell ref="F8:F9"/>
    <mergeCell ref="G8:G9"/>
    <mergeCell ref="I8:I9"/>
    <mergeCell ref="J8:J9"/>
    <mergeCell ref="K8:K9"/>
  </mergeCells>
  <pageMargins left="0.78740157480314965" right="0.78740157480314965" top="1.4566929133858268" bottom="0.86614173228346458" header="0.78740157480314965" footer="0.59055118110236227"/>
  <pageSetup paperSize="9" scale="90" orientation="landscape" r:id="rId1"/>
  <headerFooter alignWithMargins="0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45"/>
  <dimension ref="A1:E33"/>
  <sheetViews>
    <sheetView zoomScaleNormal="100" workbookViewId="0">
      <selection activeCell="D7" sqref="D7"/>
    </sheetView>
  </sheetViews>
  <sheetFormatPr defaultColWidth="10.6640625" defaultRowHeight="12.75" x14ac:dyDescent="0.2"/>
  <cols>
    <col min="1" max="1" width="60" style="420" bestFit="1" customWidth="1"/>
    <col min="2" max="2" width="22.6640625" style="420" customWidth="1"/>
    <col min="3" max="3" width="11.6640625" style="420" bestFit="1" customWidth="1"/>
    <col min="4" max="16384" width="10.6640625" style="420"/>
  </cols>
  <sheetData>
    <row r="1" spans="1:5" ht="15.75" x14ac:dyDescent="0.25">
      <c r="A1" s="1512" t="str">
        <f>CONCATENATE("22. melléklet"," ",ALAPADATOK!A7," ",ALAPADATOK!B7," ",ALAPADATOK!C7," ",ALAPADATOK!D7," ",ALAPADATOK!E7," ",ALAPADATOK!F7," ",ALAPADATOK!G7," ",ALAPADATOK!H7)</f>
        <v>22. melléklet a 19 / 2021. ( XI.29. ) önkormányzati rendelethez</v>
      </c>
      <c r="B1" s="1512"/>
      <c r="C1" s="798"/>
      <c r="D1" s="798"/>
      <c r="E1" s="798"/>
    </row>
    <row r="2" spans="1:5" ht="15.75" x14ac:dyDescent="0.25">
      <c r="A2" s="301"/>
      <c r="B2" s="302"/>
    </row>
    <row r="3" spans="1:5" ht="15.75" x14ac:dyDescent="0.25">
      <c r="A3" s="301"/>
      <c r="B3" s="353"/>
    </row>
    <row r="4" spans="1:5" ht="15.75" x14ac:dyDescent="0.25">
      <c r="A4" s="301"/>
      <c r="B4" s="354"/>
    </row>
    <row r="5" spans="1:5" ht="15.75" x14ac:dyDescent="0.25">
      <c r="A5" s="301"/>
      <c r="B5" s="354"/>
    </row>
    <row r="6" spans="1:5" ht="15.75" x14ac:dyDescent="0.25">
      <c r="A6" s="301"/>
      <c r="B6" s="355"/>
    </row>
    <row r="7" spans="1:5" ht="19.5" x14ac:dyDescent="0.2">
      <c r="A7" s="1513" t="s">
        <v>361</v>
      </c>
      <c r="B7" s="1513"/>
    </row>
    <row r="8" spans="1:5" ht="19.5" x14ac:dyDescent="0.35">
      <c r="A8" s="1514" t="s">
        <v>818</v>
      </c>
      <c r="B8" s="1514"/>
    </row>
    <row r="9" spans="1:5" ht="20.25" thickBot="1" x14ac:dyDescent="0.4">
      <c r="A9" s="1302"/>
      <c r="B9" s="1302"/>
    </row>
    <row r="10" spans="1:5" s="421" customFormat="1" ht="33" customHeight="1" thickBot="1" x14ac:dyDescent="0.25">
      <c r="A10" s="1223" t="s">
        <v>58</v>
      </c>
      <c r="B10" s="1364" t="s">
        <v>1054</v>
      </c>
    </row>
    <row r="11" spans="1:5" ht="16.5" thickBot="1" x14ac:dyDescent="0.3">
      <c r="A11" s="384" t="s">
        <v>55</v>
      </c>
      <c r="B11" s="1193">
        <f>10000000-8622933+2854876-254000-1666257+13433386-939589-2276958-8283760</f>
        <v>4244765</v>
      </c>
      <c r="C11" s="422"/>
      <c r="D11" s="423"/>
    </row>
    <row r="12" spans="1:5" ht="15.75" x14ac:dyDescent="0.25">
      <c r="A12" s="382" t="s">
        <v>362</v>
      </c>
      <c r="B12" s="386"/>
      <c r="C12" s="423"/>
      <c r="D12" s="423"/>
    </row>
    <row r="13" spans="1:5" x14ac:dyDescent="0.2">
      <c r="A13" s="1194" t="s">
        <v>593</v>
      </c>
      <c r="B13" s="868">
        <f>10000000-10000000</f>
        <v>0</v>
      </c>
      <c r="C13" s="357"/>
      <c r="D13" s="356"/>
    </row>
    <row r="14" spans="1:5" x14ac:dyDescent="0.2">
      <c r="A14" s="1194" t="s">
        <v>594</v>
      </c>
      <c r="B14" s="868">
        <v>300000</v>
      </c>
      <c r="C14" s="357"/>
      <c r="D14" s="356"/>
    </row>
    <row r="15" spans="1:5" x14ac:dyDescent="0.2">
      <c r="A15" s="1194" t="s">
        <v>595</v>
      </c>
      <c r="B15" s="868">
        <v>1000000</v>
      </c>
      <c r="C15" s="357"/>
      <c r="D15" s="356"/>
    </row>
    <row r="16" spans="1:5" x14ac:dyDescent="0.2">
      <c r="A16" s="1194" t="s">
        <v>915</v>
      </c>
      <c r="B16" s="868">
        <v>756000</v>
      </c>
      <c r="C16" s="357"/>
      <c r="D16" s="356"/>
    </row>
    <row r="17" spans="1:4" x14ac:dyDescent="0.2">
      <c r="A17" s="1195" t="s">
        <v>746</v>
      </c>
      <c r="B17" s="868">
        <v>44914861</v>
      </c>
      <c r="C17" s="357"/>
      <c r="D17" s="356"/>
    </row>
    <row r="18" spans="1:4" x14ac:dyDescent="0.2">
      <c r="A18" s="1195" t="s">
        <v>921</v>
      </c>
      <c r="B18" s="868">
        <f>7942716-540000</f>
        <v>7402716</v>
      </c>
      <c r="C18" s="357"/>
      <c r="D18" s="356"/>
    </row>
    <row r="19" spans="1:4" x14ac:dyDescent="0.2">
      <c r="A19" s="1195" t="s">
        <v>919</v>
      </c>
      <c r="B19" s="868">
        <f>1620970-96499</f>
        <v>1524471</v>
      </c>
      <c r="C19" s="357"/>
      <c r="D19" s="356"/>
    </row>
    <row r="20" spans="1:4" x14ac:dyDescent="0.2">
      <c r="A20" s="1195" t="s">
        <v>920</v>
      </c>
      <c r="B20" s="868">
        <v>628000</v>
      </c>
      <c r="C20" s="357"/>
      <c r="D20" s="356"/>
    </row>
    <row r="21" spans="1:4" x14ac:dyDescent="0.2">
      <c r="A21" s="1195" t="s">
        <v>914</v>
      </c>
      <c r="B21" s="868">
        <f>650000-250000</f>
        <v>400000</v>
      </c>
      <c r="C21" s="357"/>
      <c r="D21" s="356"/>
    </row>
    <row r="22" spans="1:4" x14ac:dyDescent="0.2">
      <c r="A22" s="1196" t="s">
        <v>513</v>
      </c>
      <c r="B22" s="868">
        <v>3712000</v>
      </c>
      <c r="C22" s="357"/>
      <c r="D22" s="356"/>
    </row>
    <row r="23" spans="1:4" x14ac:dyDescent="0.2">
      <c r="A23" s="1170" t="s">
        <v>916</v>
      </c>
      <c r="B23" s="417">
        <v>15494</v>
      </c>
      <c r="C23" s="357"/>
      <c r="D23" s="356"/>
    </row>
    <row r="24" spans="1:4" x14ac:dyDescent="0.2">
      <c r="A24" s="590" t="s">
        <v>751</v>
      </c>
      <c r="B24" s="417">
        <v>3589610</v>
      </c>
      <c r="C24" s="357"/>
      <c r="D24" s="356"/>
    </row>
    <row r="25" spans="1:4" x14ac:dyDescent="0.2">
      <c r="A25" s="590" t="s">
        <v>750</v>
      </c>
      <c r="B25" s="417">
        <v>10000000</v>
      </c>
      <c r="C25" s="357"/>
      <c r="D25" s="356"/>
    </row>
    <row r="26" spans="1:4" x14ac:dyDescent="0.2">
      <c r="A26" s="590" t="s">
        <v>749</v>
      </c>
      <c r="B26" s="417"/>
      <c r="C26" s="357"/>
      <c r="D26" s="356"/>
    </row>
    <row r="27" spans="1:4" x14ac:dyDescent="0.2">
      <c r="A27" s="590" t="s">
        <v>748</v>
      </c>
      <c r="B27" s="417">
        <v>0</v>
      </c>
      <c r="C27" s="357"/>
      <c r="D27" s="356"/>
    </row>
    <row r="28" spans="1:4" x14ac:dyDescent="0.2">
      <c r="A28" s="1169" t="s">
        <v>747</v>
      </c>
      <c r="B28" s="417">
        <f>6985000-361600-160000-718400</f>
        <v>5745000</v>
      </c>
      <c r="C28" s="357"/>
      <c r="D28" s="356"/>
    </row>
    <row r="29" spans="1:4" x14ac:dyDescent="0.2">
      <c r="A29" s="1171" t="s">
        <v>917</v>
      </c>
      <c r="B29" s="417">
        <v>444500</v>
      </c>
      <c r="C29" s="357"/>
      <c r="D29" s="356"/>
    </row>
    <row r="30" spans="1:4" x14ac:dyDescent="0.2">
      <c r="A30" s="590" t="s">
        <v>918</v>
      </c>
      <c r="B30" s="417">
        <f>406461+4715</f>
        <v>411176</v>
      </c>
      <c r="C30" s="357"/>
      <c r="D30" s="356"/>
    </row>
    <row r="31" spans="1:4" x14ac:dyDescent="0.2">
      <c r="A31" s="590" t="s">
        <v>966</v>
      </c>
      <c r="B31" s="417">
        <v>0</v>
      </c>
      <c r="C31" s="357"/>
      <c r="D31" s="356"/>
    </row>
    <row r="32" spans="1:4" ht="16.5" thickBot="1" x14ac:dyDescent="0.3">
      <c r="A32" s="383" t="s">
        <v>363</v>
      </c>
      <c r="B32" s="1229">
        <f>SUM(B13:B31)</f>
        <v>80843828</v>
      </c>
    </row>
    <row r="33" spans="1:2" ht="16.5" thickBot="1" x14ac:dyDescent="0.3">
      <c r="A33" s="384" t="s">
        <v>364</v>
      </c>
      <c r="B33" s="385">
        <f>SUM(B11,B32)</f>
        <v>85088593</v>
      </c>
    </row>
  </sheetData>
  <mergeCells count="3">
    <mergeCell ref="A1:B1"/>
    <mergeCell ref="A7:B7"/>
    <mergeCell ref="A8:B8"/>
  </mergeCells>
  <printOptions horizontalCentered="1"/>
  <pageMargins left="0.7" right="0.7" top="0.75" bottom="0.75" header="0.3" footer="0.3"/>
  <pageSetup paperSize="9" scale="99" orientation="portrait" r:id="rId1"/>
  <headerFooter alignWithMargins="0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46"/>
  <dimension ref="A1:M161"/>
  <sheetViews>
    <sheetView zoomScale="130" zoomScaleNormal="130" zoomScaleSheetLayoutView="115" workbookViewId="0">
      <selection activeCell="A3" sqref="A3:H3"/>
    </sheetView>
  </sheetViews>
  <sheetFormatPr defaultRowHeight="15.75" x14ac:dyDescent="0.25"/>
  <cols>
    <col min="1" max="1" width="9" style="776" customWidth="1"/>
    <col min="2" max="2" width="67.1640625" style="776" bestFit="1" customWidth="1"/>
    <col min="3" max="3" width="16.5" style="791" customWidth="1"/>
    <col min="4" max="4" width="15.5" style="791" customWidth="1"/>
    <col min="5" max="7" width="15.5" style="791" hidden="1" customWidth="1"/>
    <col min="8" max="8" width="15.5" style="791" customWidth="1"/>
    <col min="9" max="9" width="14.33203125" style="775" hidden="1" customWidth="1"/>
    <col min="10" max="10" width="12.6640625" style="775" hidden="1" customWidth="1"/>
    <col min="11" max="11" width="14.33203125" style="775" hidden="1" customWidth="1"/>
    <col min="12" max="31" width="0" style="775" hidden="1" customWidth="1"/>
    <col min="32" max="16384" width="9.33203125" style="775"/>
  </cols>
  <sheetData>
    <row r="1" spans="1:13" x14ac:dyDescent="0.25">
      <c r="A1" s="1515" t="str">
        <f>CONCATENATE("23. melléklet"," ",ALAPADATOK!A7," ",ALAPADATOK!B7," ",ALAPADATOK!C7," ",ALAPADATOK!D7," ",ALAPADATOK!E7," ",ALAPADATOK!F7," ",ALAPADATOK!G7," ",ALAPADATOK!H7)</f>
        <v>23. melléklet a 19 / 2021. ( XI.29. ) önkormányzati rendelethez</v>
      </c>
      <c r="B1" s="1515"/>
      <c r="C1" s="1515"/>
      <c r="D1" s="1515"/>
      <c r="E1" s="1515"/>
      <c r="F1" s="1515"/>
      <c r="G1" s="1515"/>
      <c r="H1" s="1515"/>
    </row>
    <row r="2" spans="1:13" x14ac:dyDescent="0.25">
      <c r="H2" s="944" t="s">
        <v>782</v>
      </c>
    </row>
    <row r="3" spans="1:13" ht="35.25" customHeight="1" x14ac:dyDescent="0.25">
      <c r="A3" s="1516" t="s">
        <v>819</v>
      </c>
      <c r="B3" s="1517"/>
      <c r="C3" s="1517"/>
      <c r="D3" s="1517"/>
      <c r="E3" s="1517"/>
      <c r="F3" s="1517"/>
      <c r="G3" s="1517"/>
      <c r="H3" s="1517"/>
      <c r="M3" s="775" t="s">
        <v>819</v>
      </c>
    </row>
    <row r="5" spans="1:13" ht="15.95" customHeight="1" thickBot="1" x14ac:dyDescent="0.3">
      <c r="A5" s="1435" t="s">
        <v>1055</v>
      </c>
      <c r="B5" s="1435"/>
      <c r="C5" s="1435"/>
      <c r="D5" s="1435"/>
      <c r="E5" s="1435"/>
      <c r="F5" s="1435"/>
      <c r="G5" s="1435"/>
      <c r="H5" s="1435"/>
    </row>
    <row r="6" spans="1:13" ht="38.1" customHeight="1" thickBot="1" x14ac:dyDescent="0.3">
      <c r="A6" s="20" t="s">
        <v>64</v>
      </c>
      <c r="B6" s="21" t="s">
        <v>15</v>
      </c>
      <c r="C6" s="1067" t="s">
        <v>922</v>
      </c>
      <c r="D6" s="1067" t="s">
        <v>923</v>
      </c>
      <c r="E6" s="1079"/>
      <c r="F6" s="1079"/>
      <c r="G6" s="1079"/>
      <c r="H6" s="1081" t="s">
        <v>796</v>
      </c>
    </row>
    <row r="7" spans="1:13" s="266" customFormat="1" ht="12" customHeight="1" thickBot="1" x14ac:dyDescent="0.25">
      <c r="A7" s="25" t="s">
        <v>391</v>
      </c>
      <c r="B7" s="291" t="s">
        <v>392</v>
      </c>
      <c r="C7" s="559" t="s">
        <v>393</v>
      </c>
      <c r="D7" s="1103" t="s">
        <v>443</v>
      </c>
      <c r="E7" s="539"/>
      <c r="F7" s="539"/>
      <c r="G7" s="539"/>
      <c r="H7" s="540" t="s">
        <v>444</v>
      </c>
    </row>
    <row r="8" spans="1:13" s="268" customFormat="1" ht="12" customHeight="1" thickBot="1" x14ac:dyDescent="0.25">
      <c r="A8" s="17" t="s">
        <v>16</v>
      </c>
      <c r="B8" s="387" t="s">
        <v>181</v>
      </c>
      <c r="C8" s="559">
        <f>SUM(C9:C16)</f>
        <v>1324135065</v>
      </c>
      <c r="D8" s="1103">
        <f>SUM(D9:D16)-D11</f>
        <v>1383953547</v>
      </c>
      <c r="E8" s="542">
        <f>+E9+E10+E11+E14+E15+E16</f>
        <v>1133144785</v>
      </c>
      <c r="F8" s="541">
        <f>+F9+F10+F11+F14+F15+F16</f>
        <v>0</v>
      </c>
      <c r="G8" s="541">
        <f>+G9+G10+G11+G14+G15+G16</f>
        <v>0</v>
      </c>
      <c r="H8" s="112">
        <f>'1.1.sz.mell. '!C11</f>
        <v>1652495968</v>
      </c>
      <c r="I8" s="267">
        <f>+I9+I10+I11+I14+I15+I16</f>
        <v>1460810310</v>
      </c>
      <c r="J8" s="112">
        <f>+J9+J10+J11+J14+J15+J16</f>
        <v>0</v>
      </c>
      <c r="K8" s="112">
        <f>+K9+K10+K11+K14+K15+K16</f>
        <v>0</v>
      </c>
    </row>
    <row r="9" spans="1:13" s="268" customFormat="1" ht="12" customHeight="1" x14ac:dyDescent="0.2">
      <c r="A9" s="12" t="s">
        <v>86</v>
      </c>
      <c r="B9" s="281" t="s">
        <v>182</v>
      </c>
      <c r="C9" s="1114">
        <v>218098142</v>
      </c>
      <c r="D9" s="1104">
        <v>256986904</v>
      </c>
      <c r="E9" s="543">
        <v>227512539</v>
      </c>
      <c r="F9" s="544"/>
      <c r="G9" s="544"/>
      <c r="H9" s="408">
        <f>'1.1.sz.mell. '!C12</f>
        <v>296878177</v>
      </c>
      <c r="I9" s="222">
        <v>211161846</v>
      </c>
      <c r="J9" s="222"/>
      <c r="K9" s="222"/>
    </row>
    <row r="10" spans="1:13" s="268" customFormat="1" ht="12" customHeight="1" x14ac:dyDescent="0.2">
      <c r="A10" s="11" t="s">
        <v>87</v>
      </c>
      <c r="B10" s="282" t="s">
        <v>183</v>
      </c>
      <c r="C10" s="1115">
        <v>238466411</v>
      </c>
      <c r="D10" s="1105">
        <v>250568625</v>
      </c>
      <c r="E10" s="545">
        <v>218107294</v>
      </c>
      <c r="F10" s="546"/>
      <c r="G10" s="546"/>
      <c r="H10" s="290">
        <f>'1.1.sz.mell. '!C13</f>
        <v>263054630</v>
      </c>
      <c r="I10" s="863">
        <v>235351616</v>
      </c>
      <c r="J10" s="863"/>
      <c r="K10" s="863"/>
    </row>
    <row r="11" spans="1:13" s="268" customFormat="1" ht="12" customHeight="1" x14ac:dyDescent="0.2">
      <c r="A11" s="11" t="s">
        <v>88</v>
      </c>
      <c r="B11" s="282" t="s">
        <v>184</v>
      </c>
      <c r="C11" s="1115">
        <v>784493453</v>
      </c>
      <c r="D11" s="1105">
        <f>SUM(D12:D13)</f>
        <v>793973650</v>
      </c>
      <c r="E11" s="545">
        <f>121200000+67844165+118423160+15562200+177597260+4526280+11511000+24250000+62625967</f>
        <v>603540032</v>
      </c>
      <c r="F11" s="546"/>
      <c r="G11" s="546"/>
      <c r="H11" s="290">
        <f>'1.1.sz.mell. '!C14</f>
        <v>846202661</v>
      </c>
      <c r="I11" s="863">
        <f>132342947+82528441+152850000+191583306+50232560+61299400+1796961+73694436</f>
        <v>746328051</v>
      </c>
      <c r="J11" s="863"/>
      <c r="K11" s="863"/>
    </row>
    <row r="12" spans="1:13" s="268" customFormat="1" ht="24" customHeight="1" x14ac:dyDescent="0.2">
      <c r="A12" s="11" t="s">
        <v>764</v>
      </c>
      <c r="B12" s="282" t="s">
        <v>767</v>
      </c>
      <c r="C12" s="1115">
        <v>0</v>
      </c>
      <c r="D12" s="1105">
        <v>616722342</v>
      </c>
      <c r="E12" s="545"/>
      <c r="F12" s="546"/>
      <c r="G12" s="546"/>
      <c r="H12" s="290">
        <f>'1.1.sz.mell. '!C15</f>
        <v>642804986</v>
      </c>
      <c r="I12" s="863"/>
      <c r="J12" s="863"/>
      <c r="K12" s="863"/>
    </row>
    <row r="13" spans="1:13" s="268" customFormat="1" ht="12" customHeight="1" x14ac:dyDescent="0.2">
      <c r="A13" s="11" t="s">
        <v>765</v>
      </c>
      <c r="B13" s="282" t="s">
        <v>768</v>
      </c>
      <c r="C13" s="1115">
        <v>0</v>
      </c>
      <c r="D13" s="1105">
        <v>177251308</v>
      </c>
      <c r="E13" s="545"/>
      <c r="F13" s="546"/>
      <c r="G13" s="546"/>
      <c r="H13" s="290">
        <f>'1.1.sz.mell. '!C16</f>
        <v>203397675</v>
      </c>
      <c r="I13" s="863"/>
      <c r="J13" s="863"/>
      <c r="K13" s="863"/>
    </row>
    <row r="14" spans="1:13" s="268" customFormat="1" ht="12" customHeight="1" x14ac:dyDescent="0.2">
      <c r="A14" s="11" t="s">
        <v>89</v>
      </c>
      <c r="B14" s="282" t="s">
        <v>185</v>
      </c>
      <c r="C14" s="1115">
        <v>34753573</v>
      </c>
      <c r="D14" s="1105">
        <v>38970172</v>
      </c>
      <c r="E14" s="545">
        <f>4412740+15262320+10629000</f>
        <v>30304060</v>
      </c>
      <c r="F14" s="546"/>
      <c r="G14" s="546"/>
      <c r="H14" s="290">
        <f>'1.1.sz.mell. '!C17</f>
        <v>42308416</v>
      </c>
      <c r="I14" s="863">
        <f>4617241+15998620+12622000</f>
        <v>33237861</v>
      </c>
      <c r="J14" s="863"/>
      <c r="K14" s="863"/>
    </row>
    <row r="15" spans="1:13" s="268" customFormat="1" ht="12" customHeight="1" x14ac:dyDescent="0.2">
      <c r="A15" s="11" t="s">
        <v>112</v>
      </c>
      <c r="B15" s="388" t="s">
        <v>394</v>
      </c>
      <c r="C15" s="1115">
        <v>48323486</v>
      </c>
      <c r="D15" s="1105">
        <v>43054095</v>
      </c>
      <c r="E15" s="545">
        <f>3551000+1060845+168707597+58000+128000-119824582</f>
        <v>53680860</v>
      </c>
      <c r="F15" s="546"/>
      <c r="G15" s="546"/>
      <c r="H15" s="290">
        <f>'1.1.sz.mell. '!C18</f>
        <v>202586020</v>
      </c>
      <c r="I15" s="863">
        <f>29417493+205313443</f>
        <v>234730936</v>
      </c>
      <c r="J15" s="863"/>
      <c r="K15" s="863"/>
    </row>
    <row r="16" spans="1:13" s="268" customFormat="1" ht="12" customHeight="1" thickBot="1" x14ac:dyDescent="0.25">
      <c r="A16" s="13" t="s">
        <v>90</v>
      </c>
      <c r="B16" s="389" t="s">
        <v>395</v>
      </c>
      <c r="C16" s="1116"/>
      <c r="D16" s="1106">
        <v>400101</v>
      </c>
      <c r="E16" s="547"/>
      <c r="F16" s="548"/>
      <c r="G16" s="548"/>
      <c r="H16" s="409">
        <f>'1.1.sz.mell. '!C19</f>
        <v>1466064</v>
      </c>
      <c r="I16" s="101"/>
      <c r="J16" s="113"/>
      <c r="K16" s="113"/>
    </row>
    <row r="17" spans="1:11" s="268" customFormat="1" ht="12" customHeight="1" thickBot="1" x14ac:dyDescent="0.25">
      <c r="A17" s="17" t="s">
        <v>17</v>
      </c>
      <c r="B17" s="390" t="s">
        <v>186</v>
      </c>
      <c r="C17" s="928">
        <f>SUM(C18:C22)</f>
        <v>185927249</v>
      </c>
      <c r="D17" s="1107">
        <f>SUM(D18:D22)</f>
        <v>218745160</v>
      </c>
      <c r="E17" s="542">
        <f>+E18+E19+E20+E21+E22</f>
        <v>-145452435</v>
      </c>
      <c r="F17" s="541">
        <f>+F18+F19+F20+F21+F22</f>
        <v>0</v>
      </c>
      <c r="G17" s="541">
        <f>+G18+G19+G20+G21+G22</f>
        <v>5485000</v>
      </c>
      <c r="H17" s="112">
        <f>'1.1.sz.mell. '!C20</f>
        <v>358216768</v>
      </c>
      <c r="I17" s="267">
        <f>+I18+I19+I20+I21+I22</f>
        <v>203725813</v>
      </c>
      <c r="J17" s="112">
        <f>+J18+J19+J20+J21+J22</f>
        <v>0</v>
      </c>
      <c r="K17" s="112">
        <f>+K18+K19+K20+K21+K22</f>
        <v>22754943</v>
      </c>
    </row>
    <row r="18" spans="1:11" s="268" customFormat="1" ht="12" customHeight="1" x14ac:dyDescent="0.2">
      <c r="A18" s="12" t="s">
        <v>92</v>
      </c>
      <c r="B18" s="281" t="s">
        <v>187</v>
      </c>
      <c r="C18" s="1114"/>
      <c r="D18" s="1104"/>
      <c r="E18" s="549"/>
      <c r="F18" s="550"/>
      <c r="G18" s="550"/>
      <c r="H18" s="408">
        <f>'1.1.sz.mell. '!C21</f>
        <v>0</v>
      </c>
      <c r="I18" s="269"/>
      <c r="J18" s="114"/>
      <c r="K18" s="114"/>
    </row>
    <row r="19" spans="1:11" s="268" customFormat="1" ht="12" customHeight="1" x14ac:dyDescent="0.2">
      <c r="A19" s="11" t="s">
        <v>93</v>
      </c>
      <c r="B19" s="282" t="s">
        <v>188</v>
      </c>
      <c r="C19" s="1115"/>
      <c r="D19" s="1105"/>
      <c r="E19" s="547"/>
      <c r="F19" s="548"/>
      <c r="G19" s="548"/>
      <c r="H19" s="290">
        <f>'1.1.sz.mell. '!C22</f>
        <v>0</v>
      </c>
      <c r="I19" s="101"/>
      <c r="J19" s="113"/>
      <c r="K19" s="113"/>
    </row>
    <row r="20" spans="1:11" s="268" customFormat="1" ht="12" customHeight="1" x14ac:dyDescent="0.2">
      <c r="A20" s="11" t="s">
        <v>94</v>
      </c>
      <c r="B20" s="282" t="s">
        <v>354</v>
      </c>
      <c r="C20" s="1115"/>
      <c r="D20" s="1105"/>
      <c r="E20" s="547"/>
      <c r="F20" s="548"/>
      <c r="G20" s="548"/>
      <c r="H20" s="290">
        <f>'1.1.sz.mell. '!C23</f>
        <v>0</v>
      </c>
      <c r="I20" s="101"/>
      <c r="J20" s="113"/>
      <c r="K20" s="113"/>
    </row>
    <row r="21" spans="1:11" s="268" customFormat="1" ht="12" customHeight="1" x14ac:dyDescent="0.2">
      <c r="A21" s="11" t="s">
        <v>95</v>
      </c>
      <c r="B21" s="282" t="s">
        <v>355</v>
      </c>
      <c r="C21" s="1115"/>
      <c r="D21" s="1105"/>
      <c r="E21" s="547"/>
      <c r="F21" s="548"/>
      <c r="G21" s="548"/>
      <c r="H21" s="290">
        <f>'1.1.sz.mell. '!C24</f>
        <v>0</v>
      </c>
      <c r="I21" s="101"/>
      <c r="J21" s="113"/>
      <c r="K21" s="113"/>
    </row>
    <row r="22" spans="1:11" s="268" customFormat="1" ht="12" customHeight="1" x14ac:dyDescent="0.2">
      <c r="A22" s="11" t="s">
        <v>96</v>
      </c>
      <c r="B22" s="282" t="s">
        <v>189</v>
      </c>
      <c r="C22" s="1115">
        <v>185927249</v>
      </c>
      <c r="D22" s="1105">
        <v>218745160</v>
      </c>
      <c r="E22" s="545">
        <f>2285000+210000+110446000+65342000-323735435</f>
        <v>-145452435</v>
      </c>
      <c r="F22" s="546"/>
      <c r="G22" s="546">
        <v>5485000</v>
      </c>
      <c r="H22" s="290">
        <f>'1.1.sz.mell. '!C25</f>
        <v>358216768</v>
      </c>
      <c r="I22" s="864">
        <f>102792540+24250000+3975280+5670000+67037993</f>
        <v>203725813</v>
      </c>
      <c r="J22" s="863"/>
      <c r="K22" s="863">
        <v>22754943</v>
      </c>
    </row>
    <row r="23" spans="1:11" s="268" customFormat="1" ht="12" customHeight="1" thickBot="1" x14ac:dyDescent="0.25">
      <c r="A23" s="13" t="s">
        <v>105</v>
      </c>
      <c r="B23" s="389" t="s">
        <v>190</v>
      </c>
      <c r="C23" s="1116">
        <f>44046085</f>
        <v>44046085</v>
      </c>
      <c r="D23" s="1106">
        <v>80120703</v>
      </c>
      <c r="E23" s="551"/>
      <c r="F23" s="552"/>
      <c r="G23" s="552"/>
      <c r="H23" s="409">
        <f>'1.1.sz.mell. '!C26</f>
        <v>131495850</v>
      </c>
      <c r="I23" s="865">
        <f>67037993</f>
        <v>67037993</v>
      </c>
      <c r="J23" s="173"/>
      <c r="K23" s="173">
        <v>754943</v>
      </c>
    </row>
    <row r="24" spans="1:11" s="268" customFormat="1" ht="12" customHeight="1" thickBot="1" x14ac:dyDescent="0.25">
      <c r="A24" s="17" t="s">
        <v>18</v>
      </c>
      <c r="B24" s="387" t="s">
        <v>191</v>
      </c>
      <c r="C24" s="928">
        <f>SUM(C25:C29)</f>
        <v>1026676989</v>
      </c>
      <c r="D24" s="1107">
        <f>SUM(D25:D29)</f>
        <v>283396180</v>
      </c>
      <c r="E24" s="542">
        <f>+E25+E26+E27+E28+E29</f>
        <v>-11381976</v>
      </c>
      <c r="F24" s="541">
        <f>+F25+F26+F27+F28+F29</f>
        <v>0</v>
      </c>
      <c r="G24" s="541">
        <f>+G25+G26+G27+G28+G29</f>
        <v>0</v>
      </c>
      <c r="H24" s="112">
        <f>'1.1.sz.mell. '!C27</f>
        <v>2080082998</v>
      </c>
      <c r="I24" s="267">
        <f>+I25+I26+I27+I28+I29</f>
        <v>82409566</v>
      </c>
      <c r="J24" s="112">
        <f>+J25+J26+J27+J28+J29</f>
        <v>0</v>
      </c>
      <c r="K24" s="112">
        <f>+K25+K26+K27+K28+K29</f>
        <v>0</v>
      </c>
    </row>
    <row r="25" spans="1:11" s="268" customFormat="1" ht="12" customHeight="1" x14ac:dyDescent="0.2">
      <c r="A25" s="12" t="s">
        <v>75</v>
      </c>
      <c r="B25" s="281" t="s">
        <v>192</v>
      </c>
      <c r="C25" s="1114">
        <v>370138900</v>
      </c>
      <c r="D25" s="1104">
        <v>34619116</v>
      </c>
      <c r="E25" s="553"/>
      <c r="F25" s="554"/>
      <c r="G25" s="554"/>
      <c r="H25" s="408">
        <f>'1.1.sz.mell. '!C28</f>
        <v>1872500100</v>
      </c>
      <c r="I25" s="866"/>
      <c r="J25" s="507"/>
      <c r="K25" s="507"/>
    </row>
    <row r="26" spans="1:11" s="268" customFormat="1" ht="12" customHeight="1" x14ac:dyDescent="0.2">
      <c r="A26" s="11" t="s">
        <v>76</v>
      </c>
      <c r="B26" s="282" t="s">
        <v>193</v>
      </c>
      <c r="C26" s="1117"/>
      <c r="D26" s="1108"/>
      <c r="E26" s="545"/>
      <c r="F26" s="546"/>
      <c r="G26" s="546"/>
      <c r="H26" s="411">
        <f>'1.1.sz.mell. '!C29</f>
        <v>0</v>
      </c>
      <c r="I26" s="864"/>
      <c r="J26" s="863"/>
      <c r="K26" s="863"/>
    </row>
    <row r="27" spans="1:11" s="268" customFormat="1" ht="12" customHeight="1" x14ac:dyDescent="0.2">
      <c r="A27" s="11" t="s">
        <v>77</v>
      </c>
      <c r="B27" s="282" t="s">
        <v>356</v>
      </c>
      <c r="C27" s="1115"/>
      <c r="D27" s="1105"/>
      <c r="E27" s="545"/>
      <c r="F27" s="546"/>
      <c r="G27" s="546"/>
      <c r="H27" s="290">
        <f>'1.1.sz.mell. '!C30</f>
        <v>0</v>
      </c>
      <c r="I27" s="864"/>
      <c r="J27" s="863"/>
      <c r="K27" s="863"/>
    </row>
    <row r="28" spans="1:11" s="268" customFormat="1" ht="12" customHeight="1" x14ac:dyDescent="0.2">
      <c r="A28" s="11" t="s">
        <v>78</v>
      </c>
      <c r="B28" s="282" t="s">
        <v>357</v>
      </c>
      <c r="C28" s="1115"/>
      <c r="D28" s="1105"/>
      <c r="E28" s="545"/>
      <c r="F28" s="546"/>
      <c r="G28" s="546"/>
      <c r="H28" s="290">
        <f>'1.1.sz.mell. '!C31</f>
        <v>0</v>
      </c>
      <c r="I28" s="864"/>
      <c r="J28" s="863"/>
      <c r="K28" s="863"/>
    </row>
    <row r="29" spans="1:11" s="268" customFormat="1" ht="12" customHeight="1" x14ac:dyDescent="0.2">
      <c r="A29" s="11" t="s">
        <v>123</v>
      </c>
      <c r="B29" s="282" t="s">
        <v>194</v>
      </c>
      <c r="C29" s="1115">
        <v>656538089</v>
      </c>
      <c r="D29" s="1105">
        <v>248777064</v>
      </c>
      <c r="E29" s="545">
        <f>3797300-15179276</f>
        <v>-11381976</v>
      </c>
      <c r="F29" s="546"/>
      <c r="G29" s="546"/>
      <c r="H29" s="290">
        <f>'1.1.sz.mell. '!C32</f>
        <v>207582898</v>
      </c>
      <c r="I29" s="864">
        <f>5596040+25377271+3487179+47949076</f>
        <v>82409566</v>
      </c>
      <c r="J29" s="863"/>
      <c r="K29" s="863"/>
    </row>
    <row r="30" spans="1:11" s="268" customFormat="1" ht="12" customHeight="1" thickBot="1" x14ac:dyDescent="0.25">
      <c r="A30" s="13" t="s">
        <v>124</v>
      </c>
      <c r="B30" s="283" t="s">
        <v>195</v>
      </c>
      <c r="C30" s="1116">
        <v>647953089</v>
      </c>
      <c r="D30" s="1106">
        <v>239136377</v>
      </c>
      <c r="E30" s="551">
        <v>3797300</v>
      </c>
      <c r="F30" s="552"/>
      <c r="G30" s="552"/>
      <c r="H30" s="409">
        <f>'1.1.sz.mell. '!C33</f>
        <v>80423773</v>
      </c>
      <c r="I30" s="865">
        <f>5596040+25377271+3487179+47949076</f>
        <v>82409566</v>
      </c>
      <c r="J30" s="173"/>
      <c r="K30" s="173"/>
    </row>
    <row r="31" spans="1:11" s="268" customFormat="1" ht="12" customHeight="1" thickBot="1" x14ac:dyDescent="0.25">
      <c r="A31" s="17" t="s">
        <v>125</v>
      </c>
      <c r="B31" s="387" t="s">
        <v>196</v>
      </c>
      <c r="C31" s="928">
        <f>C32+C35+C36+C37+C38</f>
        <v>470233739</v>
      </c>
      <c r="D31" s="1107">
        <f>D32+D35+D36+D37+D38</f>
        <v>318511494</v>
      </c>
      <c r="E31" s="555">
        <f>+E32+E36+E37+E38</f>
        <v>329390000</v>
      </c>
      <c r="F31" s="556">
        <f>+F32+F36+F37+F38</f>
        <v>0</v>
      </c>
      <c r="G31" s="556">
        <f>+G32+G36+G37+G38</f>
        <v>0</v>
      </c>
      <c r="H31" s="112">
        <f>'1.1.sz.mell. '!C34</f>
        <v>398600000</v>
      </c>
      <c r="I31" s="270">
        <f>+I32+I36+I37+I38</f>
        <v>481500000</v>
      </c>
      <c r="J31" s="117">
        <f>+J32+J36+J37+J38</f>
        <v>0</v>
      </c>
      <c r="K31" s="117">
        <f>+K32+K36+K37+K38</f>
        <v>0</v>
      </c>
    </row>
    <row r="32" spans="1:11" s="268" customFormat="1" ht="12" customHeight="1" x14ac:dyDescent="0.2">
      <c r="A32" s="12" t="s">
        <v>197</v>
      </c>
      <c r="B32" s="281" t="s">
        <v>579</v>
      </c>
      <c r="C32" s="927">
        <f>SUM(C33:C34)</f>
        <v>424778074</v>
      </c>
      <c r="D32" s="1109">
        <f>SUM(D33:D34)</f>
        <v>306301683</v>
      </c>
      <c r="E32" s="557">
        <f>SUM(E33:E35)</f>
        <v>292830000</v>
      </c>
      <c r="F32" s="558"/>
      <c r="G32" s="558"/>
      <c r="H32" s="408">
        <f>'1.1.sz.mell. '!C35</f>
        <v>385080000</v>
      </c>
      <c r="I32" s="284">
        <f>SUM(I33:I34)</f>
        <v>430000000</v>
      </c>
      <c r="J32" s="284">
        <f>SUM(J33:J34)</f>
        <v>0</v>
      </c>
      <c r="K32" s="284">
        <f>SUM(K33:K34)</f>
        <v>0</v>
      </c>
    </row>
    <row r="33" spans="1:11" s="268" customFormat="1" ht="12" customHeight="1" x14ac:dyDescent="0.2">
      <c r="A33" s="11" t="s">
        <v>198</v>
      </c>
      <c r="B33" s="282" t="s">
        <v>203</v>
      </c>
      <c r="C33" s="1115">
        <v>81767339</v>
      </c>
      <c r="D33" s="1105">
        <v>83640757</v>
      </c>
      <c r="E33" s="547">
        <f>8990000+70000000</f>
        <v>78990000</v>
      </c>
      <c r="F33" s="548"/>
      <c r="G33" s="548"/>
      <c r="H33" s="290">
        <f>'1.1.sz.mell. '!C36</f>
        <v>88280000</v>
      </c>
      <c r="I33" s="101">
        <f>80000000+9000000</f>
        <v>89000000</v>
      </c>
      <c r="J33" s="113"/>
      <c r="K33" s="113"/>
    </row>
    <row r="34" spans="1:11" s="268" customFormat="1" ht="12" customHeight="1" x14ac:dyDescent="0.2">
      <c r="A34" s="11" t="s">
        <v>199</v>
      </c>
      <c r="B34" s="567" t="s">
        <v>578</v>
      </c>
      <c r="C34" s="1115">
        <v>343010735</v>
      </c>
      <c r="D34" s="1105">
        <v>222660926</v>
      </c>
      <c r="E34" s="547">
        <f>203840000+10000000</f>
        <v>213840000</v>
      </c>
      <c r="F34" s="548"/>
      <c r="G34" s="548"/>
      <c r="H34" s="289">
        <f>'1.1.sz.mell. '!C37</f>
        <v>296800000</v>
      </c>
      <c r="I34" s="101">
        <f>341000000</f>
        <v>341000000</v>
      </c>
      <c r="J34" s="113"/>
      <c r="K34" s="113"/>
    </row>
    <row r="35" spans="1:11" s="268" customFormat="1" ht="12" customHeight="1" x14ac:dyDescent="0.2">
      <c r="A35" s="11" t="s">
        <v>200</v>
      </c>
      <c r="B35" s="282" t="s">
        <v>479</v>
      </c>
      <c r="C35" s="1115">
        <v>39072</v>
      </c>
      <c r="D35" s="1105">
        <v>914</v>
      </c>
      <c r="E35" s="545"/>
      <c r="F35" s="546"/>
      <c r="G35" s="546"/>
      <c r="H35" s="289">
        <f>'1.1.sz.mell. '!C38</f>
        <v>0</v>
      </c>
      <c r="I35" s="864"/>
      <c r="J35" s="863"/>
      <c r="K35" s="863"/>
    </row>
    <row r="36" spans="1:11" s="268" customFormat="1" ht="12" customHeight="1" x14ac:dyDescent="0.2">
      <c r="A36" s="11" t="s">
        <v>480</v>
      </c>
      <c r="B36" s="282" t="s">
        <v>204</v>
      </c>
      <c r="C36" s="1115">
        <v>31727403</v>
      </c>
      <c r="D36" s="1105">
        <v>0</v>
      </c>
      <c r="E36" s="547">
        <f>27000000</f>
        <v>27000000</v>
      </c>
      <c r="F36" s="548"/>
      <c r="G36" s="548"/>
      <c r="H36" s="289">
        <v>0</v>
      </c>
      <c r="I36" s="101">
        <f>35000000</f>
        <v>35000000</v>
      </c>
      <c r="J36" s="113"/>
      <c r="K36" s="113"/>
    </row>
    <row r="37" spans="1:11" s="268" customFormat="1" ht="12" customHeight="1" x14ac:dyDescent="0.2">
      <c r="A37" s="11" t="s">
        <v>202</v>
      </c>
      <c r="B37" s="282" t="s">
        <v>205</v>
      </c>
      <c r="C37" s="1115">
        <v>158400</v>
      </c>
      <c r="D37" s="1105">
        <v>194100</v>
      </c>
      <c r="E37" s="547">
        <v>4060000</v>
      </c>
      <c r="F37" s="548"/>
      <c r="G37" s="548"/>
      <c r="H37" s="289">
        <f>'1.1.sz.mell. '!C39</f>
        <v>0</v>
      </c>
      <c r="I37" s="101"/>
      <c r="J37" s="113"/>
      <c r="K37" s="113"/>
    </row>
    <row r="38" spans="1:11" s="268" customFormat="1" ht="12" customHeight="1" thickBot="1" x14ac:dyDescent="0.25">
      <c r="A38" s="13" t="s">
        <v>481</v>
      </c>
      <c r="B38" s="283" t="s">
        <v>206</v>
      </c>
      <c r="C38" s="1116">
        <v>13530790</v>
      </c>
      <c r="D38" s="1106">
        <v>12014797</v>
      </c>
      <c r="E38" s="551">
        <v>5500000</v>
      </c>
      <c r="F38" s="552"/>
      <c r="G38" s="552"/>
      <c r="H38" s="409">
        <f>'1.1.sz.mell. '!C40</f>
        <v>13520000</v>
      </c>
      <c r="I38" s="865">
        <f>6000000+4000000+2500000+500000+3500000</f>
        <v>16500000</v>
      </c>
      <c r="J38" s="173"/>
      <c r="K38" s="173"/>
    </row>
    <row r="39" spans="1:11" s="268" customFormat="1" ht="12" customHeight="1" thickBot="1" x14ac:dyDescent="0.25">
      <c r="A39" s="17" t="s">
        <v>20</v>
      </c>
      <c r="B39" s="387" t="s">
        <v>396</v>
      </c>
      <c r="C39" s="928">
        <f>SUM(C40:C50)</f>
        <v>314593205</v>
      </c>
      <c r="D39" s="1107">
        <f>SUM(D40:D50)</f>
        <v>334062033</v>
      </c>
      <c r="E39" s="542">
        <f>SUM(E40:E50)</f>
        <v>54395907</v>
      </c>
      <c r="F39" s="541">
        <f>SUM(F40:F50)</f>
        <v>9416500</v>
      </c>
      <c r="G39" s="541">
        <f>SUM(G40:G50)</f>
        <v>385266178</v>
      </c>
      <c r="H39" s="112">
        <f>'1.1.sz.mell. '!C41</f>
        <v>367517639</v>
      </c>
      <c r="I39" s="267">
        <f>SUM(I40:I50)</f>
        <v>64295778</v>
      </c>
      <c r="J39" s="112">
        <f>SUM(J40:J50)</f>
        <v>8150828</v>
      </c>
      <c r="K39" s="112">
        <f>SUM(K40:K50)</f>
        <v>266151972</v>
      </c>
    </row>
    <row r="40" spans="1:11" s="268" customFormat="1" ht="12" customHeight="1" x14ac:dyDescent="0.2">
      <c r="A40" s="12" t="s">
        <v>79</v>
      </c>
      <c r="B40" s="281" t="s">
        <v>209</v>
      </c>
      <c r="C40" s="1114">
        <v>8179095</v>
      </c>
      <c r="D40" s="1104">
        <v>8209247</v>
      </c>
      <c r="E40" s="543">
        <f>3937000+4000000+5000000-2941522</f>
        <v>9995478</v>
      </c>
      <c r="F40" s="544"/>
      <c r="G40" s="544">
        <v>150000</v>
      </c>
      <c r="H40" s="408">
        <f>'1.1.sz.mell. '!C42</f>
        <v>0</v>
      </c>
      <c r="I40" s="866">
        <f>7385026+10000+10375680</f>
        <v>17770706</v>
      </c>
      <c r="J40" s="222"/>
      <c r="K40" s="222">
        <v>20000</v>
      </c>
    </row>
    <row r="41" spans="1:11" s="268" customFormat="1" ht="12" customHeight="1" x14ac:dyDescent="0.2">
      <c r="A41" s="11" t="s">
        <v>80</v>
      </c>
      <c r="B41" s="282" t="s">
        <v>210</v>
      </c>
      <c r="C41" s="1115">
        <v>77258808</v>
      </c>
      <c r="D41" s="1105">
        <v>69205220</v>
      </c>
      <c r="E41" s="545">
        <f>100000+12004000+160000+7128864</f>
        <v>19392864</v>
      </c>
      <c r="F41" s="546">
        <v>7533500</v>
      </c>
      <c r="G41" s="544">
        <v>68193838</v>
      </c>
      <c r="H41" s="290">
        <f>'1.1.sz.mell. '!C43</f>
        <v>67234315</v>
      </c>
      <c r="I41" s="864">
        <f>15901900+787402+500000</f>
        <v>17189302</v>
      </c>
      <c r="J41" s="863">
        <f>4000000+1241400+372638</f>
        <v>5614038</v>
      </c>
      <c r="K41" s="222">
        <f>32107480+8820000+616000+13688512</f>
        <v>55231992</v>
      </c>
    </row>
    <row r="42" spans="1:11" s="268" customFormat="1" ht="12" customHeight="1" x14ac:dyDescent="0.2">
      <c r="A42" s="11" t="s">
        <v>81</v>
      </c>
      <c r="B42" s="282" t="s">
        <v>211</v>
      </c>
      <c r="C42" s="1115">
        <v>17781177</v>
      </c>
      <c r="D42" s="1105">
        <v>17680191</v>
      </c>
      <c r="E42" s="545">
        <f>8458000+947000</f>
        <v>9405000</v>
      </c>
      <c r="F42" s="546">
        <v>500000</v>
      </c>
      <c r="G42" s="544">
        <v>85718340</v>
      </c>
      <c r="H42" s="290">
        <f>'1.1.sz.mell. '!C44</f>
        <v>29233899</v>
      </c>
      <c r="I42" s="864">
        <f>20000+6000000+700000+1000000+1109692</f>
        <v>8829692</v>
      </c>
      <c r="J42" s="863">
        <f>300000</f>
        <v>300000</v>
      </c>
      <c r="K42" s="222">
        <f>1586000+50000+4200000+12700000</f>
        <v>18536000</v>
      </c>
    </row>
    <row r="43" spans="1:11" s="268" customFormat="1" ht="12" customHeight="1" x14ac:dyDescent="0.2">
      <c r="A43" s="11" t="s">
        <v>127</v>
      </c>
      <c r="B43" s="282" t="s">
        <v>212</v>
      </c>
      <c r="C43" s="1115">
        <v>965935</v>
      </c>
      <c r="D43" s="1105">
        <v>3774152</v>
      </c>
      <c r="E43" s="545">
        <f>430000</f>
        <v>430000</v>
      </c>
      <c r="F43" s="546"/>
      <c r="G43" s="544"/>
      <c r="H43" s="290">
        <f>'1.1.sz.mell. '!C45</f>
        <v>6822173</v>
      </c>
      <c r="I43" s="864">
        <f>440000+300000</f>
        <v>740000</v>
      </c>
      <c r="J43" s="863"/>
      <c r="K43" s="222"/>
    </row>
    <row r="44" spans="1:11" s="268" customFormat="1" ht="12" customHeight="1" x14ac:dyDescent="0.2">
      <c r="A44" s="11" t="s">
        <v>128</v>
      </c>
      <c r="B44" s="282" t="s">
        <v>213</v>
      </c>
      <c r="C44" s="1115">
        <v>175322036</v>
      </c>
      <c r="D44" s="1105">
        <v>176293968</v>
      </c>
      <c r="E44" s="545"/>
      <c r="F44" s="546"/>
      <c r="G44" s="544">
        <f>182811402-4572000</f>
        <v>178239402</v>
      </c>
      <c r="H44" s="290">
        <f>'1.1.sz.mell. '!C46</f>
        <v>199444919</v>
      </c>
      <c r="I44" s="864"/>
      <c r="J44" s="863"/>
      <c r="K44" s="222">
        <f>17535396+708995+862330+152500000</f>
        <v>171606721</v>
      </c>
    </row>
    <row r="45" spans="1:11" s="268" customFormat="1" ht="12" customHeight="1" x14ac:dyDescent="0.2">
      <c r="A45" s="11" t="s">
        <v>129</v>
      </c>
      <c r="B45" s="282" t="s">
        <v>214</v>
      </c>
      <c r="C45" s="1115">
        <v>21427421</v>
      </c>
      <c r="D45" s="1105">
        <v>20117811</v>
      </c>
      <c r="E45" s="545">
        <f>1063000+3242000+5853000+44000+378000+600000+1350000+1408565</f>
        <v>13938565</v>
      </c>
      <c r="F45" s="546">
        <v>1283000</v>
      </c>
      <c r="G45" s="544">
        <v>31920598</v>
      </c>
      <c r="H45" s="290">
        <f>'1.1.sz.mell. '!C47</f>
        <v>24329911</v>
      </c>
      <c r="I45" s="864">
        <f>5400+1993957+12052638+212598+189000+2801434+333450+135000</f>
        <v>17723477</v>
      </c>
      <c r="J45" s="863">
        <f>1161000+335178+100612</f>
        <v>1596790</v>
      </c>
      <c r="K45" s="222">
        <f>4914377+191429+869400+1533149+4814904</f>
        <v>12323259</v>
      </c>
    </row>
    <row r="46" spans="1:11" s="268" customFormat="1" ht="12" customHeight="1" x14ac:dyDescent="0.2">
      <c r="A46" s="11" t="s">
        <v>130</v>
      </c>
      <c r="B46" s="282" t="s">
        <v>215</v>
      </c>
      <c r="C46" s="1115">
        <v>7222000</v>
      </c>
      <c r="D46" s="1105">
        <v>2550000</v>
      </c>
      <c r="E46" s="545"/>
      <c r="F46" s="546"/>
      <c r="G46" s="544">
        <v>21034000</v>
      </c>
      <c r="H46" s="290">
        <f>'1.1.sz.mell. '!C48</f>
        <v>37770645</v>
      </c>
      <c r="I46" s="864"/>
      <c r="J46" s="863"/>
      <c r="K46" s="222">
        <f>7614000+650000+169000</f>
        <v>8433000</v>
      </c>
    </row>
    <row r="47" spans="1:11" s="268" customFormat="1" ht="12" customHeight="1" x14ac:dyDescent="0.2">
      <c r="A47" s="11" t="s">
        <v>131</v>
      </c>
      <c r="B47" s="282" t="s">
        <v>492</v>
      </c>
      <c r="C47" s="1115">
        <v>167</v>
      </c>
      <c r="D47" s="1105">
        <v>153</v>
      </c>
      <c r="E47" s="545">
        <v>30000</v>
      </c>
      <c r="F47" s="546"/>
      <c r="G47" s="544">
        <v>10000</v>
      </c>
      <c r="H47" s="290">
        <f>'1.1.sz.mell. '!C49</f>
        <v>0</v>
      </c>
      <c r="I47" s="864"/>
      <c r="J47" s="863"/>
      <c r="K47" s="222"/>
    </row>
    <row r="48" spans="1:11" s="268" customFormat="1" ht="12" customHeight="1" x14ac:dyDescent="0.2">
      <c r="A48" s="11" t="s">
        <v>207</v>
      </c>
      <c r="B48" s="282" t="s">
        <v>217</v>
      </c>
      <c r="C48" s="1115"/>
      <c r="D48" s="1105"/>
      <c r="E48" s="545"/>
      <c r="F48" s="546"/>
      <c r="G48" s="544"/>
      <c r="H48" s="290">
        <f>'1.1.sz.mell. '!C50</f>
        <v>0</v>
      </c>
      <c r="I48" s="864"/>
      <c r="J48" s="863"/>
      <c r="K48" s="222"/>
    </row>
    <row r="49" spans="1:11" s="268" customFormat="1" ht="12" customHeight="1" x14ac:dyDescent="0.2">
      <c r="A49" s="13" t="s">
        <v>208</v>
      </c>
      <c r="B49" s="283" t="s">
        <v>397</v>
      </c>
      <c r="C49" s="1115">
        <v>1209667</v>
      </c>
      <c r="D49" s="1105">
        <v>1278624</v>
      </c>
      <c r="E49" s="551">
        <f>500000</f>
        <v>500000</v>
      </c>
      <c r="F49" s="552"/>
      <c r="G49" s="544"/>
      <c r="H49" s="290">
        <f>'1.1.sz.mell. '!C51</f>
        <v>1000000</v>
      </c>
      <c r="I49" s="865">
        <f>500000</f>
        <v>500000</v>
      </c>
      <c r="J49" s="173"/>
      <c r="K49" s="222"/>
    </row>
    <row r="50" spans="1:11" s="268" customFormat="1" ht="12" customHeight="1" thickBot="1" x14ac:dyDescent="0.25">
      <c r="A50" s="13" t="s">
        <v>398</v>
      </c>
      <c r="B50" s="389" t="s">
        <v>218</v>
      </c>
      <c r="C50" s="1116">
        <v>5226899</v>
      </c>
      <c r="D50" s="1106">
        <v>34952667</v>
      </c>
      <c r="E50" s="551">
        <f>704000</f>
        <v>704000</v>
      </c>
      <c r="F50" s="552">
        <v>100000</v>
      </c>
      <c r="G50" s="544"/>
      <c r="H50" s="409">
        <f>'1.1.sz.mell. '!C52</f>
        <v>1681777</v>
      </c>
      <c r="I50" s="865">
        <f>507601+335000+700000</f>
        <v>1542601</v>
      </c>
      <c r="J50" s="173">
        <f>640000</f>
        <v>640000</v>
      </c>
      <c r="K50" s="222">
        <v>1000</v>
      </c>
    </row>
    <row r="51" spans="1:11" s="268" customFormat="1" ht="12" customHeight="1" thickBot="1" x14ac:dyDescent="0.25">
      <c r="A51" s="17" t="s">
        <v>21</v>
      </c>
      <c r="B51" s="387" t="s">
        <v>219</v>
      </c>
      <c r="C51" s="928">
        <f>SUM(C52:C56)</f>
        <v>5525134</v>
      </c>
      <c r="D51" s="1107">
        <f>SUM(D52:D56)</f>
        <v>8433198</v>
      </c>
      <c r="E51" s="542">
        <f>SUM(E52:E56)</f>
        <v>25179000</v>
      </c>
      <c r="F51" s="541">
        <f>SUM(F52:F56)</f>
        <v>0</v>
      </c>
      <c r="G51" s="541">
        <f>SUM(G52:G56)</f>
        <v>0</v>
      </c>
      <c r="H51" s="112">
        <f>'1.1.sz.mell. '!C53</f>
        <v>63000000</v>
      </c>
      <c r="I51" s="267">
        <f>SUM(I52:I56)</f>
        <v>21787500</v>
      </c>
      <c r="J51" s="112">
        <f>SUM(J52:J56)</f>
        <v>300000</v>
      </c>
      <c r="K51" s="112">
        <f>SUM(K52:K56)</f>
        <v>0</v>
      </c>
    </row>
    <row r="52" spans="1:11" s="268" customFormat="1" ht="12" customHeight="1" x14ac:dyDescent="0.2">
      <c r="A52" s="12" t="s">
        <v>82</v>
      </c>
      <c r="B52" s="281" t="s">
        <v>223</v>
      </c>
      <c r="C52" s="1118"/>
      <c r="D52" s="1110"/>
      <c r="E52" s="543"/>
      <c r="F52" s="544"/>
      <c r="G52" s="544"/>
      <c r="H52" s="410">
        <f>'1.1.sz.mell. '!C54</f>
        <v>0</v>
      </c>
      <c r="I52" s="866"/>
      <c r="J52" s="222"/>
      <c r="K52" s="222"/>
    </row>
    <row r="53" spans="1:11" s="268" customFormat="1" ht="12" customHeight="1" x14ac:dyDescent="0.2">
      <c r="A53" s="11" t="s">
        <v>83</v>
      </c>
      <c r="B53" s="282" t="s">
        <v>224</v>
      </c>
      <c r="C53" s="1115">
        <v>5202984</v>
      </c>
      <c r="D53" s="1105">
        <v>8058657</v>
      </c>
      <c r="E53" s="545">
        <f>25179000</f>
        <v>25179000</v>
      </c>
      <c r="F53" s="546"/>
      <c r="G53" s="546"/>
      <c r="H53" s="290">
        <f>'1.1.sz.mell. '!C55</f>
        <v>63000000</v>
      </c>
      <c r="I53" s="864">
        <f>21787500</f>
        <v>21787500</v>
      </c>
      <c r="J53" s="863"/>
      <c r="K53" s="863"/>
    </row>
    <row r="54" spans="1:11" s="268" customFormat="1" ht="12" customHeight="1" x14ac:dyDescent="0.2">
      <c r="A54" s="11" t="s">
        <v>220</v>
      </c>
      <c r="B54" s="282" t="s">
        <v>225</v>
      </c>
      <c r="C54" s="1115">
        <v>177050</v>
      </c>
      <c r="D54" s="1105">
        <v>44541</v>
      </c>
      <c r="E54" s="545"/>
      <c r="F54" s="546"/>
      <c r="G54" s="546"/>
      <c r="H54" s="290">
        <f>'1.1.sz.mell. '!C56</f>
        <v>0</v>
      </c>
      <c r="I54" s="864"/>
      <c r="J54" s="863">
        <f>300000</f>
        <v>300000</v>
      </c>
      <c r="K54" s="863"/>
    </row>
    <row r="55" spans="1:11" s="268" customFormat="1" ht="12" customHeight="1" x14ac:dyDescent="0.2">
      <c r="A55" s="11" t="s">
        <v>221</v>
      </c>
      <c r="B55" s="282" t="s">
        <v>226</v>
      </c>
      <c r="C55" s="1115"/>
      <c r="D55" s="1105"/>
      <c r="E55" s="545"/>
      <c r="F55" s="546"/>
      <c r="G55" s="546"/>
      <c r="H55" s="290">
        <f>'1.1.sz.mell. '!C57</f>
        <v>0</v>
      </c>
      <c r="I55" s="864"/>
      <c r="J55" s="863"/>
      <c r="K55" s="863"/>
    </row>
    <row r="56" spans="1:11" s="268" customFormat="1" ht="12" customHeight="1" thickBot="1" x14ac:dyDescent="0.25">
      <c r="A56" s="13" t="s">
        <v>222</v>
      </c>
      <c r="B56" s="389" t="s">
        <v>227</v>
      </c>
      <c r="C56" s="1116">
        <v>145100</v>
      </c>
      <c r="D56" s="1106">
        <v>330000</v>
      </c>
      <c r="E56" s="551"/>
      <c r="F56" s="552"/>
      <c r="G56" s="552"/>
      <c r="H56" s="412">
        <f>'1.1.sz.mell. '!C58</f>
        <v>0</v>
      </c>
      <c r="I56" s="865"/>
      <c r="J56" s="173"/>
      <c r="K56" s="173"/>
    </row>
    <row r="57" spans="1:11" s="268" customFormat="1" ht="12" customHeight="1" thickBot="1" x14ac:dyDescent="0.25">
      <c r="A57" s="17" t="s">
        <v>132</v>
      </c>
      <c r="B57" s="387" t="s">
        <v>228</v>
      </c>
      <c r="C57" s="928">
        <f>SUM(C58:C60)</f>
        <v>18124157</v>
      </c>
      <c r="D57" s="1107">
        <f>SUM(D58:D60)</f>
        <v>2494416</v>
      </c>
      <c r="E57" s="542">
        <f>SUM(E58:E60)</f>
        <v>6164433</v>
      </c>
      <c r="F57" s="541">
        <f>SUM(F58:F60)</f>
        <v>0</v>
      </c>
      <c r="G57" s="541">
        <f>SUM(G58:G60)</f>
        <v>0</v>
      </c>
      <c r="H57" s="280">
        <f>'1.1.sz.mell. '!C59</f>
        <v>11607028</v>
      </c>
      <c r="I57" s="267">
        <f>SUM(I58:I60)</f>
        <v>1430000</v>
      </c>
      <c r="J57" s="112">
        <f>SUM(J58:J60)</f>
        <v>0</v>
      </c>
      <c r="K57" s="112">
        <f>SUM(K58:K60)</f>
        <v>0</v>
      </c>
    </row>
    <row r="58" spans="1:11" s="268" customFormat="1" ht="12" customHeight="1" x14ac:dyDescent="0.2">
      <c r="A58" s="12" t="s">
        <v>84</v>
      </c>
      <c r="B58" s="281" t="s">
        <v>229</v>
      </c>
      <c r="C58" s="1119"/>
      <c r="D58" s="1111"/>
      <c r="E58" s="549"/>
      <c r="F58" s="550"/>
      <c r="G58" s="550"/>
      <c r="H58" s="413">
        <f>'1.1.sz.mell. '!C60</f>
        <v>1000000</v>
      </c>
      <c r="I58" s="269"/>
      <c r="J58" s="114"/>
      <c r="K58" s="114"/>
    </row>
    <row r="59" spans="1:11" s="268" customFormat="1" ht="12" customHeight="1" x14ac:dyDescent="0.2">
      <c r="A59" s="11" t="s">
        <v>85</v>
      </c>
      <c r="B59" s="282" t="s">
        <v>358</v>
      </c>
      <c r="C59" s="1115">
        <v>15332864</v>
      </c>
      <c r="D59" s="1105">
        <v>540368</v>
      </c>
      <c r="E59" s="545">
        <f>383000+1566000</f>
        <v>1949000</v>
      </c>
      <c r="F59" s="546"/>
      <c r="G59" s="546"/>
      <c r="H59" s="290">
        <f>'1.1.sz.mell. '!C61</f>
        <v>200000</v>
      </c>
      <c r="I59" s="864">
        <f>480000</f>
        <v>480000</v>
      </c>
      <c r="J59" s="863"/>
      <c r="K59" s="863"/>
    </row>
    <row r="60" spans="1:11" s="268" customFormat="1" ht="12" customHeight="1" x14ac:dyDescent="0.2">
      <c r="A60" s="11" t="s">
        <v>232</v>
      </c>
      <c r="B60" s="282" t="s">
        <v>230</v>
      </c>
      <c r="C60" s="1115">
        <v>2791293</v>
      </c>
      <c r="D60" s="1105">
        <v>1954048</v>
      </c>
      <c r="E60" s="545">
        <f>4075000+140433</f>
        <v>4215433</v>
      </c>
      <c r="F60" s="546"/>
      <c r="G60" s="546"/>
      <c r="H60" s="290">
        <f>'1.1.sz.mell. '!C62</f>
        <v>10407028</v>
      </c>
      <c r="I60" s="864">
        <f>950000</f>
        <v>950000</v>
      </c>
      <c r="J60" s="863"/>
      <c r="K60" s="863"/>
    </row>
    <row r="61" spans="1:11" s="268" customFormat="1" ht="12" customHeight="1" thickBot="1" x14ac:dyDescent="0.25">
      <c r="A61" s="13" t="s">
        <v>233</v>
      </c>
      <c r="B61" s="389" t="s">
        <v>231</v>
      </c>
      <c r="C61" s="1116"/>
      <c r="D61" s="1106"/>
      <c r="E61" s="560"/>
      <c r="F61" s="561"/>
      <c r="G61" s="561"/>
      <c r="H61" s="409">
        <f>'1.1.sz.mell. '!C63</f>
        <v>0</v>
      </c>
      <c r="I61" s="102"/>
      <c r="J61" s="115"/>
      <c r="K61" s="115"/>
    </row>
    <row r="62" spans="1:11" s="268" customFormat="1" ht="12" customHeight="1" thickBot="1" x14ac:dyDescent="0.25">
      <c r="A62" s="17" t="s">
        <v>23</v>
      </c>
      <c r="B62" s="390" t="s">
        <v>234</v>
      </c>
      <c r="C62" s="928">
        <f>SUM(C63:C65)</f>
        <v>0</v>
      </c>
      <c r="D62" s="1107">
        <f>SUM(D63:D65)</f>
        <v>11510400</v>
      </c>
      <c r="E62" s="542">
        <f>SUM(E63:E65)</f>
        <v>0</v>
      </c>
      <c r="F62" s="541">
        <f>SUM(F63:F65)</f>
        <v>0</v>
      </c>
      <c r="G62" s="541">
        <f>SUM(G63:G65)</f>
        <v>0</v>
      </c>
      <c r="H62" s="112">
        <f>'1.1.sz.mell. '!C64</f>
        <v>250000</v>
      </c>
      <c r="I62" s="267">
        <f>SUM(I63:I65)</f>
        <v>0</v>
      </c>
      <c r="J62" s="112">
        <f>SUM(J63:J65)</f>
        <v>0</v>
      </c>
      <c r="K62" s="112">
        <f>SUM(K63:K65)</f>
        <v>0</v>
      </c>
    </row>
    <row r="63" spans="1:11" s="268" customFormat="1" ht="12" customHeight="1" x14ac:dyDescent="0.2">
      <c r="A63" s="12" t="s">
        <v>133</v>
      </c>
      <c r="B63" s="281" t="s">
        <v>236</v>
      </c>
      <c r="C63" s="1118"/>
      <c r="D63" s="1110"/>
      <c r="E63" s="545"/>
      <c r="F63" s="546"/>
      <c r="G63" s="546"/>
      <c r="H63" s="410">
        <f>'1.1.sz.mell. '!C65</f>
        <v>0</v>
      </c>
      <c r="I63" s="864"/>
      <c r="J63" s="863"/>
      <c r="K63" s="863"/>
    </row>
    <row r="64" spans="1:11" s="268" customFormat="1" ht="12" customHeight="1" x14ac:dyDescent="0.2">
      <c r="A64" s="11" t="s">
        <v>134</v>
      </c>
      <c r="B64" s="282" t="s">
        <v>359</v>
      </c>
      <c r="C64" s="1117"/>
      <c r="D64" s="1108"/>
      <c r="E64" s="545"/>
      <c r="F64" s="546"/>
      <c r="G64" s="546"/>
      <c r="H64" s="411">
        <f>'1.1.sz.mell. '!C66</f>
        <v>0</v>
      </c>
      <c r="I64" s="864"/>
      <c r="J64" s="863"/>
      <c r="K64" s="863"/>
    </row>
    <row r="65" spans="1:11" s="268" customFormat="1" ht="12" customHeight="1" x14ac:dyDescent="0.2">
      <c r="A65" s="11" t="s">
        <v>160</v>
      </c>
      <c r="B65" s="282" t="s">
        <v>237</v>
      </c>
      <c r="C65" s="1117"/>
      <c r="D65" s="1108">
        <v>11510400</v>
      </c>
      <c r="E65" s="545"/>
      <c r="F65" s="546"/>
      <c r="G65" s="546"/>
      <c r="H65" s="411">
        <f>'1.1.sz.mell. '!C67</f>
        <v>250000</v>
      </c>
      <c r="I65" s="864"/>
      <c r="J65" s="863"/>
      <c r="K65" s="863"/>
    </row>
    <row r="66" spans="1:11" s="268" customFormat="1" ht="12" customHeight="1" thickBot="1" x14ac:dyDescent="0.25">
      <c r="A66" s="13" t="s">
        <v>235</v>
      </c>
      <c r="B66" s="389" t="s">
        <v>238</v>
      </c>
      <c r="C66" s="1120"/>
      <c r="D66" s="1112">
        <v>5060400</v>
      </c>
      <c r="E66" s="545"/>
      <c r="F66" s="546"/>
      <c r="G66" s="546"/>
      <c r="H66" s="412">
        <f>'1.1.sz.mell. '!C68</f>
        <v>0</v>
      </c>
      <c r="I66" s="864"/>
      <c r="J66" s="863"/>
      <c r="K66" s="863"/>
    </row>
    <row r="67" spans="1:11" s="268" customFormat="1" ht="12" customHeight="1" thickBot="1" x14ac:dyDescent="0.25">
      <c r="A67" s="243" t="s">
        <v>399</v>
      </c>
      <c r="B67" s="387" t="s">
        <v>239</v>
      </c>
      <c r="C67" s="559">
        <f>C8+C17+C24+C31+C39+C51+C57+C62</f>
        <v>3345215538</v>
      </c>
      <c r="D67" s="542">
        <f>D8+D17+D24+D31+D39+D51+D57+D62</f>
        <v>2561106428</v>
      </c>
      <c r="E67" s="555">
        <f>+E8+E17+E24+E31+E39+E51+E57+E62</f>
        <v>1391439714</v>
      </c>
      <c r="F67" s="556">
        <f>+F8+F17+F24+F31+F39+F51+F57+F62</f>
        <v>9416500</v>
      </c>
      <c r="G67" s="556">
        <f>+G8+G17+G24+G31+G39+G51+G57+G62</f>
        <v>390751178</v>
      </c>
      <c r="H67" s="112">
        <f>'1.1.sz.mell. '!C69</f>
        <v>4931770401</v>
      </c>
      <c r="I67" s="270">
        <f>+I8+I17+I24+I31+I39+I51+I57+I62</f>
        <v>2315958967</v>
      </c>
      <c r="J67" s="117">
        <f>+J8+J17+J24+J31+J39+J51+J57+J62</f>
        <v>8450828</v>
      </c>
      <c r="K67" s="117">
        <f>+K8+K17+K24+K31+K39+K51+K57+K62</f>
        <v>288906915</v>
      </c>
    </row>
    <row r="68" spans="1:11" s="268" customFormat="1" ht="12" customHeight="1" thickBot="1" x14ac:dyDescent="0.25">
      <c r="A68" s="244" t="s">
        <v>240</v>
      </c>
      <c r="B68" s="390" t="s">
        <v>493</v>
      </c>
      <c r="C68" s="559">
        <f>SUM(C69:C71)</f>
        <v>30020437</v>
      </c>
      <c r="D68" s="542">
        <f>SUM(D69:D71)</f>
        <v>842474481</v>
      </c>
      <c r="E68" s="542">
        <f>SUM(E69:E71)</f>
        <v>144100000</v>
      </c>
      <c r="F68" s="541">
        <f>SUM(F69:F71)</f>
        <v>0</v>
      </c>
      <c r="G68" s="541">
        <f>SUM(G69:G71)</f>
        <v>0</v>
      </c>
      <c r="H68" s="112">
        <f>'1.1.sz.mell. '!C70</f>
        <v>1035562529</v>
      </c>
      <c r="I68" s="267">
        <f>SUM(I69:I71)</f>
        <v>169269106</v>
      </c>
      <c r="J68" s="112">
        <f>SUM(J69:J71)</f>
        <v>0</v>
      </c>
      <c r="K68" s="112">
        <f>SUM(K69:K71)</f>
        <v>0</v>
      </c>
    </row>
    <row r="69" spans="1:11" s="268" customFormat="1" ht="12" customHeight="1" x14ac:dyDescent="0.2">
      <c r="A69" s="12" t="s">
        <v>272</v>
      </c>
      <c r="B69" s="281" t="s">
        <v>242</v>
      </c>
      <c r="C69" s="1114">
        <v>30020437</v>
      </c>
      <c r="D69" s="1104">
        <v>21319241</v>
      </c>
      <c r="E69" s="545">
        <v>44100000</v>
      </c>
      <c r="F69" s="546"/>
      <c r="G69" s="546"/>
      <c r="H69" s="408">
        <f>'1.1.sz.mell. '!C71</f>
        <v>185562529</v>
      </c>
      <c r="I69" s="864">
        <f>69269106</f>
        <v>69269106</v>
      </c>
      <c r="J69" s="863"/>
      <c r="K69" s="863"/>
    </row>
    <row r="70" spans="1:11" s="268" customFormat="1" ht="12" customHeight="1" x14ac:dyDescent="0.2">
      <c r="A70" s="11" t="s">
        <v>281</v>
      </c>
      <c r="B70" s="282" t="s">
        <v>243</v>
      </c>
      <c r="C70" s="1115"/>
      <c r="D70" s="1105">
        <v>821155240</v>
      </c>
      <c r="E70" s="545">
        <v>100000000</v>
      </c>
      <c r="F70" s="546"/>
      <c r="G70" s="546"/>
      <c r="H70" s="290">
        <f>'1.1.sz.mell. '!C72</f>
        <v>850000000</v>
      </c>
      <c r="I70" s="864">
        <v>100000000</v>
      </c>
      <c r="J70" s="863"/>
      <c r="K70" s="863"/>
    </row>
    <row r="71" spans="1:11" s="268" customFormat="1" ht="12" customHeight="1" thickBot="1" x14ac:dyDescent="0.25">
      <c r="A71" s="13" t="s">
        <v>282</v>
      </c>
      <c r="B71" s="391" t="s">
        <v>400</v>
      </c>
      <c r="C71" s="1120"/>
      <c r="D71" s="1112"/>
      <c r="E71" s="545"/>
      <c r="F71" s="546"/>
      <c r="G71" s="546"/>
      <c r="H71" s="412">
        <f>'1.1.sz.mell. '!C73</f>
        <v>0</v>
      </c>
      <c r="I71" s="864"/>
      <c r="J71" s="863"/>
      <c r="K71" s="863"/>
    </row>
    <row r="72" spans="1:11" s="268" customFormat="1" ht="12" customHeight="1" thickBot="1" x14ac:dyDescent="0.25">
      <c r="A72" s="244" t="s">
        <v>245</v>
      </c>
      <c r="B72" s="390" t="s">
        <v>246</v>
      </c>
      <c r="C72" s="566">
        <f>SUM(C73:C76)</f>
        <v>0</v>
      </c>
      <c r="D72" s="1113">
        <f>SUM(D73:D76)</f>
        <v>0</v>
      </c>
      <c r="E72" s="542">
        <f>SUM(E73:E76)</f>
        <v>0</v>
      </c>
      <c r="F72" s="541">
        <f>SUM(F73:F76)</f>
        <v>0</v>
      </c>
      <c r="G72" s="541">
        <f>SUM(G73:G76)</f>
        <v>0</v>
      </c>
      <c r="H72" s="112">
        <f>'1.1.sz.mell. '!C74</f>
        <v>0</v>
      </c>
      <c r="I72" s="267">
        <f>SUM(I73:I76)</f>
        <v>0</v>
      </c>
      <c r="J72" s="112">
        <f>SUM(J73:J76)</f>
        <v>0</v>
      </c>
      <c r="K72" s="112">
        <f>SUM(K73:K76)</f>
        <v>0</v>
      </c>
    </row>
    <row r="73" spans="1:11" s="268" customFormat="1" ht="12" customHeight="1" x14ac:dyDescent="0.2">
      <c r="A73" s="12" t="s">
        <v>113</v>
      </c>
      <c r="B73" s="281" t="s">
        <v>247</v>
      </c>
      <c r="C73" s="1118"/>
      <c r="D73" s="1110"/>
      <c r="E73" s="545"/>
      <c r="F73" s="546"/>
      <c r="G73" s="546"/>
      <c r="H73" s="410">
        <f>'1.1.sz.mell. '!C75</f>
        <v>0</v>
      </c>
      <c r="I73" s="864"/>
      <c r="J73" s="863"/>
      <c r="K73" s="863"/>
    </row>
    <row r="74" spans="1:11" s="268" customFormat="1" ht="17.25" customHeight="1" x14ac:dyDescent="0.2">
      <c r="A74" s="11" t="s">
        <v>114</v>
      </c>
      <c r="B74" s="282" t="s">
        <v>248</v>
      </c>
      <c r="C74" s="1117"/>
      <c r="D74" s="1108"/>
      <c r="E74" s="545"/>
      <c r="F74" s="546"/>
      <c r="G74" s="546"/>
      <c r="H74" s="411">
        <f>'1.1.sz.mell. '!C76</f>
        <v>0</v>
      </c>
      <c r="I74" s="864"/>
      <c r="J74" s="863"/>
      <c r="K74" s="863"/>
    </row>
    <row r="75" spans="1:11" s="268" customFormat="1" ht="12" customHeight="1" x14ac:dyDescent="0.2">
      <c r="A75" s="11" t="s">
        <v>273</v>
      </c>
      <c r="B75" s="282" t="s">
        <v>249</v>
      </c>
      <c r="C75" s="1117"/>
      <c r="D75" s="1108"/>
      <c r="E75" s="545"/>
      <c r="F75" s="546"/>
      <c r="G75" s="546"/>
      <c r="H75" s="411">
        <f>'1.1.sz.mell. '!C77</f>
        <v>0</v>
      </c>
      <c r="I75" s="864"/>
      <c r="J75" s="863"/>
      <c r="K75" s="863"/>
    </row>
    <row r="76" spans="1:11" s="268" customFormat="1" ht="12" customHeight="1" thickBot="1" x14ac:dyDescent="0.25">
      <c r="A76" s="13" t="s">
        <v>274</v>
      </c>
      <c r="B76" s="389" t="s">
        <v>250</v>
      </c>
      <c r="C76" s="1120"/>
      <c r="D76" s="1112"/>
      <c r="E76" s="545"/>
      <c r="F76" s="546"/>
      <c r="G76" s="546"/>
      <c r="H76" s="412">
        <f>'1.1.sz.mell. '!C78</f>
        <v>0</v>
      </c>
      <c r="I76" s="864"/>
      <c r="J76" s="863"/>
      <c r="K76" s="863"/>
    </row>
    <row r="77" spans="1:11" s="268" customFormat="1" ht="12" customHeight="1" thickBot="1" x14ac:dyDescent="0.25">
      <c r="A77" s="244" t="s">
        <v>251</v>
      </c>
      <c r="B77" s="390" t="s">
        <v>252</v>
      </c>
      <c r="C77" s="559">
        <f>SUM(C78:C79)</f>
        <v>367267935</v>
      </c>
      <c r="D77" s="542">
        <f>SUM(D78:D79)</f>
        <v>933051850</v>
      </c>
      <c r="E77" s="542">
        <f>SUM(E78:E79)</f>
        <v>289331423</v>
      </c>
      <c r="F77" s="541">
        <f>SUM(F78:F79)</f>
        <v>447404</v>
      </c>
      <c r="G77" s="541">
        <f>SUM(G78:G79)</f>
        <v>3220588</v>
      </c>
      <c r="H77" s="112">
        <f>'1.1.sz.mell. '!C79</f>
        <v>856482639</v>
      </c>
      <c r="I77" s="267">
        <f>SUM(I78:I79)</f>
        <v>346583469</v>
      </c>
      <c r="J77" s="112">
        <f>SUM(J78:J79)</f>
        <v>829764</v>
      </c>
      <c r="K77" s="112">
        <f>SUM(K78:K79)</f>
        <v>17254367</v>
      </c>
    </row>
    <row r="78" spans="1:11" s="268" customFormat="1" ht="12" customHeight="1" x14ac:dyDescent="0.2">
      <c r="A78" s="12" t="s">
        <v>275</v>
      </c>
      <c r="B78" s="281" t="s">
        <v>253</v>
      </c>
      <c r="C78" s="1114">
        <v>367267935</v>
      </c>
      <c r="D78" s="1104">
        <v>933051850</v>
      </c>
      <c r="E78" s="545">
        <v>289331423</v>
      </c>
      <c r="F78" s="546">
        <v>447404</v>
      </c>
      <c r="G78" s="546">
        <v>3220588</v>
      </c>
      <c r="H78" s="408">
        <f>'1.1.sz.mell. '!C80</f>
        <v>856482639</v>
      </c>
      <c r="I78" s="864">
        <f>346583469</f>
        <v>346583469</v>
      </c>
      <c r="J78" s="863">
        <f>829764</f>
        <v>829764</v>
      </c>
      <c r="K78" s="863">
        <f>1550858+372804+435258+1054835+13840612</f>
        <v>17254367</v>
      </c>
    </row>
    <row r="79" spans="1:11" s="268" customFormat="1" ht="12" customHeight="1" thickBot="1" x14ac:dyDescent="0.25">
      <c r="A79" s="13" t="s">
        <v>276</v>
      </c>
      <c r="B79" s="389" t="s">
        <v>254</v>
      </c>
      <c r="C79" s="1120"/>
      <c r="D79" s="1112"/>
      <c r="E79" s="545"/>
      <c r="F79" s="546"/>
      <c r="G79" s="546"/>
      <c r="H79" s="412">
        <f>'1.1.sz.mell. '!C81</f>
        <v>0</v>
      </c>
      <c r="I79" s="864"/>
      <c r="J79" s="863"/>
      <c r="K79" s="863"/>
    </row>
    <row r="80" spans="1:11" s="268" customFormat="1" ht="12" customHeight="1" thickBot="1" x14ac:dyDescent="0.25">
      <c r="A80" s="244" t="s">
        <v>255</v>
      </c>
      <c r="B80" s="390" t="s">
        <v>256</v>
      </c>
      <c r="C80" s="562">
        <f>SUM(C81:C83)</f>
        <v>45672254</v>
      </c>
      <c r="D80" s="555">
        <f>SUM(D81:D83)</f>
        <v>48966750</v>
      </c>
      <c r="E80" s="542">
        <f>SUM(E81:E83)</f>
        <v>0</v>
      </c>
      <c r="F80" s="541">
        <f>SUM(F81:F83)</f>
        <v>0</v>
      </c>
      <c r="G80" s="541">
        <f>SUM(G81:G83)</f>
        <v>0</v>
      </c>
      <c r="H80" s="112">
        <f>'1.1.sz.mell. '!C82</f>
        <v>48966750</v>
      </c>
      <c r="I80" s="267">
        <f>SUM(I81:I83)</f>
        <v>0</v>
      </c>
      <c r="J80" s="112">
        <f>SUM(J81:J83)</f>
        <v>0</v>
      </c>
      <c r="K80" s="112">
        <f>SUM(K81:K83)</f>
        <v>0</v>
      </c>
    </row>
    <row r="81" spans="1:11" s="268" customFormat="1" ht="12" customHeight="1" x14ac:dyDescent="0.2">
      <c r="A81" s="12" t="s">
        <v>277</v>
      </c>
      <c r="B81" s="281" t="s">
        <v>257</v>
      </c>
      <c r="C81" s="1114">
        <v>45672254</v>
      </c>
      <c r="D81" s="1104">
        <v>48966750</v>
      </c>
      <c r="E81" s="545"/>
      <c r="F81" s="546"/>
      <c r="G81" s="546"/>
      <c r="H81" s="410">
        <f>'1.1.sz.mell. '!C83</f>
        <v>48966750</v>
      </c>
      <c r="I81" s="864"/>
      <c r="J81" s="863"/>
      <c r="K81" s="863"/>
    </row>
    <row r="82" spans="1:11" s="268" customFormat="1" ht="12" customHeight="1" x14ac:dyDescent="0.2">
      <c r="A82" s="11" t="s">
        <v>278</v>
      </c>
      <c r="B82" s="282" t="s">
        <v>258</v>
      </c>
      <c r="C82" s="1117"/>
      <c r="D82" s="1108"/>
      <c r="E82" s="545"/>
      <c r="F82" s="546"/>
      <c r="G82" s="546"/>
      <c r="H82" s="411">
        <f>'1.1.sz.mell. '!C84</f>
        <v>0</v>
      </c>
      <c r="I82" s="864"/>
      <c r="J82" s="863"/>
      <c r="K82" s="863"/>
    </row>
    <row r="83" spans="1:11" s="268" customFormat="1" ht="12" customHeight="1" thickBot="1" x14ac:dyDescent="0.25">
      <c r="A83" s="13" t="s">
        <v>279</v>
      </c>
      <c r="B83" s="389" t="s">
        <v>259</v>
      </c>
      <c r="C83" s="1120"/>
      <c r="D83" s="1112"/>
      <c r="E83" s="545"/>
      <c r="F83" s="546"/>
      <c r="G83" s="546"/>
      <c r="H83" s="412">
        <f>'1.1.sz.mell. '!C85</f>
        <v>0</v>
      </c>
      <c r="I83" s="864"/>
      <c r="J83" s="863"/>
      <c r="K83" s="863"/>
    </row>
    <row r="84" spans="1:11" s="268" customFormat="1" ht="12" customHeight="1" thickBot="1" x14ac:dyDescent="0.25">
      <c r="A84" s="244" t="s">
        <v>260</v>
      </c>
      <c r="B84" s="390" t="s">
        <v>280</v>
      </c>
      <c r="C84" s="566">
        <f>SUM(C85:C88)</f>
        <v>0</v>
      </c>
      <c r="D84" s="1113">
        <f>SUM(D85:D88)</f>
        <v>0</v>
      </c>
      <c r="E84" s="542">
        <f>SUM(E85:E88)</f>
        <v>0</v>
      </c>
      <c r="F84" s="541">
        <f>SUM(F85:F88)</f>
        <v>0</v>
      </c>
      <c r="G84" s="541">
        <f>SUM(G85:G88)</f>
        <v>0</v>
      </c>
      <c r="H84" s="112">
        <f>'1.1.sz.mell. '!C86</f>
        <v>0</v>
      </c>
      <c r="I84" s="267">
        <f>SUM(I85:I88)</f>
        <v>0</v>
      </c>
      <c r="J84" s="112">
        <f>SUM(J85:J88)</f>
        <v>0</v>
      </c>
      <c r="K84" s="112">
        <f>SUM(K85:K88)</f>
        <v>0</v>
      </c>
    </row>
    <row r="85" spans="1:11" s="268" customFormat="1" ht="12" customHeight="1" x14ac:dyDescent="0.2">
      <c r="A85" s="188" t="s">
        <v>261</v>
      </c>
      <c r="B85" s="281" t="s">
        <v>262</v>
      </c>
      <c r="C85" s="1118"/>
      <c r="D85" s="1110"/>
      <c r="E85" s="545"/>
      <c r="F85" s="546"/>
      <c r="G85" s="546"/>
      <c r="H85" s="410">
        <f>'1.1.sz.mell. '!C87</f>
        <v>0</v>
      </c>
      <c r="I85" s="864"/>
      <c r="J85" s="863"/>
      <c r="K85" s="863"/>
    </row>
    <row r="86" spans="1:11" s="268" customFormat="1" ht="12" customHeight="1" x14ac:dyDescent="0.2">
      <c r="A86" s="189" t="s">
        <v>263</v>
      </c>
      <c r="B86" s="282" t="s">
        <v>264</v>
      </c>
      <c r="C86" s="1117"/>
      <c r="D86" s="1108"/>
      <c r="E86" s="545"/>
      <c r="F86" s="546"/>
      <c r="G86" s="546"/>
      <c r="H86" s="411">
        <f>'1.1.sz.mell. '!C88</f>
        <v>0</v>
      </c>
      <c r="I86" s="864"/>
      <c r="J86" s="863"/>
      <c r="K86" s="863"/>
    </row>
    <row r="87" spans="1:11" s="268" customFormat="1" ht="12" customHeight="1" x14ac:dyDescent="0.2">
      <c r="A87" s="189" t="s">
        <v>265</v>
      </c>
      <c r="B87" s="282" t="s">
        <v>266</v>
      </c>
      <c r="C87" s="1117"/>
      <c r="D87" s="1108"/>
      <c r="E87" s="545"/>
      <c r="F87" s="546"/>
      <c r="G87" s="546"/>
      <c r="H87" s="411">
        <f>'1.1.sz.mell. '!C89</f>
        <v>0</v>
      </c>
      <c r="I87" s="864"/>
      <c r="J87" s="863"/>
      <c r="K87" s="863"/>
    </row>
    <row r="88" spans="1:11" s="268" customFormat="1" ht="12" customHeight="1" thickBot="1" x14ac:dyDescent="0.25">
      <c r="A88" s="190" t="s">
        <v>267</v>
      </c>
      <c r="B88" s="389" t="s">
        <v>268</v>
      </c>
      <c r="C88" s="1120"/>
      <c r="D88" s="1112"/>
      <c r="E88" s="545"/>
      <c r="F88" s="546"/>
      <c r="G88" s="546"/>
      <c r="H88" s="412">
        <f>'1.1.sz.mell. '!C90</f>
        <v>0</v>
      </c>
      <c r="I88" s="864"/>
      <c r="J88" s="863"/>
      <c r="K88" s="863"/>
    </row>
    <row r="89" spans="1:11" s="268" customFormat="1" ht="12" customHeight="1" thickBot="1" x14ac:dyDescent="0.25">
      <c r="A89" s="244" t="s">
        <v>269</v>
      </c>
      <c r="B89" s="390" t="s">
        <v>401</v>
      </c>
      <c r="C89" s="559"/>
      <c r="D89" s="542"/>
      <c r="E89" s="563"/>
      <c r="F89" s="564"/>
      <c r="G89" s="564"/>
      <c r="H89" s="112">
        <f>'1.1.sz.mell. '!C91</f>
        <v>0</v>
      </c>
      <c r="I89" s="272"/>
      <c r="J89" s="223"/>
      <c r="K89" s="223"/>
    </row>
    <row r="90" spans="1:11" s="268" customFormat="1" ht="12" customHeight="1" thickBot="1" x14ac:dyDescent="0.25">
      <c r="A90" s="244" t="s">
        <v>271</v>
      </c>
      <c r="B90" s="390" t="s">
        <v>270</v>
      </c>
      <c r="C90" s="559"/>
      <c r="D90" s="542"/>
      <c r="E90" s="563"/>
      <c r="F90" s="564"/>
      <c r="G90" s="564"/>
      <c r="H90" s="112">
        <f>'1.1.sz.mell. '!C92</f>
        <v>0</v>
      </c>
      <c r="I90" s="272"/>
      <c r="J90" s="223"/>
      <c r="K90" s="223"/>
    </row>
    <row r="91" spans="1:11" s="268" customFormat="1" ht="12" customHeight="1" thickBot="1" x14ac:dyDescent="0.25">
      <c r="A91" s="244" t="s">
        <v>283</v>
      </c>
      <c r="B91" s="392" t="s">
        <v>402</v>
      </c>
      <c r="C91" s="559">
        <f>C90+C89+C84+C80+C77+C72+C68</f>
        <v>442960626</v>
      </c>
      <c r="D91" s="542">
        <f>D90+D89+D84+D80+D77+D72+D68</f>
        <v>1824493081</v>
      </c>
      <c r="E91" s="555">
        <f>+E68+E72+E77+E80+E84+E90+E89</f>
        <v>433431423</v>
      </c>
      <c r="F91" s="556">
        <f>+F68+F72+F77+F80+F84+F90+F89</f>
        <v>447404</v>
      </c>
      <c r="G91" s="556">
        <f>+G68+G72+G77+G80+G84+G90+G89</f>
        <v>3220588</v>
      </c>
      <c r="H91" s="112">
        <f>'1.1.sz.mell. '!C93</f>
        <v>1941011918</v>
      </c>
      <c r="I91" s="270">
        <f>+I68+I72+I77+I80+I84+I90+I89</f>
        <v>515852575</v>
      </c>
      <c r="J91" s="117">
        <f>+J68+J72+J77+J80+J84+J90+J89</f>
        <v>829764</v>
      </c>
      <c r="K91" s="117">
        <f>+K68+K72+K77+K80+K84+K90+K89</f>
        <v>17254367</v>
      </c>
    </row>
    <row r="92" spans="1:11" s="268" customFormat="1" ht="12" customHeight="1" thickBot="1" x14ac:dyDescent="0.25">
      <c r="A92" s="246" t="s">
        <v>403</v>
      </c>
      <c r="B92" s="393" t="s">
        <v>404</v>
      </c>
      <c r="C92" s="559">
        <f>C91+C67</f>
        <v>3788176164</v>
      </c>
      <c r="D92" s="542">
        <f>D91+D67</f>
        <v>4385599509</v>
      </c>
      <c r="E92" s="555">
        <f>+E67+E91</f>
        <v>1824871137</v>
      </c>
      <c r="F92" s="556">
        <f>+F67+F91</f>
        <v>9863904</v>
      </c>
      <c r="G92" s="556">
        <f>+G67+G91</f>
        <v>393971766</v>
      </c>
      <c r="H92" s="112">
        <f>'1.1.sz.mell. '!C94</f>
        <v>6872782319</v>
      </c>
      <c r="I92" s="270">
        <f>+I67+I91</f>
        <v>2831811542</v>
      </c>
      <c r="J92" s="117">
        <f>+J67+J91</f>
        <v>9280592</v>
      </c>
      <c r="K92" s="117">
        <f>+K67+K91</f>
        <v>306161282</v>
      </c>
    </row>
    <row r="93" spans="1:11" s="268" customFormat="1" ht="12" customHeight="1" thickBot="1" x14ac:dyDescent="0.25">
      <c r="A93" s="1435" t="s">
        <v>44</v>
      </c>
      <c r="B93" s="1435"/>
      <c r="C93" s="1435"/>
      <c r="D93" s="1435"/>
      <c r="E93" s="1435"/>
      <c r="F93" s="1435"/>
      <c r="G93" s="1435"/>
      <c r="H93" s="1435"/>
    </row>
    <row r="94" spans="1:11" s="268" customFormat="1" ht="36.75" customHeight="1" thickBot="1" x14ac:dyDescent="0.25">
      <c r="A94" s="20" t="s">
        <v>14</v>
      </c>
      <c r="B94" s="405" t="s">
        <v>45</v>
      </c>
      <c r="C94" s="1067" t="str">
        <f t="shared" ref="C94:H94" si="0">C6</f>
        <v>2019. évi tény</v>
      </c>
      <c r="D94" s="1067" t="str">
        <f t="shared" si="0"/>
        <v>2020. évi várható adat</v>
      </c>
      <c r="E94" s="1067">
        <f t="shared" si="0"/>
        <v>0</v>
      </c>
      <c r="F94" s="1067">
        <f t="shared" si="0"/>
        <v>0</v>
      </c>
      <c r="G94" s="1067">
        <f t="shared" si="0"/>
        <v>0</v>
      </c>
      <c r="H94" s="1067" t="str">
        <f t="shared" si="0"/>
        <v>2021. évi előirányzat</v>
      </c>
    </row>
    <row r="95" spans="1:11" s="268" customFormat="1" ht="12" customHeight="1" thickBot="1" x14ac:dyDescent="0.25">
      <c r="A95" s="25" t="s">
        <v>391</v>
      </c>
      <c r="B95" s="291" t="s">
        <v>392</v>
      </c>
      <c r="C95" s="559" t="s">
        <v>393</v>
      </c>
      <c r="D95" s="565" t="s">
        <v>443</v>
      </c>
      <c r="E95" s="539"/>
      <c r="F95" s="539"/>
      <c r="G95" s="539"/>
      <c r="H95" s="540" t="s">
        <v>444</v>
      </c>
    </row>
    <row r="96" spans="1:11" s="268" customFormat="1" ht="15" customHeight="1" thickBot="1" x14ac:dyDescent="0.25">
      <c r="A96" s="19" t="s">
        <v>16</v>
      </c>
      <c r="B96" s="394" t="s">
        <v>442</v>
      </c>
      <c r="C96" s="1065">
        <f>SUM(C97:C101,C114)</f>
        <v>2286219244</v>
      </c>
      <c r="D96" s="1065">
        <f>SUM(D97:D101,D114)</f>
        <v>2234422838</v>
      </c>
      <c r="E96" s="1074"/>
      <c r="F96" s="1076"/>
      <c r="G96" s="1065"/>
      <c r="H96" s="1083">
        <f>'1.1.sz.mell. '!C99</f>
        <v>3051402886</v>
      </c>
      <c r="I96" s="275">
        <f>+I97+I98+I99+I100+I101+I114</f>
        <v>729611526</v>
      </c>
      <c r="J96" s="111">
        <f>+J97+J98+J99+J100+J101+J114</f>
        <v>223670940</v>
      </c>
      <c r="K96" s="280">
        <f>K97+K98+K99+K100+K101+K114</f>
        <v>1606947760</v>
      </c>
    </row>
    <row r="97" spans="1:11" s="268" customFormat="1" ht="12.95" customHeight="1" x14ac:dyDescent="0.2">
      <c r="A97" s="14" t="s">
        <v>86</v>
      </c>
      <c r="B97" s="395" t="s">
        <v>46</v>
      </c>
      <c r="C97" s="1121">
        <v>1036807081</v>
      </c>
      <c r="D97" s="1068">
        <v>1107374684</v>
      </c>
      <c r="E97" s="1080"/>
      <c r="F97" s="1084"/>
      <c r="G97" s="1084"/>
      <c r="H97" s="1092">
        <f>'1.1.sz.mell. '!C100</f>
        <v>1262842511</v>
      </c>
      <c r="I97" s="867">
        <f>23173251+2787126+1407675+14384916+61829+2528076+5742073</f>
        <v>50084946</v>
      </c>
      <c r="J97" s="261">
        <f>147375885+935085+4069918</f>
        <v>152380888</v>
      </c>
      <c r="K97" s="261">
        <f>60512486+64039486+48091292+208655734+471445483</f>
        <v>852744481</v>
      </c>
    </row>
    <row r="98" spans="1:11" ht="16.5" customHeight="1" x14ac:dyDescent="0.25">
      <c r="A98" s="11" t="s">
        <v>87</v>
      </c>
      <c r="B98" s="396" t="s">
        <v>135</v>
      </c>
      <c r="C98" s="1122">
        <v>207856870</v>
      </c>
      <c r="D98" s="1090">
        <v>200144461</v>
      </c>
      <c r="E98" s="1085"/>
      <c r="F98" s="1091"/>
      <c r="G98" s="1091"/>
      <c r="H98" s="1092">
        <f>'1.1.sz.mell. '!C101</f>
        <v>213754567</v>
      </c>
      <c r="I98" s="864">
        <f>4364055+1409889+7817+2684650+14227+10944+444000+1007723</f>
        <v>9943305</v>
      </c>
      <c r="J98" s="863">
        <f>30406649+133681+815187</f>
        <v>31355517</v>
      </c>
      <c r="K98" s="863">
        <f>13261042+12834203+9499320+44850807+98130166</f>
        <v>178575538</v>
      </c>
    </row>
    <row r="99" spans="1:11" x14ac:dyDescent="0.25">
      <c r="A99" s="11" t="s">
        <v>88</v>
      </c>
      <c r="B99" s="396" t="s">
        <v>111</v>
      </c>
      <c r="C99" s="1122">
        <v>803850676</v>
      </c>
      <c r="D99" s="1090">
        <v>742294097</v>
      </c>
      <c r="E99" s="1088"/>
      <c r="F99" s="1066"/>
      <c r="G99" s="1091"/>
      <c r="H99" s="1092">
        <f>'1.1.sz.mell. '!C102</f>
        <v>1183379085</v>
      </c>
      <c r="I99" s="865">
        <f>415496+34588831+4192823+96000+889000+13277327+313996+3082677+698500+16688593+835000+27068590+825500+43854655+45600000+4500000+20525292+45669+157480+54851+3760587+437750+7125983+1438017+300000+49047304+2354100+10000+4070204+259082+8850000</f>
        <v>295363307</v>
      </c>
      <c r="J99" s="173">
        <f>38780508+150000+369027+635000</f>
        <v>39934535</v>
      </c>
      <c r="K99" s="863">
        <f>229985778+15749737+50789082+80145873+198957271</f>
        <v>575627741</v>
      </c>
    </row>
    <row r="100" spans="1:11" s="266" customFormat="1" ht="12" customHeight="1" x14ac:dyDescent="0.2">
      <c r="A100" s="11" t="s">
        <v>89</v>
      </c>
      <c r="B100" s="399" t="s">
        <v>136</v>
      </c>
      <c r="C100" s="1122">
        <v>47275053</v>
      </c>
      <c r="D100" s="1090">
        <v>46911174</v>
      </c>
      <c r="E100" s="1088"/>
      <c r="F100" s="1066"/>
      <c r="G100" s="1066"/>
      <c r="H100" s="1092">
        <f>'1.1.sz.mell. '!C103</f>
        <v>53500000</v>
      </c>
      <c r="I100" s="865">
        <f>24250000+48100000+3500000</f>
        <v>75850000</v>
      </c>
      <c r="J100" s="173"/>
      <c r="K100" s="173"/>
    </row>
    <row r="101" spans="1:11" ht="12" customHeight="1" x14ac:dyDescent="0.25">
      <c r="A101" s="11" t="s">
        <v>100</v>
      </c>
      <c r="B101" s="16" t="s">
        <v>137</v>
      </c>
      <c r="C101" s="1061">
        <f>SUM(C102:C113)</f>
        <v>190429564</v>
      </c>
      <c r="D101" s="1061">
        <f>SUM(D102:D113)</f>
        <v>137698422</v>
      </c>
      <c r="E101" s="1061">
        <f>SUM(E102:E113)</f>
        <v>0</v>
      </c>
      <c r="F101" s="1061">
        <f>SUM(F102:F113)</f>
        <v>0</v>
      </c>
      <c r="G101" s="1061">
        <f>SUM(G102:G113)</f>
        <v>0</v>
      </c>
      <c r="H101" s="1061">
        <f>'1.1.sz.mell. '!C104</f>
        <v>252838130</v>
      </c>
      <c r="I101" s="865">
        <f>SUM(I102:I113)</f>
        <v>219979003</v>
      </c>
      <c r="J101" s="865">
        <f>SUM(J102:J113)</f>
        <v>0</v>
      </c>
      <c r="K101" s="173"/>
    </row>
    <row r="102" spans="1:11" ht="12" customHeight="1" x14ac:dyDescent="0.25">
      <c r="A102" s="11" t="s">
        <v>90</v>
      </c>
      <c r="B102" s="396" t="s">
        <v>405</v>
      </c>
      <c r="C102" s="1122">
        <v>9463052</v>
      </c>
      <c r="D102" s="1090">
        <v>792176</v>
      </c>
      <c r="E102" s="1088"/>
      <c r="F102" s="1066"/>
      <c r="G102" s="1066"/>
      <c r="H102" s="1092">
        <f>'1.1.sz.mell. '!C105</f>
        <v>17242997</v>
      </c>
      <c r="I102" s="865">
        <v>100000</v>
      </c>
      <c r="J102" s="173"/>
      <c r="K102" s="173"/>
    </row>
    <row r="103" spans="1:11" ht="12" customHeight="1" x14ac:dyDescent="0.25">
      <c r="A103" s="11" t="s">
        <v>91</v>
      </c>
      <c r="B103" s="398" t="s">
        <v>406</v>
      </c>
      <c r="C103" s="1122"/>
      <c r="D103" s="1090"/>
      <c r="E103" s="1088"/>
      <c r="F103" s="1066"/>
      <c r="G103" s="1066"/>
      <c r="H103" s="1092">
        <f>'1.1.sz.mell. '!C106</f>
        <v>0</v>
      </c>
      <c r="I103" s="865"/>
      <c r="J103" s="173"/>
      <c r="K103" s="173"/>
    </row>
    <row r="104" spans="1:11" ht="12" customHeight="1" x14ac:dyDescent="0.25">
      <c r="A104" s="11" t="s">
        <v>101</v>
      </c>
      <c r="B104" s="398" t="s">
        <v>407</v>
      </c>
      <c r="C104" s="1122"/>
      <c r="D104" s="1090"/>
      <c r="E104" s="1088"/>
      <c r="F104" s="1066"/>
      <c r="G104" s="1066"/>
      <c r="H104" s="1092">
        <f>'1.1.sz.mell. '!C107</f>
        <v>24566831</v>
      </c>
      <c r="I104" s="865"/>
      <c r="J104" s="173"/>
      <c r="K104" s="173"/>
    </row>
    <row r="105" spans="1:11" ht="12" customHeight="1" x14ac:dyDescent="0.25">
      <c r="A105" s="11" t="s">
        <v>102</v>
      </c>
      <c r="B105" s="407" t="s">
        <v>286</v>
      </c>
      <c r="C105" s="1122"/>
      <c r="D105" s="1090"/>
      <c r="E105" s="1088"/>
      <c r="F105" s="1066"/>
      <c r="G105" s="1066"/>
      <c r="H105" s="1092">
        <f>'1.1.sz.mell. '!C108</f>
        <v>0</v>
      </c>
      <c r="I105" s="865"/>
      <c r="J105" s="173"/>
      <c r="K105" s="173"/>
    </row>
    <row r="106" spans="1:11" ht="12" customHeight="1" x14ac:dyDescent="0.25">
      <c r="A106" s="11" t="s">
        <v>103</v>
      </c>
      <c r="B106" s="404" t="s">
        <v>287</v>
      </c>
      <c r="C106" s="1122"/>
      <c r="D106" s="1090"/>
      <c r="E106" s="1088"/>
      <c r="F106" s="1066"/>
      <c r="G106" s="1066"/>
      <c r="H106" s="1092">
        <f>'1.1.sz.mell. '!C109</f>
        <v>0</v>
      </c>
      <c r="I106" s="865"/>
      <c r="J106" s="173"/>
      <c r="K106" s="173"/>
    </row>
    <row r="107" spans="1:11" ht="12" customHeight="1" x14ac:dyDescent="0.25">
      <c r="A107" s="11" t="s">
        <v>104</v>
      </c>
      <c r="B107" s="404" t="s">
        <v>288</v>
      </c>
      <c r="C107" s="1122"/>
      <c r="D107" s="1090"/>
      <c r="E107" s="1088"/>
      <c r="F107" s="1066"/>
      <c r="G107" s="1066"/>
      <c r="H107" s="1092">
        <f>'1.1.sz.mell. '!C110</f>
        <v>0</v>
      </c>
      <c r="I107" s="865"/>
      <c r="J107" s="173"/>
      <c r="K107" s="173"/>
    </row>
    <row r="108" spans="1:11" ht="12" customHeight="1" x14ac:dyDescent="0.25">
      <c r="A108" s="11" t="s">
        <v>106</v>
      </c>
      <c r="B108" s="407" t="s">
        <v>289</v>
      </c>
      <c r="C108" s="1122">
        <v>4012934</v>
      </c>
      <c r="D108" s="1090">
        <v>1352500</v>
      </c>
      <c r="E108" s="1088"/>
      <c r="F108" s="1066"/>
      <c r="G108" s="1066"/>
      <c r="H108" s="1092">
        <f>'1.1.sz.mell. '!C111</f>
        <v>672323</v>
      </c>
      <c r="I108" s="865">
        <f>523000</f>
        <v>523000</v>
      </c>
      <c r="J108" s="173"/>
      <c r="K108" s="173"/>
    </row>
    <row r="109" spans="1:11" ht="12" customHeight="1" x14ac:dyDescent="0.25">
      <c r="A109" s="11" t="s">
        <v>138</v>
      </c>
      <c r="B109" s="407" t="s">
        <v>290</v>
      </c>
      <c r="C109" s="1122"/>
      <c r="D109" s="1090"/>
      <c r="E109" s="1088"/>
      <c r="F109" s="1066"/>
      <c r="G109" s="1066"/>
      <c r="H109" s="1092">
        <f>'1.1.sz.mell. '!C112</f>
        <v>0</v>
      </c>
      <c r="I109" s="865"/>
      <c r="J109" s="173"/>
      <c r="K109" s="173"/>
    </row>
    <row r="110" spans="1:11" ht="12" customHeight="1" x14ac:dyDescent="0.25">
      <c r="A110" s="11" t="s">
        <v>284</v>
      </c>
      <c r="B110" s="404" t="s">
        <v>291</v>
      </c>
      <c r="C110" s="1122">
        <v>15400000</v>
      </c>
      <c r="D110" s="1090"/>
      <c r="E110" s="1088"/>
      <c r="F110" s="1066"/>
      <c r="G110" s="1066"/>
      <c r="H110" s="1092">
        <f>'1.1.sz.mell. '!C113</f>
        <v>0</v>
      </c>
      <c r="I110" s="865"/>
      <c r="J110" s="173"/>
      <c r="K110" s="173"/>
    </row>
    <row r="111" spans="1:11" ht="12" customHeight="1" x14ac:dyDescent="0.25">
      <c r="A111" s="10" t="s">
        <v>285</v>
      </c>
      <c r="B111" s="398" t="s">
        <v>292</v>
      </c>
      <c r="C111" s="1122"/>
      <c r="D111" s="1090"/>
      <c r="E111" s="1088"/>
      <c r="F111" s="1066"/>
      <c r="G111" s="1066"/>
      <c r="H111" s="1092">
        <f>'1.1.sz.mell. '!C114</f>
        <v>0</v>
      </c>
      <c r="I111" s="865"/>
      <c r="J111" s="173"/>
      <c r="K111" s="173"/>
    </row>
    <row r="112" spans="1:11" ht="12" customHeight="1" x14ac:dyDescent="0.25">
      <c r="A112" s="11" t="s">
        <v>408</v>
      </c>
      <c r="B112" s="398" t="s">
        <v>293</v>
      </c>
      <c r="C112" s="1122"/>
      <c r="D112" s="1090"/>
      <c r="E112" s="1088"/>
      <c r="F112" s="1066"/>
      <c r="G112" s="1066"/>
      <c r="H112" s="1092">
        <f>'1.1.sz.mell. '!C115</f>
        <v>0</v>
      </c>
      <c r="I112" s="865"/>
      <c r="J112" s="173"/>
      <c r="K112" s="173"/>
    </row>
    <row r="113" spans="1:11" ht="12" customHeight="1" x14ac:dyDescent="0.25">
      <c r="A113" s="13" t="s">
        <v>409</v>
      </c>
      <c r="B113" s="398" t="s">
        <v>294</v>
      </c>
      <c r="C113" s="1122">
        <v>161553578</v>
      </c>
      <c r="D113" s="1090">
        <v>135553746</v>
      </c>
      <c r="E113" s="1085"/>
      <c r="F113" s="1091"/>
      <c r="G113" s="1066"/>
      <c r="H113" s="1092">
        <f>'1.1.sz.mell. '!C116</f>
        <v>210355979</v>
      </c>
      <c r="I113" s="864">
        <f>1000000+47869145+6604733+15489215+46984511+23326783+69312000+7332000+1437616</f>
        <v>219356003</v>
      </c>
      <c r="J113" s="863"/>
      <c r="K113" s="173"/>
    </row>
    <row r="114" spans="1:11" ht="12" customHeight="1" x14ac:dyDescent="0.25">
      <c r="A114" s="11" t="s">
        <v>410</v>
      </c>
      <c r="B114" s="399" t="s">
        <v>47</v>
      </c>
      <c r="C114" s="1122"/>
      <c r="D114" s="1090"/>
      <c r="E114" s="1085"/>
      <c r="F114" s="1091"/>
      <c r="G114" s="1091"/>
      <c r="H114" s="1092">
        <f>'1.1.sz.mell. '!C117</f>
        <v>85088593</v>
      </c>
      <c r="I114" s="864">
        <f>SUM(I115:I116)</f>
        <v>78390965</v>
      </c>
      <c r="J114" s="864">
        <f>SUM(J115:J116)</f>
        <v>0</v>
      </c>
      <c r="K114" s="863"/>
    </row>
    <row r="115" spans="1:11" ht="12" customHeight="1" x14ac:dyDescent="0.25">
      <c r="A115" s="11" t="s">
        <v>411</v>
      </c>
      <c r="B115" s="396" t="s">
        <v>412</v>
      </c>
      <c r="C115" s="1122"/>
      <c r="D115" s="1090"/>
      <c r="E115" s="1088"/>
      <c r="F115" s="1066"/>
      <c r="G115" s="1091"/>
      <c r="H115" s="1092">
        <f>'1.1.sz.mell. '!C118</f>
        <v>4244765</v>
      </c>
      <c r="I115" s="865">
        <v>15000000</v>
      </c>
      <c r="J115" s="173"/>
      <c r="K115" s="863"/>
    </row>
    <row r="116" spans="1:11" ht="12" customHeight="1" thickBot="1" x14ac:dyDescent="0.3">
      <c r="A116" s="15" t="s">
        <v>413</v>
      </c>
      <c r="B116" s="400" t="s">
        <v>414</v>
      </c>
      <c r="C116" s="1123"/>
      <c r="D116" s="1082"/>
      <c r="E116" s="1069"/>
      <c r="F116" s="1087"/>
      <c r="G116" s="1087"/>
      <c r="H116" s="1092">
        <f>'1.1.sz.mell. '!C119</f>
        <v>80843828</v>
      </c>
      <c r="I116" s="286">
        <f>63390965</f>
        <v>63390965</v>
      </c>
      <c r="J116" s="265"/>
      <c r="K116" s="265"/>
    </row>
    <row r="117" spans="1:11" ht="12" customHeight="1" thickBot="1" x14ac:dyDescent="0.3">
      <c r="A117" s="248" t="s">
        <v>17</v>
      </c>
      <c r="B117" s="375" t="s">
        <v>295</v>
      </c>
      <c r="C117" s="1065">
        <f>C118+C120+C122</f>
        <v>478464804</v>
      </c>
      <c r="D117" s="1065">
        <f>D118+D120+D122</f>
        <v>401828104</v>
      </c>
      <c r="E117" s="1063"/>
      <c r="F117" s="1070"/>
      <c r="G117" s="1089"/>
      <c r="H117" s="1086">
        <f>'1.1.sz.mell. '!C120</f>
        <v>2897418936</v>
      </c>
      <c r="I117" s="267">
        <f>+I118+I120+I122</f>
        <v>404630354</v>
      </c>
      <c r="J117" s="112">
        <f>+J118+J120+J122</f>
        <v>3585917</v>
      </c>
      <c r="K117" s="250">
        <f>+K118+K120+K122</f>
        <v>19950087</v>
      </c>
    </row>
    <row r="118" spans="1:11" ht="12" customHeight="1" x14ac:dyDescent="0.25">
      <c r="A118" s="12" t="s">
        <v>92</v>
      </c>
      <c r="B118" s="396" t="s">
        <v>159</v>
      </c>
      <c r="C118" s="1124">
        <v>211704361</v>
      </c>
      <c r="D118" s="1068">
        <v>223119190</v>
      </c>
      <c r="E118" s="1064"/>
      <c r="F118" s="1077"/>
      <c r="G118" s="1077"/>
      <c r="H118" s="1092">
        <f>'1.1.sz.mell. '!C121</f>
        <v>954373578</v>
      </c>
      <c r="I118" s="866">
        <f>229989520+300000+13809000+835610+12076323+1270000+359410+4508500+2505001+5000+6704583</f>
        <v>272362947</v>
      </c>
      <c r="J118" s="222">
        <f>3355917+230000</f>
        <v>3585917</v>
      </c>
      <c r="K118" s="222">
        <f>506050+641350+1986214+1926590+13924683</f>
        <v>18984887</v>
      </c>
    </row>
    <row r="119" spans="1:11" x14ac:dyDescent="0.25">
      <c r="A119" s="12" t="s">
        <v>93</v>
      </c>
      <c r="B119" s="397" t="s">
        <v>299</v>
      </c>
      <c r="C119" s="1122"/>
      <c r="D119" s="1090"/>
      <c r="E119" s="1064"/>
      <c r="F119" s="1077"/>
      <c r="G119" s="1077"/>
      <c r="H119" s="1092">
        <f>'1.1.sz.mell. '!C122</f>
        <v>259141516</v>
      </c>
      <c r="I119" s="866">
        <f>156693000+42191010+12076323+6704583</f>
        <v>217664916</v>
      </c>
      <c r="J119" s="222"/>
      <c r="K119" s="222">
        <v>717651</v>
      </c>
    </row>
    <row r="120" spans="1:11" ht="12" customHeight="1" x14ac:dyDescent="0.25">
      <c r="A120" s="12" t="s">
        <v>94</v>
      </c>
      <c r="B120" s="397" t="s">
        <v>139</v>
      </c>
      <c r="C120" s="1122">
        <v>259516521</v>
      </c>
      <c r="D120" s="1090">
        <v>174642005</v>
      </c>
      <c r="E120" s="1085"/>
      <c r="F120" s="1091"/>
      <c r="G120" s="1091"/>
      <c r="H120" s="1092">
        <f>'1.1.sz.mell. '!C123</f>
        <v>1937133552</v>
      </c>
      <c r="I120" s="864">
        <f>9517731+51474577+42450993+1905000</f>
        <v>105348301</v>
      </c>
      <c r="J120" s="863"/>
      <c r="K120" s="863">
        <v>965200</v>
      </c>
    </row>
    <row r="121" spans="1:11" ht="12" customHeight="1" x14ac:dyDescent="0.25">
      <c r="A121" s="12" t="s">
        <v>95</v>
      </c>
      <c r="B121" s="397" t="s">
        <v>300</v>
      </c>
      <c r="C121" s="1122"/>
      <c r="D121" s="1090"/>
      <c r="E121" s="1085"/>
      <c r="F121" s="1075"/>
      <c r="G121" s="1085"/>
      <c r="H121" s="1092">
        <f>'1.1.sz.mell. '!C124</f>
        <v>390701940</v>
      </c>
      <c r="I121" s="864">
        <f>28614577+42450993-1206500</f>
        <v>69859070</v>
      </c>
      <c r="J121" s="508"/>
      <c r="K121" s="864"/>
    </row>
    <row r="122" spans="1:11" ht="12" customHeight="1" x14ac:dyDescent="0.25">
      <c r="A122" s="12" t="s">
        <v>96</v>
      </c>
      <c r="B122" s="389" t="s">
        <v>161</v>
      </c>
      <c r="C122" s="1122">
        <f>SUM(C123:C130)</f>
        <v>7243922</v>
      </c>
      <c r="D122" s="1122">
        <f>SUM(D123:D130)</f>
        <v>4066909</v>
      </c>
      <c r="E122" s="1085"/>
      <c r="F122" s="1085"/>
      <c r="G122" s="1085"/>
      <c r="H122" s="1092">
        <f>'1.1.sz.mell. '!C125</f>
        <v>5911806</v>
      </c>
      <c r="I122" s="864">
        <f>SUM(I123:I130)</f>
        <v>26919106</v>
      </c>
      <c r="J122" s="864">
        <f>SUM(J123:J130)</f>
        <v>0</v>
      </c>
      <c r="K122" s="864"/>
    </row>
    <row r="123" spans="1:11" ht="12" customHeight="1" x14ac:dyDescent="0.25">
      <c r="A123" s="12" t="s">
        <v>105</v>
      </c>
      <c r="B123" s="388" t="s">
        <v>360</v>
      </c>
      <c r="C123" s="1122"/>
      <c r="D123" s="1090"/>
      <c r="E123" s="1071"/>
      <c r="F123" s="1071"/>
      <c r="G123" s="1085"/>
      <c r="H123" s="1092">
        <f>'1.1.sz.mell. '!C126</f>
        <v>0</v>
      </c>
      <c r="I123" s="101"/>
      <c r="J123" s="101"/>
      <c r="K123" s="864"/>
    </row>
    <row r="124" spans="1:11" ht="12" customHeight="1" x14ac:dyDescent="0.25">
      <c r="A124" s="12" t="s">
        <v>107</v>
      </c>
      <c r="B124" s="403" t="s">
        <v>305</v>
      </c>
      <c r="C124" s="1122"/>
      <c r="D124" s="1090"/>
      <c r="E124" s="1071"/>
      <c r="F124" s="1071"/>
      <c r="G124" s="1085"/>
      <c r="H124" s="1092">
        <f>'1.1.sz.mell. '!C127</f>
        <v>0</v>
      </c>
      <c r="I124" s="101"/>
      <c r="J124" s="101"/>
      <c r="K124" s="864"/>
    </row>
    <row r="125" spans="1:11" ht="12" customHeight="1" x14ac:dyDescent="0.25">
      <c r="A125" s="12" t="s">
        <v>140</v>
      </c>
      <c r="B125" s="404" t="s">
        <v>288</v>
      </c>
      <c r="C125" s="1122"/>
      <c r="D125" s="1090"/>
      <c r="E125" s="1071"/>
      <c r="F125" s="1071"/>
      <c r="G125" s="1085"/>
      <c r="H125" s="1092">
        <f>'1.1.sz.mell. '!C128</f>
        <v>0</v>
      </c>
      <c r="I125" s="101"/>
      <c r="J125" s="101"/>
      <c r="K125" s="864"/>
    </row>
    <row r="126" spans="1:11" ht="12" customHeight="1" x14ac:dyDescent="0.25">
      <c r="A126" s="12" t="s">
        <v>141</v>
      </c>
      <c r="B126" s="404" t="s">
        <v>304</v>
      </c>
      <c r="C126" s="1122">
        <v>308980</v>
      </c>
      <c r="D126" s="1090"/>
      <c r="E126" s="1071"/>
      <c r="F126" s="1071"/>
      <c r="G126" s="1085"/>
      <c r="H126" s="1092">
        <f>'1.1.sz.mell. '!C129</f>
        <v>0</v>
      </c>
      <c r="I126" s="101"/>
      <c r="J126" s="101"/>
      <c r="K126" s="864"/>
    </row>
    <row r="127" spans="1:11" ht="12" customHeight="1" x14ac:dyDescent="0.25">
      <c r="A127" s="12" t="s">
        <v>142</v>
      </c>
      <c r="B127" s="404" t="s">
        <v>303</v>
      </c>
      <c r="C127" s="1122"/>
      <c r="D127" s="1090"/>
      <c r="E127" s="1071"/>
      <c r="F127" s="1071"/>
      <c r="G127" s="1085"/>
      <c r="H127" s="1092">
        <f>'1.1.sz.mell. '!C130</f>
        <v>0</v>
      </c>
      <c r="I127" s="101"/>
      <c r="J127" s="101"/>
      <c r="K127" s="864"/>
    </row>
    <row r="128" spans="1:11" ht="12" customHeight="1" x14ac:dyDescent="0.25">
      <c r="A128" s="12" t="s">
        <v>296</v>
      </c>
      <c r="B128" s="404" t="s">
        <v>291</v>
      </c>
      <c r="C128" s="1122"/>
      <c r="D128" s="1090"/>
      <c r="E128" s="1071"/>
      <c r="F128" s="1071"/>
      <c r="G128" s="1085"/>
      <c r="H128" s="1092">
        <f>'1.1.sz.mell. '!C131</f>
        <v>0</v>
      </c>
      <c r="I128" s="101"/>
      <c r="J128" s="101"/>
      <c r="K128" s="864"/>
    </row>
    <row r="129" spans="1:11" ht="12" customHeight="1" x14ac:dyDescent="0.25">
      <c r="A129" s="12" t="s">
        <v>297</v>
      </c>
      <c r="B129" s="404" t="s">
        <v>302</v>
      </c>
      <c r="C129" s="1122"/>
      <c r="D129" s="1090"/>
      <c r="E129" s="1071"/>
      <c r="F129" s="1071"/>
      <c r="G129" s="1085"/>
      <c r="H129" s="1092">
        <f>'1.1.sz.mell. '!C132</f>
        <v>0</v>
      </c>
      <c r="I129" s="101"/>
      <c r="J129" s="101"/>
      <c r="K129" s="864"/>
    </row>
    <row r="130" spans="1:11" ht="12" customHeight="1" thickBot="1" x14ac:dyDescent="0.3">
      <c r="A130" s="10" t="s">
        <v>298</v>
      </c>
      <c r="B130" s="404" t="s">
        <v>301</v>
      </c>
      <c r="C130" s="1123">
        <v>6934942</v>
      </c>
      <c r="D130" s="1082">
        <v>4066909</v>
      </c>
      <c r="E130" s="1088"/>
      <c r="F130" s="1088"/>
      <c r="G130" s="1088"/>
      <c r="H130" s="1092">
        <f>'1.1.sz.mell. '!C133</f>
        <v>5911806</v>
      </c>
      <c r="I130" s="865">
        <f>650000+26269106</f>
        <v>26919106</v>
      </c>
      <c r="J130" s="865"/>
      <c r="K130" s="865"/>
    </row>
    <row r="131" spans="1:11" ht="12" customHeight="1" thickBot="1" x14ac:dyDescent="0.3">
      <c r="A131" s="17" t="s">
        <v>18</v>
      </c>
      <c r="B131" s="376" t="s">
        <v>415</v>
      </c>
      <c r="C131" s="1065">
        <f>C117+C96</f>
        <v>2764684048</v>
      </c>
      <c r="D131" s="1065">
        <f>D117+D96</f>
        <v>2636250942</v>
      </c>
      <c r="E131" s="1063"/>
      <c r="F131" s="1070"/>
      <c r="G131" s="1070"/>
      <c r="H131" s="1086">
        <f>'1.1.sz.mell. '!C134</f>
        <v>5948821822</v>
      </c>
      <c r="I131" s="267">
        <f>+I96+I117</f>
        <v>1134241880</v>
      </c>
      <c r="J131" s="112">
        <f>+J96+J117</f>
        <v>227256857</v>
      </c>
      <c r="K131" s="112">
        <f>+K96+K117</f>
        <v>1626897847</v>
      </c>
    </row>
    <row r="132" spans="1:11" ht="12" customHeight="1" thickBot="1" x14ac:dyDescent="0.3">
      <c r="A132" s="17" t="s">
        <v>19</v>
      </c>
      <c r="B132" s="376" t="s">
        <v>416</v>
      </c>
      <c r="C132" s="1065">
        <f>SUM(C133:C135)</f>
        <v>16952500</v>
      </c>
      <c r="D132" s="1065">
        <f>SUM(D133:D135)</f>
        <v>847193674</v>
      </c>
      <c r="E132" s="1063"/>
      <c r="F132" s="1070"/>
      <c r="G132" s="1070"/>
      <c r="H132" s="1086">
        <f>'1.1.sz.mell. '!C135</f>
        <v>874993747</v>
      </c>
      <c r="I132" s="267">
        <f>+I133+I134+I135</f>
        <v>116952500</v>
      </c>
      <c r="J132" s="112">
        <f>+J133+J134+J135</f>
        <v>0</v>
      </c>
      <c r="K132" s="112">
        <f>+K133+K134+K135</f>
        <v>0</v>
      </c>
    </row>
    <row r="133" spans="1:11" ht="12" customHeight="1" x14ac:dyDescent="0.25">
      <c r="A133" s="12" t="s">
        <v>197</v>
      </c>
      <c r="B133" s="397" t="s">
        <v>417</v>
      </c>
      <c r="C133" s="1125">
        <v>16952500</v>
      </c>
      <c r="D133" s="1072">
        <v>26038434</v>
      </c>
      <c r="E133" s="1085"/>
      <c r="F133" s="1085"/>
      <c r="G133" s="1085"/>
      <c r="H133" s="1092">
        <f>'1.1.sz.mell. '!C136</f>
        <v>24993747</v>
      </c>
      <c r="I133" s="864">
        <f>11674500+5278000</f>
        <v>16952500</v>
      </c>
      <c r="J133" s="864"/>
      <c r="K133" s="864"/>
    </row>
    <row r="134" spans="1:11" ht="12" customHeight="1" x14ac:dyDescent="0.25">
      <c r="A134" s="12" t="s">
        <v>200</v>
      </c>
      <c r="B134" s="397" t="s">
        <v>418</v>
      </c>
      <c r="C134" s="1126"/>
      <c r="D134" s="1073">
        <v>821155240</v>
      </c>
      <c r="E134" s="1071"/>
      <c r="F134" s="1071"/>
      <c r="G134" s="1071"/>
      <c r="H134" s="1092">
        <f>'1.1.sz.mell. '!C137</f>
        <v>850000000</v>
      </c>
      <c r="I134" s="101">
        <v>100000000</v>
      </c>
      <c r="J134" s="101"/>
      <c r="K134" s="101"/>
    </row>
    <row r="135" spans="1:11" ht="12" customHeight="1" thickBot="1" x14ac:dyDescent="0.3">
      <c r="A135" s="10" t="s">
        <v>201</v>
      </c>
      <c r="B135" s="397" t="s">
        <v>419</v>
      </c>
      <c r="C135" s="1127"/>
      <c r="D135" s="1060"/>
      <c r="E135" s="1071"/>
      <c r="F135" s="1071"/>
      <c r="G135" s="1071"/>
      <c r="H135" s="1062">
        <f>'1.1.sz.mell. '!C138</f>
        <v>0</v>
      </c>
      <c r="I135" s="101"/>
      <c r="J135" s="101"/>
      <c r="K135" s="101"/>
    </row>
    <row r="136" spans="1:11" ht="12" customHeight="1" thickBot="1" x14ac:dyDescent="0.3">
      <c r="A136" s="17" t="s">
        <v>20</v>
      </c>
      <c r="B136" s="376" t="s">
        <v>420</v>
      </c>
      <c r="C136" s="1078">
        <f>SUM(C137:C142)</f>
        <v>0</v>
      </c>
      <c r="D136" s="1078">
        <f>SUM(D137:D142)</f>
        <v>0</v>
      </c>
      <c r="E136" s="1078">
        <f>SUM(E137:E142)</f>
        <v>0</v>
      </c>
      <c r="F136" s="1078">
        <f>SUM(F137:F142)</f>
        <v>0</v>
      </c>
      <c r="G136" s="1078">
        <f>SUM(G137:G142)</f>
        <v>0</v>
      </c>
      <c r="H136" s="1078">
        <f>'1.1.sz.mell. '!C139</f>
        <v>0</v>
      </c>
      <c r="I136" s="267">
        <f>+I137+I138+I139+I140+I141+I142</f>
        <v>0</v>
      </c>
      <c r="J136" s="112">
        <f>+J137+J138+J139+J140+J141+J142</f>
        <v>0</v>
      </c>
      <c r="K136" s="112">
        <f>SUM(K137:K142)</f>
        <v>0</v>
      </c>
    </row>
    <row r="137" spans="1:11" ht="12" customHeight="1" x14ac:dyDescent="0.25">
      <c r="A137" s="12" t="s">
        <v>79</v>
      </c>
      <c r="B137" s="401" t="s">
        <v>421</v>
      </c>
      <c r="C137" s="1125"/>
      <c r="D137" s="1072"/>
      <c r="E137" s="1071"/>
      <c r="F137" s="1071"/>
      <c r="G137" s="1071"/>
      <c r="H137" s="1092">
        <f>'1.1.sz.mell. '!C140</f>
        <v>0</v>
      </c>
      <c r="I137" s="101"/>
      <c r="J137" s="101"/>
      <c r="K137" s="101"/>
    </row>
    <row r="138" spans="1:11" ht="12" customHeight="1" x14ac:dyDescent="0.25">
      <c r="A138" s="12" t="s">
        <v>80</v>
      </c>
      <c r="B138" s="401" t="s">
        <v>422</v>
      </c>
      <c r="C138" s="1126"/>
      <c r="D138" s="1073"/>
      <c r="E138" s="1071"/>
      <c r="F138" s="1071"/>
      <c r="G138" s="1071"/>
      <c r="H138" s="1092">
        <f>'1.1.sz.mell. '!C141</f>
        <v>0</v>
      </c>
      <c r="I138" s="101"/>
      <c r="J138" s="101"/>
      <c r="K138" s="101"/>
    </row>
    <row r="139" spans="1:11" ht="12" customHeight="1" x14ac:dyDescent="0.25">
      <c r="A139" s="12" t="s">
        <v>81</v>
      </c>
      <c r="B139" s="401" t="s">
        <v>423</v>
      </c>
      <c r="C139" s="1126"/>
      <c r="D139" s="1073"/>
      <c r="E139" s="1071"/>
      <c r="F139" s="1071"/>
      <c r="G139" s="1071"/>
      <c r="H139" s="1092">
        <f>'1.1.sz.mell. '!C142</f>
        <v>0</v>
      </c>
      <c r="I139" s="101"/>
      <c r="J139" s="101"/>
      <c r="K139" s="101"/>
    </row>
    <row r="140" spans="1:11" ht="12" customHeight="1" x14ac:dyDescent="0.25">
      <c r="A140" s="12" t="s">
        <v>127</v>
      </c>
      <c r="B140" s="401" t="s">
        <v>424</v>
      </c>
      <c r="C140" s="1126"/>
      <c r="D140" s="1073"/>
      <c r="E140" s="1071"/>
      <c r="F140" s="1071"/>
      <c r="G140" s="1071"/>
      <c r="H140" s="1092">
        <f>'1.1.sz.mell. '!C143</f>
        <v>0</v>
      </c>
      <c r="I140" s="101"/>
      <c r="J140" s="101"/>
      <c r="K140" s="101"/>
    </row>
    <row r="141" spans="1:11" ht="12" customHeight="1" x14ac:dyDescent="0.25">
      <c r="A141" s="12" t="s">
        <v>128</v>
      </c>
      <c r="B141" s="401" t="s">
        <v>425</v>
      </c>
      <c r="C141" s="1126"/>
      <c r="D141" s="1073"/>
      <c r="E141" s="1071"/>
      <c r="F141" s="1071"/>
      <c r="G141" s="1071"/>
      <c r="H141" s="1092">
        <f>'1.1.sz.mell. '!C144</f>
        <v>0</v>
      </c>
      <c r="I141" s="101"/>
      <c r="J141" s="101"/>
      <c r="K141" s="101"/>
    </row>
    <row r="142" spans="1:11" ht="12" customHeight="1" thickBot="1" x14ac:dyDescent="0.3">
      <c r="A142" s="10" t="s">
        <v>129</v>
      </c>
      <c r="B142" s="401" t="s">
        <v>426</v>
      </c>
      <c r="C142" s="1127"/>
      <c r="D142" s="1060"/>
      <c r="E142" s="1071"/>
      <c r="F142" s="1071"/>
      <c r="G142" s="1071"/>
      <c r="H142" s="1062">
        <f>'1.1.sz.mell. '!C145</f>
        <v>0</v>
      </c>
      <c r="I142" s="101"/>
      <c r="J142" s="101"/>
      <c r="K142" s="101"/>
    </row>
    <row r="143" spans="1:11" ht="12" customHeight="1" thickBot="1" x14ac:dyDescent="0.3">
      <c r="A143" s="17" t="s">
        <v>21</v>
      </c>
      <c r="B143" s="376" t="s">
        <v>427</v>
      </c>
      <c r="C143" s="1065">
        <f t="shared" ref="C143" si="1">SUM(C144:C147)</f>
        <v>41904332</v>
      </c>
      <c r="D143" s="1065">
        <f t="shared" ref="D143:K143" si="2">SUM(D144:D147)</f>
        <v>45672254</v>
      </c>
      <c r="E143" s="1065">
        <f t="shared" si="2"/>
        <v>0</v>
      </c>
      <c r="F143" s="1065">
        <f t="shared" si="2"/>
        <v>0</v>
      </c>
      <c r="G143" s="1065">
        <f t="shared" si="2"/>
        <v>0</v>
      </c>
      <c r="H143" s="1065">
        <f>'1.1.sz.mell. '!C146</f>
        <v>48966750</v>
      </c>
      <c r="I143" s="559">
        <f t="shared" si="2"/>
        <v>41904332</v>
      </c>
      <c r="J143" s="559">
        <f t="shared" si="2"/>
        <v>0</v>
      </c>
      <c r="K143" s="559">
        <f t="shared" si="2"/>
        <v>0</v>
      </c>
    </row>
    <row r="144" spans="1:11" ht="12" customHeight="1" x14ac:dyDescent="0.25">
      <c r="A144" s="12" t="s">
        <v>82</v>
      </c>
      <c r="B144" s="401" t="s">
        <v>306</v>
      </c>
      <c r="C144" s="1125"/>
      <c r="D144" s="1072"/>
      <c r="E144" s="1071"/>
      <c r="F144" s="1071"/>
      <c r="G144" s="1071"/>
      <c r="H144" s="1093">
        <f>'1.1.sz.mell. '!C147</f>
        <v>0</v>
      </c>
      <c r="I144" s="101"/>
      <c r="J144" s="101"/>
      <c r="K144" s="101"/>
    </row>
    <row r="145" spans="1:11" ht="12" customHeight="1" x14ac:dyDescent="0.25">
      <c r="A145" s="12" t="s">
        <v>83</v>
      </c>
      <c r="B145" s="401" t="s">
        <v>307</v>
      </c>
      <c r="C145" s="1126">
        <v>41904332</v>
      </c>
      <c r="D145" s="1073">
        <v>45672254</v>
      </c>
      <c r="E145" s="1071"/>
      <c r="F145" s="1071"/>
      <c r="G145" s="1071"/>
      <c r="H145" s="1092">
        <f>'1.1.sz.mell. '!C148</f>
        <v>48966750</v>
      </c>
      <c r="I145" s="101">
        <f>41904332</f>
        <v>41904332</v>
      </c>
      <c r="J145" s="101"/>
      <c r="K145" s="101"/>
    </row>
    <row r="146" spans="1:11" ht="12" customHeight="1" x14ac:dyDescent="0.25">
      <c r="A146" s="12" t="s">
        <v>220</v>
      </c>
      <c r="B146" s="401" t="s">
        <v>428</v>
      </c>
      <c r="C146" s="1126"/>
      <c r="D146" s="1073"/>
      <c r="E146" s="1071"/>
      <c r="F146" s="1071"/>
      <c r="G146" s="1071"/>
      <c r="H146" s="1093">
        <f>'1.1.sz.mell. '!C149</f>
        <v>0</v>
      </c>
      <c r="I146" s="101"/>
      <c r="J146" s="101"/>
      <c r="K146" s="101"/>
    </row>
    <row r="147" spans="1:11" ht="12" customHeight="1" thickBot="1" x14ac:dyDescent="0.3">
      <c r="A147" s="10" t="s">
        <v>221</v>
      </c>
      <c r="B147" s="402" t="s">
        <v>325</v>
      </c>
      <c r="C147" s="1127"/>
      <c r="D147" s="1060"/>
      <c r="E147" s="1071"/>
      <c r="F147" s="1071"/>
      <c r="G147" s="1071"/>
      <c r="H147" s="1094">
        <f>'1.1.sz.mell. '!C150</f>
        <v>0</v>
      </c>
      <c r="I147" s="101"/>
      <c r="J147" s="101"/>
      <c r="K147" s="101"/>
    </row>
    <row r="148" spans="1:11" ht="12" customHeight="1" thickBot="1" x14ac:dyDescent="0.3">
      <c r="A148" s="17" t="s">
        <v>22</v>
      </c>
      <c r="B148" s="376" t="s">
        <v>429</v>
      </c>
      <c r="C148" s="1095">
        <f>SUM(C149:C153)</f>
        <v>0</v>
      </c>
      <c r="D148" s="1095">
        <f>SUM(D149:D153)</f>
        <v>0</v>
      </c>
      <c r="E148" s="1095">
        <f>SUM(E149:E153)</f>
        <v>0</v>
      </c>
      <c r="F148" s="1095">
        <f>SUM(F149:F153)</f>
        <v>0</v>
      </c>
      <c r="G148" s="1095">
        <f>SUM(G149:G153)</f>
        <v>0</v>
      </c>
      <c r="H148" s="1095">
        <f>'1.1.sz.mell. '!C151</f>
        <v>0</v>
      </c>
      <c r="I148" s="277">
        <f>+I149+I150+I151+I152+I153</f>
        <v>0</v>
      </c>
      <c r="J148" s="120">
        <f>+J149+J150+J151+J152+J153</f>
        <v>0</v>
      </c>
      <c r="K148" s="120">
        <f>SUM(K149:K153)</f>
        <v>0</v>
      </c>
    </row>
    <row r="149" spans="1:11" ht="12" customHeight="1" x14ac:dyDescent="0.25">
      <c r="A149" s="12" t="s">
        <v>84</v>
      </c>
      <c r="B149" s="401" t="s">
        <v>430</v>
      </c>
      <c r="C149" s="1125"/>
      <c r="D149" s="1072"/>
      <c r="E149" s="1071"/>
      <c r="F149" s="1071"/>
      <c r="G149" s="1071"/>
      <c r="H149" s="1093">
        <f>'1.1.sz.mell. '!C152</f>
        <v>0</v>
      </c>
      <c r="I149" s="101"/>
      <c r="J149" s="101"/>
      <c r="K149" s="101"/>
    </row>
    <row r="150" spans="1:11" ht="12" customHeight="1" x14ac:dyDescent="0.25">
      <c r="A150" s="12" t="s">
        <v>85</v>
      </c>
      <c r="B150" s="401" t="s">
        <v>431</v>
      </c>
      <c r="C150" s="1126"/>
      <c r="D150" s="1073"/>
      <c r="E150" s="1071"/>
      <c r="F150" s="1071"/>
      <c r="G150" s="1071"/>
      <c r="H150" s="1093">
        <f>'1.1.sz.mell. '!C153</f>
        <v>0</v>
      </c>
      <c r="I150" s="101"/>
      <c r="J150" s="101"/>
      <c r="K150" s="101"/>
    </row>
    <row r="151" spans="1:11" ht="12" customHeight="1" x14ac:dyDescent="0.25">
      <c r="A151" s="12" t="s">
        <v>232</v>
      </c>
      <c r="B151" s="401" t="s">
        <v>432</v>
      </c>
      <c r="C151" s="1126"/>
      <c r="D151" s="1073"/>
      <c r="E151" s="1071"/>
      <c r="F151" s="1071"/>
      <c r="G151" s="1071"/>
      <c r="H151" s="1093">
        <f>'1.1.sz.mell. '!C154</f>
        <v>0</v>
      </c>
      <c r="I151" s="101"/>
      <c r="J151" s="101"/>
      <c r="K151" s="101"/>
    </row>
    <row r="152" spans="1:11" ht="12" customHeight="1" x14ac:dyDescent="0.25">
      <c r="A152" s="12" t="s">
        <v>233</v>
      </c>
      <c r="B152" s="401" t="s">
        <v>433</v>
      </c>
      <c r="C152" s="1126"/>
      <c r="D152" s="1073"/>
      <c r="E152" s="1071"/>
      <c r="F152" s="1071"/>
      <c r="G152" s="1071"/>
      <c r="H152" s="1093">
        <f>'1.1.sz.mell. '!C155</f>
        <v>0</v>
      </c>
      <c r="I152" s="101"/>
      <c r="J152" s="101"/>
      <c r="K152" s="101"/>
    </row>
    <row r="153" spans="1:11" ht="12" customHeight="1" thickBot="1" x14ac:dyDescent="0.3">
      <c r="A153" s="12" t="s">
        <v>434</v>
      </c>
      <c r="B153" s="401" t="s">
        <v>435</v>
      </c>
      <c r="C153" s="1127"/>
      <c r="D153" s="1060"/>
      <c r="E153" s="1096"/>
      <c r="F153" s="1096"/>
      <c r="G153" s="1071"/>
      <c r="H153" s="1094">
        <f>'1.1.sz.mell. '!C156</f>
        <v>0</v>
      </c>
      <c r="I153" s="102"/>
      <c r="J153" s="102"/>
      <c r="K153" s="101"/>
    </row>
    <row r="154" spans="1:11" ht="12" customHeight="1" thickBot="1" x14ac:dyDescent="0.3">
      <c r="A154" s="17" t="s">
        <v>23</v>
      </c>
      <c r="B154" s="376" t="s">
        <v>436</v>
      </c>
      <c r="C154" s="1078"/>
      <c r="D154" s="1097"/>
      <c r="E154" s="1098"/>
      <c r="F154" s="1099"/>
      <c r="G154" s="1100"/>
      <c r="H154" s="1086">
        <f>'1.1.sz.mell. '!C157</f>
        <v>0</v>
      </c>
      <c r="I154" s="277"/>
      <c r="J154" s="120"/>
      <c r="K154" s="251"/>
    </row>
    <row r="155" spans="1:11" ht="12" customHeight="1" thickBot="1" x14ac:dyDescent="0.3">
      <c r="A155" s="17" t="s">
        <v>24</v>
      </c>
      <c r="B155" s="376" t="s">
        <v>437</v>
      </c>
      <c r="C155" s="1078"/>
      <c r="D155" s="1097"/>
      <c r="E155" s="1098"/>
      <c r="F155" s="1099"/>
      <c r="G155" s="1100"/>
      <c r="H155" s="1086">
        <f>'1.1.sz.mell. '!C158</f>
        <v>0</v>
      </c>
      <c r="I155" s="277"/>
      <c r="J155" s="120"/>
      <c r="K155" s="251"/>
    </row>
    <row r="156" spans="1:11" ht="15" customHeight="1" thickBot="1" x14ac:dyDescent="0.3">
      <c r="A156" s="17" t="s">
        <v>25</v>
      </c>
      <c r="B156" s="376" t="s">
        <v>438</v>
      </c>
      <c r="C156" s="1065">
        <f>C132+C136+C143+C148+C154+C155</f>
        <v>58856832</v>
      </c>
      <c r="D156" s="1065">
        <f>D132+D136+D143+D148+D154+D155</f>
        <v>892865928</v>
      </c>
      <c r="E156" s="1101"/>
      <c r="F156" s="1102"/>
      <c r="G156" s="1102"/>
      <c r="H156" s="1086">
        <f>'1.1.sz.mell. '!C159</f>
        <v>923960497</v>
      </c>
      <c r="I156" s="278">
        <f>+I132+I136+I143+I148+I154+I155</f>
        <v>158856832</v>
      </c>
      <c r="J156" s="194">
        <f>+J132+J136+J143+J148+J154+J155</f>
        <v>0</v>
      </c>
      <c r="K156" s="194">
        <f>+K132+K136+K143+K148+K154+K155</f>
        <v>0</v>
      </c>
    </row>
    <row r="157" spans="1:11" s="268" customFormat="1" ht="12.95" customHeight="1" thickBot="1" x14ac:dyDescent="0.25">
      <c r="A157" s="110" t="s">
        <v>26</v>
      </c>
      <c r="B157" s="379" t="s">
        <v>439</v>
      </c>
      <c r="C157" s="1065">
        <f>C156+C131</f>
        <v>2823540880</v>
      </c>
      <c r="D157" s="1065">
        <f>D156+D131</f>
        <v>3529116870</v>
      </c>
      <c r="E157" s="1101"/>
      <c r="F157" s="1102"/>
      <c r="G157" s="1102"/>
      <c r="H157" s="1086">
        <f>'1.1.sz.mell. '!C160</f>
        <v>6872782319</v>
      </c>
      <c r="I157" s="278">
        <f>+I131+I156</f>
        <v>1293098712</v>
      </c>
      <c r="J157" s="194">
        <f>+J131+J156</f>
        <v>227256857</v>
      </c>
      <c r="K157" s="194">
        <f>+K131+K156</f>
        <v>1626897847</v>
      </c>
    </row>
    <row r="161" spans="3:11" s="776" customFormat="1" ht="16.5" customHeight="1" x14ac:dyDescent="0.25">
      <c r="C161" s="791"/>
      <c r="D161" s="791"/>
      <c r="E161" s="791"/>
      <c r="F161" s="791"/>
      <c r="G161" s="791"/>
      <c r="H161" s="791"/>
      <c r="I161" s="775"/>
      <c r="J161" s="775"/>
      <c r="K161" s="775"/>
    </row>
  </sheetData>
  <mergeCells count="4">
    <mergeCell ref="A1:H1"/>
    <mergeCell ref="A3:H3"/>
    <mergeCell ref="A5:H5"/>
    <mergeCell ref="A93:H93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0" orientation="portrait" r:id="rId1"/>
  <headerFooter alignWithMargins="0"/>
  <rowBreaks count="1" manualBreakCount="1">
    <brk id="76" max="7" man="1"/>
  </rowBreaks>
  <colBreaks count="1" manualBreakCount="1">
    <brk id="8" max="1048575" man="1"/>
  </colBreaks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47"/>
  <dimension ref="A1:J53"/>
  <sheetViews>
    <sheetView workbookViewId="0">
      <selection activeCell="I7" sqref="I7"/>
    </sheetView>
  </sheetViews>
  <sheetFormatPr defaultRowHeight="12.75" x14ac:dyDescent="0.2"/>
  <cols>
    <col min="1" max="1" width="6.83203125" style="771" customWidth="1"/>
    <col min="2" max="2" width="49.6640625" style="770" customWidth="1"/>
    <col min="3" max="3" width="12.83203125" style="792" customWidth="1"/>
    <col min="4" max="8" width="12.83203125" style="770" customWidth="1"/>
    <col min="9" max="9" width="13.83203125" style="770" customWidth="1"/>
    <col min="10" max="256" width="9.33203125" style="770"/>
    <col min="257" max="257" width="6.83203125" style="770" customWidth="1"/>
    <col min="258" max="258" width="49.6640625" style="770" customWidth="1"/>
    <col min="259" max="264" width="12.83203125" style="770" customWidth="1"/>
    <col min="265" max="265" width="13.83203125" style="770" customWidth="1"/>
    <col min="266" max="512" width="9.33203125" style="770"/>
    <col min="513" max="513" width="6.83203125" style="770" customWidth="1"/>
    <col min="514" max="514" width="49.6640625" style="770" customWidth="1"/>
    <col min="515" max="520" width="12.83203125" style="770" customWidth="1"/>
    <col min="521" max="521" width="13.83203125" style="770" customWidth="1"/>
    <col min="522" max="768" width="9.33203125" style="770"/>
    <col min="769" max="769" width="6.83203125" style="770" customWidth="1"/>
    <col min="770" max="770" width="49.6640625" style="770" customWidth="1"/>
    <col min="771" max="776" width="12.83203125" style="770" customWidth="1"/>
    <col min="777" max="777" width="13.83203125" style="770" customWidth="1"/>
    <col min="778" max="1024" width="9.33203125" style="770"/>
    <col min="1025" max="1025" width="6.83203125" style="770" customWidth="1"/>
    <col min="1026" max="1026" width="49.6640625" style="770" customWidth="1"/>
    <col min="1027" max="1032" width="12.83203125" style="770" customWidth="1"/>
    <col min="1033" max="1033" width="13.83203125" style="770" customWidth="1"/>
    <col min="1034" max="1280" width="9.33203125" style="770"/>
    <col min="1281" max="1281" width="6.83203125" style="770" customWidth="1"/>
    <col min="1282" max="1282" width="49.6640625" style="770" customWidth="1"/>
    <col min="1283" max="1288" width="12.83203125" style="770" customWidth="1"/>
    <col min="1289" max="1289" width="13.83203125" style="770" customWidth="1"/>
    <col min="1290" max="1536" width="9.33203125" style="770"/>
    <col min="1537" max="1537" width="6.83203125" style="770" customWidth="1"/>
    <col min="1538" max="1538" width="49.6640625" style="770" customWidth="1"/>
    <col min="1539" max="1544" width="12.83203125" style="770" customWidth="1"/>
    <col min="1545" max="1545" width="13.83203125" style="770" customWidth="1"/>
    <col min="1546" max="1792" width="9.33203125" style="770"/>
    <col min="1793" max="1793" width="6.83203125" style="770" customWidth="1"/>
    <col min="1794" max="1794" width="49.6640625" style="770" customWidth="1"/>
    <col min="1795" max="1800" width="12.83203125" style="770" customWidth="1"/>
    <col min="1801" max="1801" width="13.83203125" style="770" customWidth="1"/>
    <col min="1802" max="2048" width="9.33203125" style="770"/>
    <col min="2049" max="2049" width="6.83203125" style="770" customWidth="1"/>
    <col min="2050" max="2050" width="49.6640625" style="770" customWidth="1"/>
    <col min="2051" max="2056" width="12.83203125" style="770" customWidth="1"/>
    <col min="2057" max="2057" width="13.83203125" style="770" customWidth="1"/>
    <col min="2058" max="2304" width="9.33203125" style="770"/>
    <col min="2305" max="2305" width="6.83203125" style="770" customWidth="1"/>
    <col min="2306" max="2306" width="49.6640625" style="770" customWidth="1"/>
    <col min="2307" max="2312" width="12.83203125" style="770" customWidth="1"/>
    <col min="2313" max="2313" width="13.83203125" style="770" customWidth="1"/>
    <col min="2314" max="2560" width="9.33203125" style="770"/>
    <col min="2561" max="2561" width="6.83203125" style="770" customWidth="1"/>
    <col min="2562" max="2562" width="49.6640625" style="770" customWidth="1"/>
    <col min="2563" max="2568" width="12.83203125" style="770" customWidth="1"/>
    <col min="2569" max="2569" width="13.83203125" style="770" customWidth="1"/>
    <col min="2570" max="2816" width="9.33203125" style="770"/>
    <col min="2817" max="2817" width="6.83203125" style="770" customWidth="1"/>
    <col min="2818" max="2818" width="49.6640625" style="770" customWidth="1"/>
    <col min="2819" max="2824" width="12.83203125" style="770" customWidth="1"/>
    <col min="2825" max="2825" width="13.83203125" style="770" customWidth="1"/>
    <col min="2826" max="3072" width="9.33203125" style="770"/>
    <col min="3073" max="3073" width="6.83203125" style="770" customWidth="1"/>
    <col min="3074" max="3074" width="49.6640625" style="770" customWidth="1"/>
    <col min="3075" max="3080" width="12.83203125" style="770" customWidth="1"/>
    <col min="3081" max="3081" width="13.83203125" style="770" customWidth="1"/>
    <col min="3082" max="3328" width="9.33203125" style="770"/>
    <col min="3329" max="3329" width="6.83203125" style="770" customWidth="1"/>
    <col min="3330" max="3330" width="49.6640625" style="770" customWidth="1"/>
    <col min="3331" max="3336" width="12.83203125" style="770" customWidth="1"/>
    <col min="3337" max="3337" width="13.83203125" style="770" customWidth="1"/>
    <col min="3338" max="3584" width="9.33203125" style="770"/>
    <col min="3585" max="3585" width="6.83203125" style="770" customWidth="1"/>
    <col min="3586" max="3586" width="49.6640625" style="770" customWidth="1"/>
    <col min="3587" max="3592" width="12.83203125" style="770" customWidth="1"/>
    <col min="3593" max="3593" width="13.83203125" style="770" customWidth="1"/>
    <col min="3594" max="3840" width="9.33203125" style="770"/>
    <col min="3841" max="3841" width="6.83203125" style="770" customWidth="1"/>
    <col min="3842" max="3842" width="49.6640625" style="770" customWidth="1"/>
    <col min="3843" max="3848" width="12.83203125" style="770" customWidth="1"/>
    <col min="3849" max="3849" width="13.83203125" style="770" customWidth="1"/>
    <col min="3850" max="4096" width="9.33203125" style="770"/>
    <col min="4097" max="4097" width="6.83203125" style="770" customWidth="1"/>
    <col min="4098" max="4098" width="49.6640625" style="770" customWidth="1"/>
    <col min="4099" max="4104" width="12.83203125" style="770" customWidth="1"/>
    <col min="4105" max="4105" width="13.83203125" style="770" customWidth="1"/>
    <col min="4106" max="4352" width="9.33203125" style="770"/>
    <col min="4353" max="4353" width="6.83203125" style="770" customWidth="1"/>
    <col min="4354" max="4354" width="49.6640625" style="770" customWidth="1"/>
    <col min="4355" max="4360" width="12.83203125" style="770" customWidth="1"/>
    <col min="4361" max="4361" width="13.83203125" style="770" customWidth="1"/>
    <col min="4362" max="4608" width="9.33203125" style="770"/>
    <col min="4609" max="4609" width="6.83203125" style="770" customWidth="1"/>
    <col min="4610" max="4610" width="49.6640625" style="770" customWidth="1"/>
    <col min="4611" max="4616" width="12.83203125" style="770" customWidth="1"/>
    <col min="4617" max="4617" width="13.83203125" style="770" customWidth="1"/>
    <col min="4618" max="4864" width="9.33203125" style="770"/>
    <col min="4865" max="4865" width="6.83203125" style="770" customWidth="1"/>
    <col min="4866" max="4866" width="49.6640625" style="770" customWidth="1"/>
    <col min="4867" max="4872" width="12.83203125" style="770" customWidth="1"/>
    <col min="4873" max="4873" width="13.83203125" style="770" customWidth="1"/>
    <col min="4874" max="5120" width="9.33203125" style="770"/>
    <col min="5121" max="5121" width="6.83203125" style="770" customWidth="1"/>
    <col min="5122" max="5122" width="49.6640625" style="770" customWidth="1"/>
    <col min="5123" max="5128" width="12.83203125" style="770" customWidth="1"/>
    <col min="5129" max="5129" width="13.83203125" style="770" customWidth="1"/>
    <col min="5130" max="5376" width="9.33203125" style="770"/>
    <col min="5377" max="5377" width="6.83203125" style="770" customWidth="1"/>
    <col min="5378" max="5378" width="49.6640625" style="770" customWidth="1"/>
    <col min="5379" max="5384" width="12.83203125" style="770" customWidth="1"/>
    <col min="5385" max="5385" width="13.83203125" style="770" customWidth="1"/>
    <col min="5386" max="5632" width="9.33203125" style="770"/>
    <col min="5633" max="5633" width="6.83203125" style="770" customWidth="1"/>
    <col min="5634" max="5634" width="49.6640625" style="770" customWidth="1"/>
    <col min="5635" max="5640" width="12.83203125" style="770" customWidth="1"/>
    <col min="5641" max="5641" width="13.83203125" style="770" customWidth="1"/>
    <col min="5642" max="5888" width="9.33203125" style="770"/>
    <col min="5889" max="5889" width="6.83203125" style="770" customWidth="1"/>
    <col min="5890" max="5890" width="49.6640625" style="770" customWidth="1"/>
    <col min="5891" max="5896" width="12.83203125" style="770" customWidth="1"/>
    <col min="5897" max="5897" width="13.83203125" style="770" customWidth="1"/>
    <col min="5898" max="6144" width="9.33203125" style="770"/>
    <col min="6145" max="6145" width="6.83203125" style="770" customWidth="1"/>
    <col min="6146" max="6146" width="49.6640625" style="770" customWidth="1"/>
    <col min="6147" max="6152" width="12.83203125" style="770" customWidth="1"/>
    <col min="6153" max="6153" width="13.83203125" style="770" customWidth="1"/>
    <col min="6154" max="6400" width="9.33203125" style="770"/>
    <col min="6401" max="6401" width="6.83203125" style="770" customWidth="1"/>
    <col min="6402" max="6402" width="49.6640625" style="770" customWidth="1"/>
    <col min="6403" max="6408" width="12.83203125" style="770" customWidth="1"/>
    <col min="6409" max="6409" width="13.83203125" style="770" customWidth="1"/>
    <col min="6410" max="6656" width="9.33203125" style="770"/>
    <col min="6657" max="6657" width="6.83203125" style="770" customWidth="1"/>
    <col min="6658" max="6658" width="49.6640625" style="770" customWidth="1"/>
    <col min="6659" max="6664" width="12.83203125" style="770" customWidth="1"/>
    <col min="6665" max="6665" width="13.83203125" style="770" customWidth="1"/>
    <col min="6666" max="6912" width="9.33203125" style="770"/>
    <col min="6913" max="6913" width="6.83203125" style="770" customWidth="1"/>
    <col min="6914" max="6914" width="49.6640625" style="770" customWidth="1"/>
    <col min="6915" max="6920" width="12.83203125" style="770" customWidth="1"/>
    <col min="6921" max="6921" width="13.83203125" style="770" customWidth="1"/>
    <col min="6922" max="7168" width="9.33203125" style="770"/>
    <col min="7169" max="7169" width="6.83203125" style="770" customWidth="1"/>
    <col min="7170" max="7170" width="49.6640625" style="770" customWidth="1"/>
    <col min="7171" max="7176" width="12.83203125" style="770" customWidth="1"/>
    <col min="7177" max="7177" width="13.83203125" style="770" customWidth="1"/>
    <col min="7178" max="7424" width="9.33203125" style="770"/>
    <col min="7425" max="7425" width="6.83203125" style="770" customWidth="1"/>
    <col min="7426" max="7426" width="49.6640625" style="770" customWidth="1"/>
    <col min="7427" max="7432" width="12.83203125" style="770" customWidth="1"/>
    <col min="7433" max="7433" width="13.83203125" style="770" customWidth="1"/>
    <col min="7434" max="7680" width="9.33203125" style="770"/>
    <col min="7681" max="7681" width="6.83203125" style="770" customWidth="1"/>
    <col min="7682" max="7682" width="49.6640625" style="770" customWidth="1"/>
    <col min="7683" max="7688" width="12.83203125" style="770" customWidth="1"/>
    <col min="7689" max="7689" width="13.83203125" style="770" customWidth="1"/>
    <col min="7690" max="7936" width="9.33203125" style="770"/>
    <col min="7937" max="7937" width="6.83203125" style="770" customWidth="1"/>
    <col min="7938" max="7938" width="49.6640625" style="770" customWidth="1"/>
    <col min="7939" max="7944" width="12.83203125" style="770" customWidth="1"/>
    <col min="7945" max="7945" width="13.83203125" style="770" customWidth="1"/>
    <col min="7946" max="8192" width="9.33203125" style="770"/>
    <col min="8193" max="8193" width="6.83203125" style="770" customWidth="1"/>
    <col min="8194" max="8194" width="49.6640625" style="770" customWidth="1"/>
    <col min="8195" max="8200" width="12.83203125" style="770" customWidth="1"/>
    <col min="8201" max="8201" width="13.83203125" style="770" customWidth="1"/>
    <col min="8202" max="8448" width="9.33203125" style="770"/>
    <col min="8449" max="8449" width="6.83203125" style="770" customWidth="1"/>
    <col min="8450" max="8450" width="49.6640625" style="770" customWidth="1"/>
    <col min="8451" max="8456" width="12.83203125" style="770" customWidth="1"/>
    <col min="8457" max="8457" width="13.83203125" style="770" customWidth="1"/>
    <col min="8458" max="8704" width="9.33203125" style="770"/>
    <col min="8705" max="8705" width="6.83203125" style="770" customWidth="1"/>
    <col min="8706" max="8706" width="49.6640625" style="770" customWidth="1"/>
    <col min="8707" max="8712" width="12.83203125" style="770" customWidth="1"/>
    <col min="8713" max="8713" width="13.83203125" style="770" customWidth="1"/>
    <col min="8714" max="8960" width="9.33203125" style="770"/>
    <col min="8961" max="8961" width="6.83203125" style="770" customWidth="1"/>
    <col min="8962" max="8962" width="49.6640625" style="770" customWidth="1"/>
    <col min="8963" max="8968" width="12.83203125" style="770" customWidth="1"/>
    <col min="8969" max="8969" width="13.83203125" style="770" customWidth="1"/>
    <col min="8970" max="9216" width="9.33203125" style="770"/>
    <col min="9217" max="9217" width="6.83203125" style="770" customWidth="1"/>
    <col min="9218" max="9218" width="49.6640625" style="770" customWidth="1"/>
    <col min="9219" max="9224" width="12.83203125" style="770" customWidth="1"/>
    <col min="9225" max="9225" width="13.83203125" style="770" customWidth="1"/>
    <col min="9226" max="9472" width="9.33203125" style="770"/>
    <col min="9473" max="9473" width="6.83203125" style="770" customWidth="1"/>
    <col min="9474" max="9474" width="49.6640625" style="770" customWidth="1"/>
    <col min="9475" max="9480" width="12.83203125" style="770" customWidth="1"/>
    <col min="9481" max="9481" width="13.83203125" style="770" customWidth="1"/>
    <col min="9482" max="9728" width="9.33203125" style="770"/>
    <col min="9729" max="9729" width="6.83203125" style="770" customWidth="1"/>
    <col min="9730" max="9730" width="49.6640625" style="770" customWidth="1"/>
    <col min="9731" max="9736" width="12.83203125" style="770" customWidth="1"/>
    <col min="9737" max="9737" width="13.83203125" style="770" customWidth="1"/>
    <col min="9738" max="9984" width="9.33203125" style="770"/>
    <col min="9985" max="9985" width="6.83203125" style="770" customWidth="1"/>
    <col min="9986" max="9986" width="49.6640625" style="770" customWidth="1"/>
    <col min="9987" max="9992" width="12.83203125" style="770" customWidth="1"/>
    <col min="9993" max="9993" width="13.83203125" style="770" customWidth="1"/>
    <col min="9994" max="10240" width="9.33203125" style="770"/>
    <col min="10241" max="10241" width="6.83203125" style="770" customWidth="1"/>
    <col min="10242" max="10242" width="49.6640625" style="770" customWidth="1"/>
    <col min="10243" max="10248" width="12.83203125" style="770" customWidth="1"/>
    <col min="10249" max="10249" width="13.83203125" style="770" customWidth="1"/>
    <col min="10250" max="10496" width="9.33203125" style="770"/>
    <col min="10497" max="10497" width="6.83203125" style="770" customWidth="1"/>
    <col min="10498" max="10498" width="49.6640625" style="770" customWidth="1"/>
    <col min="10499" max="10504" width="12.83203125" style="770" customWidth="1"/>
    <col min="10505" max="10505" width="13.83203125" style="770" customWidth="1"/>
    <col min="10506" max="10752" width="9.33203125" style="770"/>
    <col min="10753" max="10753" width="6.83203125" style="770" customWidth="1"/>
    <col min="10754" max="10754" width="49.6640625" style="770" customWidth="1"/>
    <col min="10755" max="10760" width="12.83203125" style="770" customWidth="1"/>
    <col min="10761" max="10761" width="13.83203125" style="770" customWidth="1"/>
    <col min="10762" max="11008" width="9.33203125" style="770"/>
    <col min="11009" max="11009" width="6.83203125" style="770" customWidth="1"/>
    <col min="11010" max="11010" width="49.6640625" style="770" customWidth="1"/>
    <col min="11011" max="11016" width="12.83203125" style="770" customWidth="1"/>
    <col min="11017" max="11017" width="13.83203125" style="770" customWidth="1"/>
    <col min="11018" max="11264" width="9.33203125" style="770"/>
    <col min="11265" max="11265" width="6.83203125" style="770" customWidth="1"/>
    <col min="11266" max="11266" width="49.6640625" style="770" customWidth="1"/>
    <col min="11267" max="11272" width="12.83203125" style="770" customWidth="1"/>
    <col min="11273" max="11273" width="13.83203125" style="770" customWidth="1"/>
    <col min="11274" max="11520" width="9.33203125" style="770"/>
    <col min="11521" max="11521" width="6.83203125" style="770" customWidth="1"/>
    <col min="11522" max="11522" width="49.6640625" style="770" customWidth="1"/>
    <col min="11523" max="11528" width="12.83203125" style="770" customWidth="1"/>
    <col min="11529" max="11529" width="13.83203125" style="770" customWidth="1"/>
    <col min="11530" max="11776" width="9.33203125" style="770"/>
    <col min="11777" max="11777" width="6.83203125" style="770" customWidth="1"/>
    <col min="11778" max="11778" width="49.6640625" style="770" customWidth="1"/>
    <col min="11779" max="11784" width="12.83203125" style="770" customWidth="1"/>
    <col min="11785" max="11785" width="13.83203125" style="770" customWidth="1"/>
    <col min="11786" max="12032" width="9.33203125" style="770"/>
    <col min="12033" max="12033" width="6.83203125" style="770" customWidth="1"/>
    <col min="12034" max="12034" width="49.6640625" style="770" customWidth="1"/>
    <col min="12035" max="12040" width="12.83203125" style="770" customWidth="1"/>
    <col min="12041" max="12041" width="13.83203125" style="770" customWidth="1"/>
    <col min="12042" max="12288" width="9.33203125" style="770"/>
    <col min="12289" max="12289" width="6.83203125" style="770" customWidth="1"/>
    <col min="12290" max="12290" width="49.6640625" style="770" customWidth="1"/>
    <col min="12291" max="12296" width="12.83203125" style="770" customWidth="1"/>
    <col min="12297" max="12297" width="13.83203125" style="770" customWidth="1"/>
    <col min="12298" max="12544" width="9.33203125" style="770"/>
    <col min="12545" max="12545" width="6.83203125" style="770" customWidth="1"/>
    <col min="12546" max="12546" width="49.6640625" style="770" customWidth="1"/>
    <col min="12547" max="12552" width="12.83203125" style="770" customWidth="1"/>
    <col min="12553" max="12553" width="13.83203125" style="770" customWidth="1"/>
    <col min="12554" max="12800" width="9.33203125" style="770"/>
    <col min="12801" max="12801" width="6.83203125" style="770" customWidth="1"/>
    <col min="12802" max="12802" width="49.6640625" style="770" customWidth="1"/>
    <col min="12803" max="12808" width="12.83203125" style="770" customWidth="1"/>
    <col min="12809" max="12809" width="13.83203125" style="770" customWidth="1"/>
    <col min="12810" max="13056" width="9.33203125" style="770"/>
    <col min="13057" max="13057" width="6.83203125" style="770" customWidth="1"/>
    <col min="13058" max="13058" width="49.6640625" style="770" customWidth="1"/>
    <col min="13059" max="13064" width="12.83203125" style="770" customWidth="1"/>
    <col min="13065" max="13065" width="13.83203125" style="770" customWidth="1"/>
    <col min="13066" max="13312" width="9.33203125" style="770"/>
    <col min="13313" max="13313" width="6.83203125" style="770" customWidth="1"/>
    <col min="13314" max="13314" width="49.6640625" style="770" customWidth="1"/>
    <col min="13315" max="13320" width="12.83203125" style="770" customWidth="1"/>
    <col min="13321" max="13321" width="13.83203125" style="770" customWidth="1"/>
    <col min="13322" max="13568" width="9.33203125" style="770"/>
    <col min="13569" max="13569" width="6.83203125" style="770" customWidth="1"/>
    <col min="13570" max="13570" width="49.6640625" style="770" customWidth="1"/>
    <col min="13571" max="13576" width="12.83203125" style="770" customWidth="1"/>
    <col min="13577" max="13577" width="13.83203125" style="770" customWidth="1"/>
    <col min="13578" max="13824" width="9.33203125" style="770"/>
    <col min="13825" max="13825" width="6.83203125" style="770" customWidth="1"/>
    <col min="13826" max="13826" width="49.6640625" style="770" customWidth="1"/>
    <col min="13827" max="13832" width="12.83203125" style="770" customWidth="1"/>
    <col min="13833" max="13833" width="13.83203125" style="770" customWidth="1"/>
    <col min="13834" max="14080" width="9.33203125" style="770"/>
    <col min="14081" max="14081" width="6.83203125" style="770" customWidth="1"/>
    <col min="14082" max="14082" width="49.6640625" style="770" customWidth="1"/>
    <col min="14083" max="14088" width="12.83203125" style="770" customWidth="1"/>
    <col min="14089" max="14089" width="13.83203125" style="770" customWidth="1"/>
    <col min="14090" max="14336" width="9.33203125" style="770"/>
    <col min="14337" max="14337" width="6.83203125" style="770" customWidth="1"/>
    <col min="14338" max="14338" width="49.6640625" style="770" customWidth="1"/>
    <col min="14339" max="14344" width="12.83203125" style="770" customWidth="1"/>
    <col min="14345" max="14345" width="13.83203125" style="770" customWidth="1"/>
    <col min="14346" max="14592" width="9.33203125" style="770"/>
    <col min="14593" max="14593" width="6.83203125" style="770" customWidth="1"/>
    <col min="14594" max="14594" width="49.6640625" style="770" customWidth="1"/>
    <col min="14595" max="14600" width="12.83203125" style="770" customWidth="1"/>
    <col min="14601" max="14601" width="13.83203125" style="770" customWidth="1"/>
    <col min="14602" max="14848" width="9.33203125" style="770"/>
    <col min="14849" max="14849" width="6.83203125" style="770" customWidth="1"/>
    <col min="14850" max="14850" width="49.6640625" style="770" customWidth="1"/>
    <col min="14851" max="14856" width="12.83203125" style="770" customWidth="1"/>
    <col min="14857" max="14857" width="13.83203125" style="770" customWidth="1"/>
    <col min="14858" max="15104" width="9.33203125" style="770"/>
    <col min="15105" max="15105" width="6.83203125" style="770" customWidth="1"/>
    <col min="15106" max="15106" width="49.6640625" style="770" customWidth="1"/>
    <col min="15107" max="15112" width="12.83203125" style="770" customWidth="1"/>
    <col min="15113" max="15113" width="13.83203125" style="770" customWidth="1"/>
    <col min="15114" max="15360" width="9.33203125" style="770"/>
    <col min="15361" max="15361" width="6.83203125" style="770" customWidth="1"/>
    <col min="15362" max="15362" width="49.6640625" style="770" customWidth="1"/>
    <col min="15363" max="15368" width="12.83203125" style="770" customWidth="1"/>
    <col min="15369" max="15369" width="13.83203125" style="770" customWidth="1"/>
    <col min="15370" max="15616" width="9.33203125" style="770"/>
    <col min="15617" max="15617" width="6.83203125" style="770" customWidth="1"/>
    <col min="15618" max="15618" width="49.6640625" style="770" customWidth="1"/>
    <col min="15619" max="15624" width="12.83203125" style="770" customWidth="1"/>
    <col min="15625" max="15625" width="13.83203125" style="770" customWidth="1"/>
    <col min="15626" max="15872" width="9.33203125" style="770"/>
    <col min="15873" max="15873" width="6.83203125" style="770" customWidth="1"/>
    <col min="15874" max="15874" width="49.6640625" style="770" customWidth="1"/>
    <col min="15875" max="15880" width="12.83203125" style="770" customWidth="1"/>
    <col min="15881" max="15881" width="13.83203125" style="770" customWidth="1"/>
    <col min="15882" max="16128" width="9.33203125" style="770"/>
    <col min="16129" max="16129" width="6.83203125" style="770" customWidth="1"/>
    <col min="16130" max="16130" width="49.6640625" style="770" customWidth="1"/>
    <col min="16131" max="16136" width="12.83203125" style="770" customWidth="1"/>
    <col min="16137" max="16137" width="13.83203125" style="770" customWidth="1"/>
    <col min="16138" max="16384" width="9.33203125" style="770"/>
  </cols>
  <sheetData>
    <row r="1" spans="1:9" x14ac:dyDescent="0.2">
      <c r="A1" s="1520" t="str">
        <f>CONCATENATE("15. tájékoztató tábla ",ALAPADATOK!A7," ",ALAPADATOK!B7," ",ALAPADATOK!C7," ",ALAPADATOK!D7," ",ALAPADATOK!E7," ",ALAPADATOK!F7," ",ALAPADATOK!G7," ",ALAPADATOK!H7)</f>
        <v>15. tájékoztató tábla a 19 / 2021. ( XI.29. ) önkormányzati rendelethez</v>
      </c>
      <c r="B1" s="1520"/>
      <c r="C1" s="1520"/>
      <c r="D1" s="1520"/>
      <c r="E1" s="1520"/>
      <c r="F1" s="1520"/>
      <c r="G1" s="1520"/>
      <c r="H1" s="1520"/>
      <c r="I1" s="1520"/>
    </row>
    <row r="2" spans="1:9" x14ac:dyDescent="0.2">
      <c r="G2" s="1529" t="s">
        <v>782</v>
      </c>
      <c r="H2" s="1529"/>
      <c r="I2" s="1529"/>
    </row>
    <row r="3" spans="1:9" ht="27.75" customHeight="1" x14ac:dyDescent="0.2">
      <c r="A3" s="1521" t="s">
        <v>7</v>
      </c>
      <c r="B3" s="1521"/>
      <c r="C3" s="1521"/>
      <c r="D3" s="1521"/>
      <c r="E3" s="1521"/>
      <c r="F3" s="1521"/>
      <c r="G3" s="1521"/>
      <c r="H3" s="1521"/>
      <c r="I3" s="1521"/>
    </row>
    <row r="4" spans="1:9" ht="20.25" customHeight="1" thickBot="1" x14ac:dyDescent="0.3">
      <c r="B4" s="226"/>
      <c r="I4" s="227" t="s">
        <v>504</v>
      </c>
    </row>
    <row r="5" spans="1:9" s="228" customFormat="1" ht="22.5" customHeight="1" x14ac:dyDescent="0.2">
      <c r="A5" s="1522" t="s">
        <v>64</v>
      </c>
      <c r="B5" s="1524" t="s">
        <v>72</v>
      </c>
      <c r="C5" s="1522" t="s">
        <v>73</v>
      </c>
      <c r="D5" s="1522" t="s">
        <v>924</v>
      </c>
      <c r="E5" s="1526" t="s">
        <v>63</v>
      </c>
      <c r="F5" s="1527"/>
      <c r="G5" s="1527"/>
      <c r="H5" s="1528"/>
      <c r="I5" s="1524" t="s">
        <v>48</v>
      </c>
    </row>
    <row r="6" spans="1:9" s="229" customFormat="1" ht="17.25" customHeight="1" thickBot="1" x14ac:dyDescent="0.25">
      <c r="A6" s="1523"/>
      <c r="B6" s="1525"/>
      <c r="C6" s="1525"/>
      <c r="D6" s="1523"/>
      <c r="E6" s="886">
        <v>2021</v>
      </c>
      <c r="F6" s="886">
        <v>2022</v>
      </c>
      <c r="G6" s="886">
        <v>2023</v>
      </c>
      <c r="H6" s="887" t="s">
        <v>925</v>
      </c>
      <c r="I6" s="1525"/>
    </row>
    <row r="7" spans="1:9" s="230" customFormat="1" ht="18" customHeight="1" thickBot="1" x14ac:dyDescent="0.25">
      <c r="A7" s="888">
        <v>1</v>
      </c>
      <c r="B7" s="889">
        <v>2</v>
      </c>
      <c r="C7" s="890">
        <v>3</v>
      </c>
      <c r="D7" s="891">
        <v>4</v>
      </c>
      <c r="E7" s="888">
        <v>5</v>
      </c>
      <c r="F7" s="892">
        <v>6</v>
      </c>
      <c r="G7" s="892">
        <v>7</v>
      </c>
      <c r="H7" s="893">
        <v>8</v>
      </c>
      <c r="I7" s="894" t="s">
        <v>74</v>
      </c>
    </row>
    <row r="8" spans="1:9" ht="24.75" customHeight="1" thickBot="1" x14ac:dyDescent="0.25">
      <c r="A8" s="895" t="s">
        <v>16</v>
      </c>
      <c r="B8" s="896" t="s">
        <v>752</v>
      </c>
      <c r="C8" s="897">
        <v>2021</v>
      </c>
      <c r="D8" s="898">
        <v>0</v>
      </c>
      <c r="E8" s="898">
        <v>0</v>
      </c>
      <c r="F8" s="898">
        <v>0</v>
      </c>
      <c r="G8" s="898">
        <v>0</v>
      </c>
      <c r="H8" s="898">
        <v>0</v>
      </c>
      <c r="I8" s="899">
        <v>0</v>
      </c>
    </row>
    <row r="9" spans="1:9" ht="24.75" customHeight="1" thickBot="1" x14ac:dyDescent="0.25">
      <c r="A9" s="900" t="s">
        <v>17</v>
      </c>
      <c r="B9" s="901" t="s">
        <v>926</v>
      </c>
      <c r="C9" s="902">
        <v>2021</v>
      </c>
      <c r="D9" s="903">
        <v>0</v>
      </c>
      <c r="E9" s="903">
        <v>0</v>
      </c>
      <c r="F9" s="903">
        <v>0</v>
      </c>
      <c r="G9" s="903">
        <v>0</v>
      </c>
      <c r="H9" s="903">
        <v>0</v>
      </c>
      <c r="I9" s="899">
        <v>0</v>
      </c>
    </row>
    <row r="10" spans="1:9" ht="24" customHeight="1" thickBot="1" x14ac:dyDescent="0.25">
      <c r="A10" s="904" t="s">
        <v>18</v>
      </c>
      <c r="B10" s="905" t="s">
        <v>8</v>
      </c>
      <c r="C10" s="906"/>
      <c r="D10" s="907"/>
      <c r="E10" s="907"/>
      <c r="F10" s="907"/>
      <c r="G10" s="907"/>
      <c r="H10" s="908"/>
      <c r="I10" s="909"/>
    </row>
    <row r="11" spans="1:9" ht="32.25" customHeight="1" x14ac:dyDescent="0.2">
      <c r="A11" s="895" t="s">
        <v>19</v>
      </c>
      <c r="B11" s="799" t="s">
        <v>505</v>
      </c>
      <c r="C11" s="911">
        <v>2016</v>
      </c>
      <c r="D11" s="912">
        <v>10694590</v>
      </c>
      <c r="E11" s="913">
        <v>0</v>
      </c>
      <c r="F11" s="913">
        <v>0</v>
      </c>
      <c r="G11" s="914">
        <v>0</v>
      </c>
      <c r="H11" s="914">
        <v>0</v>
      </c>
      <c r="I11" s="915">
        <f t="shared" ref="I11:I25" si="0">SUM(D11:H11)</f>
        <v>10694590</v>
      </c>
    </row>
    <row r="12" spans="1:9" ht="33" customHeight="1" x14ac:dyDescent="0.2">
      <c r="A12" s="910" t="s">
        <v>20</v>
      </c>
      <c r="B12" s="799" t="s">
        <v>506</v>
      </c>
      <c r="C12" s="911">
        <v>2016</v>
      </c>
      <c r="D12" s="912">
        <v>4416000</v>
      </c>
      <c r="E12" s="913">
        <v>1472000</v>
      </c>
      <c r="F12" s="913">
        <v>1472000</v>
      </c>
      <c r="G12" s="913">
        <v>1472000</v>
      </c>
      <c r="H12" s="914">
        <v>1471000</v>
      </c>
      <c r="I12" s="915">
        <f t="shared" si="0"/>
        <v>10303000</v>
      </c>
    </row>
    <row r="13" spans="1:9" ht="35.25" customHeight="1" x14ac:dyDescent="0.2">
      <c r="A13" s="910" t="s">
        <v>21</v>
      </c>
      <c r="B13" s="799" t="s">
        <v>507</v>
      </c>
      <c r="C13" s="911">
        <v>2016</v>
      </c>
      <c r="D13" s="912">
        <v>3991500</v>
      </c>
      <c r="E13" s="912">
        <v>443461</v>
      </c>
      <c r="F13" s="912">
        <v>0</v>
      </c>
      <c r="G13" s="912">
        <v>0</v>
      </c>
      <c r="H13" s="912">
        <v>0</v>
      </c>
      <c r="I13" s="915">
        <f t="shared" si="0"/>
        <v>4434961</v>
      </c>
    </row>
    <row r="14" spans="1:9" ht="30" customHeight="1" x14ac:dyDescent="0.2">
      <c r="A14" s="910" t="s">
        <v>22</v>
      </c>
      <c r="B14" s="799" t="s">
        <v>508</v>
      </c>
      <c r="C14" s="911">
        <v>2016</v>
      </c>
      <c r="D14" s="912">
        <v>5008500</v>
      </c>
      <c r="E14" s="912">
        <v>556539</v>
      </c>
      <c r="F14" s="912">
        <v>0</v>
      </c>
      <c r="G14" s="912">
        <v>0</v>
      </c>
      <c r="H14" s="912">
        <v>0</v>
      </c>
      <c r="I14" s="915">
        <f t="shared" si="0"/>
        <v>5565039</v>
      </c>
    </row>
    <row r="15" spans="1:9" ht="30" customHeight="1" x14ac:dyDescent="0.2">
      <c r="A15" s="910" t="s">
        <v>23</v>
      </c>
      <c r="B15" s="799" t="s">
        <v>753</v>
      </c>
      <c r="C15" s="911">
        <v>2017</v>
      </c>
      <c r="D15" s="912">
        <v>9880000</v>
      </c>
      <c r="E15" s="912">
        <v>4940000</v>
      </c>
      <c r="F15" s="912">
        <v>4940000</v>
      </c>
      <c r="G15" s="912">
        <v>4940000</v>
      </c>
      <c r="H15" s="912">
        <v>16401155</v>
      </c>
      <c r="I15" s="915">
        <f t="shared" si="0"/>
        <v>41101155</v>
      </c>
    </row>
    <row r="16" spans="1:9" ht="30" customHeight="1" x14ac:dyDescent="0.2">
      <c r="A16" s="910" t="s">
        <v>24</v>
      </c>
      <c r="B16" s="799" t="s">
        <v>512</v>
      </c>
      <c r="C16" s="911">
        <v>2017</v>
      </c>
      <c r="D16" s="912">
        <v>2928000</v>
      </c>
      <c r="E16" s="912">
        <v>1464000</v>
      </c>
      <c r="F16" s="912">
        <v>1108000</v>
      </c>
      <c r="G16" s="912">
        <v>0</v>
      </c>
      <c r="H16" s="912">
        <v>0</v>
      </c>
      <c r="I16" s="915">
        <f t="shared" si="0"/>
        <v>5500000</v>
      </c>
    </row>
    <row r="17" spans="1:10" ht="30" customHeight="1" x14ac:dyDescent="0.2">
      <c r="A17" s="910" t="s">
        <v>25</v>
      </c>
      <c r="B17" s="799" t="s">
        <v>518</v>
      </c>
      <c r="C17" s="911">
        <v>2018</v>
      </c>
      <c r="D17" s="800">
        <v>1476000</v>
      </c>
      <c r="E17" s="913">
        <v>984000</v>
      </c>
      <c r="F17" s="913">
        <v>741452</v>
      </c>
      <c r="G17" s="913">
        <v>0</v>
      </c>
      <c r="H17" s="912">
        <v>0</v>
      </c>
      <c r="I17" s="915">
        <f t="shared" si="0"/>
        <v>3201452</v>
      </c>
    </row>
    <row r="18" spans="1:10" ht="30" customHeight="1" x14ac:dyDescent="0.2">
      <c r="A18" s="910" t="s">
        <v>26</v>
      </c>
      <c r="B18" s="799" t="s">
        <v>611</v>
      </c>
      <c r="C18" s="911">
        <v>2018</v>
      </c>
      <c r="D18" s="800">
        <v>1863000</v>
      </c>
      <c r="E18" s="913">
        <v>1118946</v>
      </c>
      <c r="F18" s="913">
        <v>0</v>
      </c>
      <c r="G18" s="913">
        <v>0</v>
      </c>
      <c r="H18" s="912">
        <v>0</v>
      </c>
      <c r="I18" s="915">
        <f t="shared" si="0"/>
        <v>2981946</v>
      </c>
    </row>
    <row r="19" spans="1:10" ht="26.25" customHeight="1" x14ac:dyDescent="0.2">
      <c r="A19" s="910" t="s">
        <v>27</v>
      </c>
      <c r="B19" s="799" t="s">
        <v>517</v>
      </c>
      <c r="C19" s="911">
        <v>2018</v>
      </c>
      <c r="D19" s="800">
        <v>1587500</v>
      </c>
      <c r="E19" s="913">
        <v>1270000</v>
      </c>
      <c r="F19" s="913">
        <v>1270000</v>
      </c>
      <c r="G19" s="913">
        <v>741242</v>
      </c>
      <c r="H19" s="912"/>
      <c r="I19" s="915">
        <f t="shared" si="0"/>
        <v>4868742</v>
      </c>
    </row>
    <row r="20" spans="1:10" ht="30" customHeight="1" x14ac:dyDescent="0.2">
      <c r="A20" s="910" t="s">
        <v>28</v>
      </c>
      <c r="B20" s="799" t="s">
        <v>519</v>
      </c>
      <c r="C20" s="911">
        <v>2018</v>
      </c>
      <c r="D20" s="800">
        <v>2502000</v>
      </c>
      <c r="E20" s="913">
        <v>1668000</v>
      </c>
      <c r="F20" s="913">
        <v>1668000</v>
      </c>
      <c r="G20" s="913">
        <v>1668000</v>
      </c>
      <c r="H20" s="912">
        <v>2389526</v>
      </c>
      <c r="I20" s="915">
        <f t="shared" si="0"/>
        <v>9895526</v>
      </c>
    </row>
    <row r="21" spans="1:10" ht="30" customHeight="1" x14ac:dyDescent="0.2">
      <c r="A21" s="910" t="s">
        <v>29</v>
      </c>
      <c r="B21" s="799" t="s">
        <v>520</v>
      </c>
      <c r="C21" s="911">
        <v>2018</v>
      </c>
      <c r="D21" s="912">
        <v>1834504</v>
      </c>
      <c r="E21" s="912">
        <v>1834504</v>
      </c>
      <c r="F21" s="912">
        <v>1834504</v>
      </c>
      <c r="G21" s="913">
        <v>1834504</v>
      </c>
      <c r="H21" s="912">
        <v>1704746</v>
      </c>
      <c r="I21" s="915">
        <f t="shared" si="0"/>
        <v>9042762</v>
      </c>
    </row>
    <row r="22" spans="1:10" ht="30" customHeight="1" x14ac:dyDescent="0.2">
      <c r="A22" s="910" t="s">
        <v>30</v>
      </c>
      <c r="B22" s="799" t="s">
        <v>612</v>
      </c>
      <c r="C22" s="911">
        <v>2018</v>
      </c>
      <c r="D22" s="912">
        <v>3171740</v>
      </c>
      <c r="E22" s="912">
        <v>1848697</v>
      </c>
      <c r="F22" s="912">
        <v>0</v>
      </c>
      <c r="G22" s="913">
        <v>0</v>
      </c>
      <c r="H22" s="912">
        <v>0</v>
      </c>
      <c r="I22" s="915">
        <f t="shared" si="0"/>
        <v>5020437</v>
      </c>
    </row>
    <row r="23" spans="1:10" ht="20.100000000000001" customHeight="1" x14ac:dyDescent="0.2">
      <c r="A23" s="910" t="s">
        <v>31</v>
      </c>
      <c r="B23" s="916" t="s">
        <v>613</v>
      </c>
      <c r="C23" s="917">
        <v>2018</v>
      </c>
      <c r="D23" s="918">
        <v>2777600</v>
      </c>
      <c r="E23" s="918">
        <v>2777600</v>
      </c>
      <c r="F23" s="918">
        <v>2777600</v>
      </c>
      <c r="G23" s="918">
        <v>2777600</v>
      </c>
      <c r="H23" s="918">
        <v>13889600</v>
      </c>
      <c r="I23" s="915">
        <f t="shared" si="0"/>
        <v>25000000</v>
      </c>
    </row>
    <row r="24" spans="1:10" ht="20.100000000000001" customHeight="1" x14ac:dyDescent="0.2">
      <c r="A24" s="910" t="s">
        <v>32</v>
      </c>
      <c r="B24" s="919" t="s">
        <v>614</v>
      </c>
      <c r="C24" s="920">
        <v>2019</v>
      </c>
      <c r="D24" s="921">
        <v>508000</v>
      </c>
      <c r="E24" s="921">
        <v>1016000</v>
      </c>
      <c r="F24" s="921">
        <v>1016000</v>
      </c>
      <c r="G24" s="921">
        <v>1016000</v>
      </c>
      <c r="H24" s="921">
        <v>453644</v>
      </c>
      <c r="I24" s="915">
        <f t="shared" si="0"/>
        <v>4009644</v>
      </c>
    </row>
    <row r="25" spans="1:10" ht="24" customHeight="1" x14ac:dyDescent="0.2">
      <c r="A25" s="910" t="s">
        <v>33</v>
      </c>
      <c r="B25" s="922" t="s">
        <v>615</v>
      </c>
      <c r="C25" s="911">
        <v>2019</v>
      </c>
      <c r="D25" s="912">
        <v>900000</v>
      </c>
      <c r="E25" s="912">
        <v>3600000</v>
      </c>
      <c r="F25" s="912">
        <v>3600000</v>
      </c>
      <c r="G25" s="912">
        <v>3600000</v>
      </c>
      <c r="H25" s="912">
        <v>5609597</v>
      </c>
      <c r="I25" s="923">
        <f t="shared" si="0"/>
        <v>17309597</v>
      </c>
    </row>
    <row r="26" spans="1:10" ht="20.100000000000001" customHeight="1" x14ac:dyDescent="0.2">
      <c r="A26" s="910" t="s">
        <v>34</v>
      </c>
      <c r="B26" s="1128" t="s">
        <v>927</v>
      </c>
      <c r="C26" s="911">
        <v>2020</v>
      </c>
      <c r="D26" s="912">
        <v>0</v>
      </c>
      <c r="E26" s="912">
        <v>0</v>
      </c>
      <c r="F26" s="912">
        <v>2300740</v>
      </c>
      <c r="G26" s="912">
        <v>2300740</v>
      </c>
      <c r="H26" s="912">
        <v>6902225</v>
      </c>
      <c r="I26" s="923">
        <f>SUM(D26:H26)</f>
        <v>11503705</v>
      </c>
      <c r="J26" s="231"/>
    </row>
    <row r="27" spans="1:10" ht="20.100000000000001" customHeight="1" x14ac:dyDescent="0.2">
      <c r="A27" s="910" t="s">
        <v>35</v>
      </c>
      <c r="B27" s="1128" t="s">
        <v>965</v>
      </c>
      <c r="C27" s="911">
        <v>2021</v>
      </c>
      <c r="D27" s="912">
        <v>0</v>
      </c>
      <c r="E27" s="912">
        <v>0</v>
      </c>
      <c r="F27" s="912">
        <v>0</v>
      </c>
      <c r="G27" s="912">
        <v>1568620</v>
      </c>
      <c r="H27" s="912">
        <v>5490204</v>
      </c>
      <c r="I27" s="923">
        <f>SUM(D27:H27)</f>
        <v>7058824</v>
      </c>
    </row>
    <row r="28" spans="1:10" ht="24.75" customHeight="1" thickBot="1" x14ac:dyDescent="0.25">
      <c r="A28" s="1398" t="s">
        <v>36</v>
      </c>
      <c r="B28" s="1399" t="s">
        <v>1083</v>
      </c>
      <c r="C28" s="1400">
        <v>2021</v>
      </c>
      <c r="D28" s="1401">
        <v>0</v>
      </c>
      <c r="E28" s="1401">
        <v>0</v>
      </c>
      <c r="F28" s="1401">
        <v>0</v>
      </c>
      <c r="G28" s="1401">
        <v>13750000</v>
      </c>
      <c r="H28" s="1401">
        <v>153250000</v>
      </c>
      <c r="I28" s="1402">
        <f>SUM(D28:H28)</f>
        <v>167000000</v>
      </c>
    </row>
    <row r="29" spans="1:10" ht="13.5" thickBot="1" x14ac:dyDescent="0.25">
      <c r="A29" s="1518" t="s">
        <v>49</v>
      </c>
      <c r="B29" s="1519"/>
      <c r="C29" s="924"/>
      <c r="D29" s="909">
        <f>SUM(D11:D28)</f>
        <v>53538934</v>
      </c>
      <c r="E29" s="909">
        <f>SUM(E11:E28)</f>
        <v>24993747</v>
      </c>
      <c r="F29" s="909">
        <f>SUM(F11:F28)</f>
        <v>22728296</v>
      </c>
      <c r="G29" s="909">
        <f>SUM(G11:G28)</f>
        <v>35668706</v>
      </c>
      <c r="H29" s="909">
        <f t="shared" ref="H29:I29" si="1">SUM(H11:H28)</f>
        <v>207561697</v>
      </c>
      <c r="I29" s="909">
        <f t="shared" si="1"/>
        <v>344491380</v>
      </c>
    </row>
    <row r="30" spans="1:10" ht="15" x14ac:dyDescent="0.25">
      <c r="B30" s="693" t="s">
        <v>928</v>
      </c>
      <c r="C30" s="596"/>
      <c r="D30" s="693"/>
      <c r="E30" s="693"/>
      <c r="F30" s="693"/>
      <c r="G30" s="693"/>
      <c r="H30" s="693"/>
    </row>
    <row r="32" spans="1:10" ht="15.75" x14ac:dyDescent="0.2">
      <c r="B32" s="406"/>
    </row>
    <row r="33" spans="2:8" ht="15.75" x14ac:dyDescent="0.2">
      <c r="B33" s="595"/>
      <c r="C33" s="597"/>
      <c r="D33" s="232"/>
      <c r="E33" s="232"/>
      <c r="F33" s="232"/>
      <c r="G33" s="232"/>
      <c r="H33" s="232"/>
    </row>
    <row r="34" spans="2:8" x14ac:dyDescent="0.2">
      <c r="B34" s="232"/>
      <c r="C34" s="598"/>
    </row>
    <row r="35" spans="2:8" x14ac:dyDescent="0.2">
      <c r="B35" s="232"/>
      <c r="C35" s="598"/>
    </row>
    <row r="36" spans="2:8" x14ac:dyDescent="0.2">
      <c r="B36" s="232"/>
      <c r="C36" s="599"/>
    </row>
    <row r="37" spans="2:8" x14ac:dyDescent="0.2">
      <c r="B37" s="943"/>
      <c r="C37" s="598"/>
    </row>
    <row r="38" spans="2:8" x14ac:dyDescent="0.2">
      <c r="B38" s="232"/>
      <c r="C38" s="598"/>
    </row>
    <row r="39" spans="2:8" x14ac:dyDescent="0.2">
      <c r="B39" s="232"/>
      <c r="C39" s="598"/>
    </row>
    <row r="40" spans="2:8" x14ac:dyDescent="0.2">
      <c r="B40" s="232"/>
      <c r="C40" s="598"/>
    </row>
    <row r="41" spans="2:8" x14ac:dyDescent="0.2">
      <c r="B41" s="232"/>
      <c r="C41" s="598"/>
    </row>
    <row r="42" spans="2:8" x14ac:dyDescent="0.2">
      <c r="B42" s="232"/>
      <c r="C42" s="598"/>
    </row>
    <row r="43" spans="2:8" ht="17.25" customHeight="1" x14ac:dyDescent="0.2">
      <c r="B43" s="233"/>
      <c r="C43" s="599"/>
    </row>
    <row r="44" spans="2:8" x14ac:dyDescent="0.2">
      <c r="B44" s="232"/>
    </row>
    <row r="45" spans="2:8" x14ac:dyDescent="0.2">
      <c r="B45" s="234"/>
      <c r="C45" s="599"/>
    </row>
    <row r="46" spans="2:8" x14ac:dyDescent="0.2">
      <c r="C46" s="598"/>
      <c r="D46" s="771"/>
    </row>
    <row r="47" spans="2:8" x14ac:dyDescent="0.2">
      <c r="C47" s="598"/>
      <c r="D47" s="771"/>
    </row>
    <row r="48" spans="2:8" x14ac:dyDescent="0.2">
      <c r="C48" s="598"/>
      <c r="D48" s="771"/>
    </row>
    <row r="50" spans="2:4" x14ac:dyDescent="0.2">
      <c r="B50" s="234"/>
      <c r="C50" s="599"/>
    </row>
    <row r="51" spans="2:4" x14ac:dyDescent="0.2">
      <c r="D51" s="771"/>
    </row>
    <row r="52" spans="2:4" x14ac:dyDescent="0.2">
      <c r="D52" s="771"/>
    </row>
    <row r="53" spans="2:4" x14ac:dyDescent="0.2">
      <c r="D53" s="771"/>
    </row>
  </sheetData>
  <mergeCells count="10">
    <mergeCell ref="A29:B29"/>
    <mergeCell ref="A1:I1"/>
    <mergeCell ref="A3:I3"/>
    <mergeCell ref="A5:A6"/>
    <mergeCell ref="B5:B6"/>
    <mergeCell ref="C5:C6"/>
    <mergeCell ref="D5:D6"/>
    <mergeCell ref="E5:H5"/>
    <mergeCell ref="I5:I6"/>
    <mergeCell ref="G2:I2"/>
  </mergeCells>
  <printOptions horizontalCentered="1"/>
  <pageMargins left="0.7" right="0.7" top="0.75" bottom="0.75" header="0.3" footer="0.3"/>
  <pageSetup paperSize="9" scale="64" orientation="landscape" verticalDpi="300" r:id="rId1"/>
  <headerFooter alignWithMargins="0">
    <oddHeader>&amp;C&amp;"Times New Roman CE,Félkövér"&amp;12</oddHeader>
  </headerFooter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48"/>
  <dimension ref="A1:I33"/>
  <sheetViews>
    <sheetView topLeftCell="A16" workbookViewId="0">
      <selection activeCell="F9" sqref="F9"/>
    </sheetView>
  </sheetViews>
  <sheetFormatPr defaultRowHeight="12.75" x14ac:dyDescent="0.2"/>
  <cols>
    <col min="1" max="1" width="5.83203125" style="789" customWidth="1"/>
    <col min="2" max="2" width="54.83203125" style="768" customWidth="1"/>
    <col min="3" max="4" width="17.6640625" style="768" customWidth="1"/>
    <col min="5" max="16384" width="9.33203125" style="768"/>
  </cols>
  <sheetData>
    <row r="1" spans="1:9" ht="12.75" customHeight="1" x14ac:dyDescent="0.2">
      <c r="A1" s="1520" t="str">
        <f>CONCATENATE("3. tájékoztató tábla ",ALAPADATOK!A7," ",ALAPADATOK!B7," ",ALAPADATOK!C7," ",ALAPADATOK!D7," ",ALAPADATOK!E7," ",ALAPADATOK!F7," ",ALAPADATOK!G7," ",ALAPADATOK!H7)</f>
        <v>3. tájékoztató tábla a 19 / 2021. ( XI.29. ) önkormányzati rendelethez</v>
      </c>
      <c r="B1" s="1520"/>
      <c r="C1" s="1520"/>
      <c r="D1" s="1520"/>
      <c r="E1" s="630"/>
      <c r="F1" s="630"/>
      <c r="G1" s="630"/>
      <c r="H1" s="630"/>
      <c r="I1" s="630"/>
    </row>
    <row r="3" spans="1:9" ht="31.5" customHeight="1" x14ac:dyDescent="0.25">
      <c r="B3" s="1530" t="s">
        <v>547</v>
      </c>
      <c r="C3" s="1530"/>
      <c r="D3" s="1530"/>
    </row>
    <row r="4" spans="1:9" s="33" customFormat="1" ht="16.5" thickBot="1" x14ac:dyDescent="0.3">
      <c r="A4" s="453"/>
      <c r="B4" s="874" t="s">
        <v>620</v>
      </c>
      <c r="D4" s="454" t="s">
        <v>496</v>
      </c>
    </row>
    <row r="5" spans="1:9" s="788" customFormat="1" ht="48" customHeight="1" thickBot="1" x14ac:dyDescent="0.25">
      <c r="A5" s="455" t="s">
        <v>14</v>
      </c>
      <c r="B5" s="451" t="s">
        <v>15</v>
      </c>
      <c r="C5" s="451" t="s">
        <v>548</v>
      </c>
      <c r="D5" s="452" t="s">
        <v>549</v>
      </c>
    </row>
    <row r="6" spans="1:9" s="788" customFormat="1" ht="14.1" customHeight="1" thickBot="1" x14ac:dyDescent="0.25">
      <c r="A6" s="456">
        <v>1</v>
      </c>
      <c r="B6" s="72">
        <v>2</v>
      </c>
      <c r="C6" s="72">
        <v>3</v>
      </c>
      <c r="D6" s="73">
        <v>4</v>
      </c>
    </row>
    <row r="7" spans="1:9" ht="18" customHeight="1" x14ac:dyDescent="0.2">
      <c r="A7" s="457" t="s">
        <v>16</v>
      </c>
      <c r="B7" s="458" t="s">
        <v>550</v>
      </c>
      <c r="C7" s="459"/>
      <c r="D7" s="460"/>
    </row>
    <row r="8" spans="1:9" ht="18" customHeight="1" x14ac:dyDescent="0.2">
      <c r="A8" s="461" t="s">
        <v>17</v>
      </c>
      <c r="B8" s="462" t="s">
        <v>551</v>
      </c>
      <c r="C8" s="463"/>
      <c r="D8" s="854"/>
    </row>
    <row r="9" spans="1:9" ht="18" customHeight="1" x14ac:dyDescent="0.2">
      <c r="A9" s="461" t="s">
        <v>18</v>
      </c>
      <c r="B9" s="462" t="s">
        <v>552</v>
      </c>
      <c r="C9" s="463"/>
      <c r="D9" s="854"/>
    </row>
    <row r="10" spans="1:9" ht="18" customHeight="1" x14ac:dyDescent="0.2">
      <c r="A10" s="461" t="s">
        <v>19</v>
      </c>
      <c r="B10" s="462" t="s">
        <v>553</v>
      </c>
      <c r="C10" s="463"/>
      <c r="D10" s="854"/>
    </row>
    <row r="11" spans="1:9" ht="18" customHeight="1" x14ac:dyDescent="0.2">
      <c r="A11" s="461" t="s">
        <v>20</v>
      </c>
      <c r="B11" s="462" t="s">
        <v>554</v>
      </c>
      <c r="C11" s="464">
        <f>SUM(C12:C17)</f>
        <v>0</v>
      </c>
      <c r="D11" s="465">
        <f>SUM(D12:D17)</f>
        <v>0</v>
      </c>
    </row>
    <row r="12" spans="1:9" ht="18" customHeight="1" x14ac:dyDescent="0.2">
      <c r="A12" s="461" t="s">
        <v>21</v>
      </c>
      <c r="B12" s="462" t="s">
        <v>555</v>
      </c>
      <c r="C12" s="463"/>
      <c r="D12" s="854"/>
    </row>
    <row r="13" spans="1:9" ht="18" customHeight="1" x14ac:dyDescent="0.2">
      <c r="A13" s="461" t="s">
        <v>22</v>
      </c>
      <c r="B13" s="466" t="s">
        <v>556</v>
      </c>
      <c r="C13" s="463"/>
      <c r="D13" s="854"/>
    </row>
    <row r="14" spans="1:9" ht="18" customHeight="1" x14ac:dyDescent="0.2">
      <c r="A14" s="461" t="s">
        <v>24</v>
      </c>
      <c r="B14" s="466" t="s">
        <v>557</v>
      </c>
      <c r="C14" s="463">
        <v>0</v>
      </c>
      <c r="D14" s="467"/>
    </row>
    <row r="15" spans="1:9" ht="18" customHeight="1" x14ac:dyDescent="0.2">
      <c r="A15" s="461" t="s">
        <v>25</v>
      </c>
      <c r="B15" s="466" t="s">
        <v>558</v>
      </c>
      <c r="C15" s="463"/>
      <c r="D15" s="854"/>
    </row>
    <row r="16" spans="1:9" ht="18" customHeight="1" x14ac:dyDescent="0.2">
      <c r="A16" s="461" t="s">
        <v>26</v>
      </c>
      <c r="B16" s="466" t="s">
        <v>559</v>
      </c>
      <c r="C16" s="463"/>
      <c r="D16" s="854"/>
    </row>
    <row r="17" spans="1:4" ht="22.5" customHeight="1" x14ac:dyDescent="0.2">
      <c r="A17" s="461" t="s">
        <v>27</v>
      </c>
      <c r="B17" s="466" t="s">
        <v>560</v>
      </c>
      <c r="C17" s="463"/>
      <c r="D17" s="854"/>
    </row>
    <row r="18" spans="1:4" ht="18" customHeight="1" x14ac:dyDescent="0.2">
      <c r="A18" s="461" t="s">
        <v>28</v>
      </c>
      <c r="B18" s="462" t="s">
        <v>561</v>
      </c>
      <c r="C18" s="463"/>
      <c r="D18" s="854"/>
    </row>
    <row r="19" spans="1:4" ht="18" customHeight="1" x14ac:dyDescent="0.2">
      <c r="A19" s="461" t="s">
        <v>29</v>
      </c>
      <c r="B19" s="462" t="s">
        <v>562</v>
      </c>
      <c r="C19" s="463"/>
      <c r="D19" s="854"/>
    </row>
    <row r="20" spans="1:4" ht="18" customHeight="1" x14ac:dyDescent="0.2">
      <c r="A20" s="461" t="s">
        <v>30</v>
      </c>
      <c r="B20" s="462" t="s">
        <v>563</v>
      </c>
      <c r="C20" s="463"/>
      <c r="D20" s="854"/>
    </row>
    <row r="21" spans="1:4" ht="18" customHeight="1" x14ac:dyDescent="0.2">
      <c r="A21" s="461" t="s">
        <v>31</v>
      </c>
      <c r="B21" s="462" t="s">
        <v>564</v>
      </c>
      <c r="C21" s="463"/>
      <c r="D21" s="854"/>
    </row>
    <row r="22" spans="1:4" ht="18" customHeight="1" x14ac:dyDescent="0.2">
      <c r="A22" s="461" t="s">
        <v>32</v>
      </c>
      <c r="B22" s="462" t="s">
        <v>565</v>
      </c>
      <c r="C22" s="463"/>
      <c r="D22" s="854"/>
    </row>
    <row r="23" spans="1:4" ht="18" customHeight="1" x14ac:dyDescent="0.2">
      <c r="A23" s="461" t="s">
        <v>33</v>
      </c>
      <c r="B23" s="468"/>
      <c r="C23" s="35"/>
      <c r="D23" s="854"/>
    </row>
    <row r="24" spans="1:4" ht="18" customHeight="1" x14ac:dyDescent="0.2">
      <c r="A24" s="461" t="s">
        <v>34</v>
      </c>
      <c r="B24" s="469"/>
      <c r="C24" s="35"/>
      <c r="D24" s="854"/>
    </row>
    <row r="25" spans="1:4" ht="18" customHeight="1" x14ac:dyDescent="0.2">
      <c r="A25" s="461" t="s">
        <v>35</v>
      </c>
      <c r="B25" s="469"/>
      <c r="C25" s="35"/>
      <c r="D25" s="854"/>
    </row>
    <row r="26" spans="1:4" ht="18" customHeight="1" x14ac:dyDescent="0.2">
      <c r="A26" s="461" t="s">
        <v>36</v>
      </c>
      <c r="B26" s="469"/>
      <c r="C26" s="35"/>
      <c r="D26" s="854"/>
    </row>
    <row r="27" spans="1:4" ht="18" customHeight="1" x14ac:dyDescent="0.2">
      <c r="A27" s="461" t="s">
        <v>37</v>
      </c>
      <c r="B27" s="469"/>
      <c r="C27" s="35"/>
      <c r="D27" s="854"/>
    </row>
    <row r="28" spans="1:4" ht="18" customHeight="1" x14ac:dyDescent="0.2">
      <c r="A28" s="461" t="s">
        <v>38</v>
      </c>
      <c r="B28" s="469"/>
      <c r="C28" s="35"/>
      <c r="D28" s="854"/>
    </row>
    <row r="29" spans="1:4" ht="18" customHeight="1" x14ac:dyDescent="0.2">
      <c r="A29" s="461" t="s">
        <v>39</v>
      </c>
      <c r="B29" s="469"/>
      <c r="C29" s="35"/>
      <c r="D29" s="854"/>
    </row>
    <row r="30" spans="1:4" ht="18" customHeight="1" x14ac:dyDescent="0.2">
      <c r="A30" s="461" t="s">
        <v>40</v>
      </c>
      <c r="B30" s="469"/>
      <c r="C30" s="35"/>
      <c r="D30" s="854"/>
    </row>
    <row r="31" spans="1:4" ht="18" customHeight="1" thickBot="1" x14ac:dyDescent="0.25">
      <c r="A31" s="470" t="s">
        <v>41</v>
      </c>
      <c r="B31" s="471"/>
      <c r="C31" s="472"/>
      <c r="D31" s="855"/>
    </row>
    <row r="32" spans="1:4" ht="18" customHeight="1" thickBot="1" x14ac:dyDescent="0.25">
      <c r="A32" s="473" t="s">
        <v>42</v>
      </c>
      <c r="B32" s="474" t="s">
        <v>49</v>
      </c>
      <c r="C32" s="475">
        <f>+C7+C8+C9+C10+C11+C18+C19+C20+C21+C22+C23+C24+C25+C26+C27+C28+C29+C30+C31</f>
        <v>0</v>
      </c>
      <c r="D32" s="476">
        <f>+D7+D8+D9+D10+D11+D18+D19+D20+D21+D22+D23+D24+D25+D26+D27+D28+D29+D30+D31</f>
        <v>0</v>
      </c>
    </row>
    <row r="33" spans="1:4" ht="8.25" customHeight="1" x14ac:dyDescent="0.2">
      <c r="A33" s="875"/>
      <c r="B33" s="1531"/>
      <c r="C33" s="1531"/>
      <c r="D33" s="1531"/>
    </row>
  </sheetData>
  <mergeCells count="3">
    <mergeCell ref="A1:D1"/>
    <mergeCell ref="B3:D3"/>
    <mergeCell ref="B33:D33"/>
  </mergeCells>
  <printOptions horizontalCentered="1"/>
  <pageMargins left="0.7" right="0.7" top="0.75" bottom="0.75" header="0.3" footer="0.3"/>
  <pageSetup paperSize="9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5"/>
  <dimension ref="A1:H166"/>
  <sheetViews>
    <sheetView topLeftCell="A37" zoomScale="115" zoomScaleNormal="115" zoomScaleSheetLayoutView="100" workbookViewId="0">
      <selection activeCell="E9" sqref="E9"/>
    </sheetView>
  </sheetViews>
  <sheetFormatPr defaultRowHeight="15.75" x14ac:dyDescent="0.25"/>
  <cols>
    <col min="1" max="1" width="9.5" style="170" customWidth="1"/>
    <col min="2" max="2" width="91.6640625" style="170" customWidth="1"/>
    <col min="3" max="3" width="21.6640625" style="171" customWidth="1"/>
    <col min="4" max="8" width="9.33203125" style="181" hidden="1" customWidth="1"/>
    <col min="9" max="9" width="9.33203125" style="181" customWidth="1"/>
    <col min="10" max="16384" width="9.33203125" style="181"/>
  </cols>
  <sheetData>
    <row r="1" spans="1:4" s="671" customFormat="1" x14ac:dyDescent="0.25">
      <c r="A1" s="1433" t="str">
        <f>CONCATENATE("4. melléklet"," ",ALAPADATOK!A7," ",ALAPADATOK!B7," ",ALAPADATOK!C7," ",ALAPADATOK!D7," ",ALAPADATOK!E7," ",ALAPADATOK!F7," ",ALAPADATOK!G7," ",ALAPADATOK!H7)</f>
        <v>4. melléklet a 19 / 2021. ( XI.29. ) önkormányzati rendelethez</v>
      </c>
      <c r="B1" s="1433"/>
      <c r="C1" s="1433"/>
    </row>
    <row r="2" spans="1:4" s="815" customFormat="1" x14ac:dyDescent="0.25">
      <c r="A2" s="692"/>
      <c r="B2" s="692"/>
      <c r="C2" s="692"/>
    </row>
    <row r="3" spans="1:4" s="671" customFormat="1" x14ac:dyDescent="0.25">
      <c r="A3" s="1432" t="str">
        <f>CONCATENATE(ALAPADATOK!A3)</f>
        <v>Tiszavasvári Város Önkormányzat</v>
      </c>
      <c r="B3" s="1432"/>
      <c r="C3" s="1432"/>
      <c r="D3" s="671" t="s">
        <v>710</v>
      </c>
    </row>
    <row r="4" spans="1:4" s="671" customFormat="1" x14ac:dyDescent="0.25">
      <c r="A4" s="1431" t="str">
        <f>CONCATENATE(ALAPADATOK!D7," ÉVI KÖLTSÉGVETÉS")</f>
        <v>2021. ÉVI KÖLTSÉGVETÉS</v>
      </c>
      <c r="B4" s="1431"/>
      <c r="C4" s="1431"/>
      <c r="D4" s="671" t="s">
        <v>987</v>
      </c>
    </row>
    <row r="5" spans="1:4" s="671" customFormat="1" x14ac:dyDescent="0.25">
      <c r="A5" s="1431" t="s">
        <v>718</v>
      </c>
      <c r="B5" s="1431"/>
      <c r="C5" s="1431"/>
      <c r="D5" s="671" t="s">
        <v>718</v>
      </c>
    </row>
    <row r="6" spans="1:4" s="671" customFormat="1" x14ac:dyDescent="0.25">
      <c r="A6" s="670"/>
      <c r="B6" s="670"/>
      <c r="C6" s="171"/>
    </row>
    <row r="7" spans="1:4" ht="15.95" customHeight="1" x14ac:dyDescent="0.25">
      <c r="A7" s="1435" t="s">
        <v>13</v>
      </c>
      <c r="B7" s="1435"/>
      <c r="C7" s="1435"/>
    </row>
    <row r="8" spans="1:4" ht="15.95" customHeight="1" thickBot="1" x14ac:dyDescent="0.3">
      <c r="A8" s="1434" t="s">
        <v>115</v>
      </c>
      <c r="B8" s="1434"/>
      <c r="C8" s="121" t="s">
        <v>494</v>
      </c>
    </row>
    <row r="9" spans="1:4" ht="38.1" customHeight="1" thickBot="1" x14ac:dyDescent="0.3">
      <c r="A9" s="20" t="s">
        <v>64</v>
      </c>
      <c r="B9" s="21" t="s">
        <v>15</v>
      </c>
      <c r="C9" s="29" t="s">
        <v>796</v>
      </c>
    </row>
    <row r="10" spans="1:4" s="182" customFormat="1" ht="12" customHeight="1" thickBot="1" x14ac:dyDescent="0.25">
      <c r="A10" s="176" t="s">
        <v>391</v>
      </c>
      <c r="B10" s="878" t="s">
        <v>392</v>
      </c>
      <c r="C10" s="178" t="s">
        <v>393</v>
      </c>
    </row>
    <row r="11" spans="1:4" s="183" customFormat="1" ht="12" customHeight="1" thickBot="1" x14ac:dyDescent="0.25">
      <c r="A11" s="17" t="s">
        <v>16</v>
      </c>
      <c r="B11" s="18" t="s">
        <v>181</v>
      </c>
      <c r="C11" s="112">
        <f>+C12+C13+C14+C17+C18+C19</f>
        <v>0</v>
      </c>
    </row>
    <row r="12" spans="1:4" s="183" customFormat="1" ht="12" customHeight="1" x14ac:dyDescent="0.2">
      <c r="A12" s="12" t="s">
        <v>86</v>
      </c>
      <c r="B12" s="184" t="s">
        <v>182</v>
      </c>
      <c r="C12" s="114"/>
    </row>
    <row r="13" spans="1:4" s="183" customFormat="1" ht="12" customHeight="1" x14ac:dyDescent="0.2">
      <c r="A13" s="11" t="s">
        <v>87</v>
      </c>
      <c r="B13" s="185" t="s">
        <v>183</v>
      </c>
      <c r="C13" s="113"/>
    </row>
    <row r="14" spans="1:4" s="183" customFormat="1" ht="12" customHeight="1" x14ac:dyDescent="0.2">
      <c r="A14" s="11" t="s">
        <v>88</v>
      </c>
      <c r="B14" s="185" t="s">
        <v>766</v>
      </c>
      <c r="C14" s="113"/>
    </row>
    <row r="15" spans="1:4" s="183" customFormat="1" ht="12" customHeight="1" x14ac:dyDescent="0.2">
      <c r="A15" s="11" t="s">
        <v>764</v>
      </c>
      <c r="B15" s="185" t="s">
        <v>767</v>
      </c>
      <c r="C15" s="113"/>
    </row>
    <row r="16" spans="1:4" s="183" customFormat="1" ht="12" customHeight="1" x14ac:dyDescent="0.2">
      <c r="A16" s="11" t="s">
        <v>765</v>
      </c>
      <c r="B16" s="185" t="s">
        <v>768</v>
      </c>
      <c r="C16" s="113"/>
    </row>
    <row r="17" spans="1:3" s="183" customFormat="1" ht="12" customHeight="1" x14ac:dyDescent="0.2">
      <c r="A17" s="11" t="s">
        <v>89</v>
      </c>
      <c r="B17" s="185" t="s">
        <v>185</v>
      </c>
      <c r="C17" s="113"/>
    </row>
    <row r="18" spans="1:3" s="183" customFormat="1" ht="12" customHeight="1" x14ac:dyDescent="0.2">
      <c r="A18" s="11" t="s">
        <v>112</v>
      </c>
      <c r="B18" s="108" t="s">
        <v>394</v>
      </c>
      <c r="C18" s="113"/>
    </row>
    <row r="19" spans="1:3" s="183" customFormat="1" ht="12" customHeight="1" thickBot="1" x14ac:dyDescent="0.25">
      <c r="A19" s="13" t="s">
        <v>90</v>
      </c>
      <c r="B19" s="109" t="s">
        <v>395</v>
      </c>
      <c r="C19" s="113"/>
    </row>
    <row r="20" spans="1:3" s="183" customFormat="1" ht="12" customHeight="1" thickBot="1" x14ac:dyDescent="0.25">
      <c r="A20" s="17" t="s">
        <v>17</v>
      </c>
      <c r="B20" s="107" t="s">
        <v>186</v>
      </c>
      <c r="C20" s="112">
        <f>+C21+C22+C23+C24+C25</f>
        <v>0</v>
      </c>
    </row>
    <row r="21" spans="1:3" s="183" customFormat="1" ht="12" customHeight="1" x14ac:dyDescent="0.2">
      <c r="A21" s="12" t="s">
        <v>92</v>
      </c>
      <c r="B21" s="184" t="s">
        <v>187</v>
      </c>
      <c r="C21" s="114"/>
    </row>
    <row r="22" spans="1:3" s="183" customFormat="1" ht="12" customHeight="1" x14ac:dyDescent="0.2">
      <c r="A22" s="11" t="s">
        <v>93</v>
      </c>
      <c r="B22" s="185" t="s">
        <v>188</v>
      </c>
      <c r="C22" s="113"/>
    </row>
    <row r="23" spans="1:3" s="183" customFormat="1" ht="12" customHeight="1" x14ac:dyDescent="0.2">
      <c r="A23" s="11" t="s">
        <v>94</v>
      </c>
      <c r="B23" s="185" t="s">
        <v>354</v>
      </c>
      <c r="C23" s="113"/>
    </row>
    <row r="24" spans="1:3" s="183" customFormat="1" ht="12" customHeight="1" x14ac:dyDescent="0.2">
      <c r="A24" s="11" t="s">
        <v>95</v>
      </c>
      <c r="B24" s="185" t="s">
        <v>355</v>
      </c>
      <c r="C24" s="113"/>
    </row>
    <row r="25" spans="1:3" s="183" customFormat="1" ht="12" customHeight="1" x14ac:dyDescent="0.2">
      <c r="A25" s="11" t="s">
        <v>96</v>
      </c>
      <c r="B25" s="185" t="s">
        <v>189</v>
      </c>
      <c r="C25" s="113"/>
    </row>
    <row r="26" spans="1:3" s="183" customFormat="1" ht="12" customHeight="1" thickBot="1" x14ac:dyDescent="0.25">
      <c r="A26" s="13" t="s">
        <v>105</v>
      </c>
      <c r="B26" s="109" t="s">
        <v>190</v>
      </c>
      <c r="C26" s="115"/>
    </row>
    <row r="27" spans="1:3" s="183" customFormat="1" ht="12" customHeight="1" thickBot="1" x14ac:dyDescent="0.25">
      <c r="A27" s="17" t="s">
        <v>18</v>
      </c>
      <c r="B27" s="18" t="s">
        <v>191</v>
      </c>
      <c r="C27" s="112">
        <f>+C28+C29+C30+C31+C32</f>
        <v>0</v>
      </c>
    </row>
    <row r="28" spans="1:3" s="183" customFormat="1" ht="12" customHeight="1" x14ac:dyDescent="0.2">
      <c r="A28" s="12" t="s">
        <v>75</v>
      </c>
      <c r="B28" s="184" t="s">
        <v>192</v>
      </c>
      <c r="C28" s="114"/>
    </row>
    <row r="29" spans="1:3" s="183" customFormat="1" ht="12" customHeight="1" x14ac:dyDescent="0.2">
      <c r="A29" s="11" t="s">
        <v>76</v>
      </c>
      <c r="B29" s="185" t="s">
        <v>193</v>
      </c>
      <c r="C29" s="113"/>
    </row>
    <row r="30" spans="1:3" s="183" customFormat="1" ht="12" customHeight="1" x14ac:dyDescent="0.2">
      <c r="A30" s="11" t="s">
        <v>77</v>
      </c>
      <c r="B30" s="185" t="s">
        <v>356</v>
      </c>
      <c r="C30" s="113"/>
    </row>
    <row r="31" spans="1:3" s="183" customFormat="1" ht="12" customHeight="1" x14ac:dyDescent="0.2">
      <c r="A31" s="11" t="s">
        <v>78</v>
      </c>
      <c r="B31" s="185" t="s">
        <v>357</v>
      </c>
      <c r="C31" s="113"/>
    </row>
    <row r="32" spans="1:3" s="183" customFormat="1" ht="12" customHeight="1" x14ac:dyDescent="0.2">
      <c r="A32" s="11" t="s">
        <v>123</v>
      </c>
      <c r="B32" s="185" t="s">
        <v>194</v>
      </c>
      <c r="C32" s="113"/>
    </row>
    <row r="33" spans="1:3" s="183" customFormat="1" ht="12" customHeight="1" thickBot="1" x14ac:dyDescent="0.25">
      <c r="A33" s="13" t="s">
        <v>124</v>
      </c>
      <c r="B33" s="186" t="s">
        <v>195</v>
      </c>
      <c r="C33" s="115"/>
    </row>
    <row r="34" spans="1:3" s="183" customFormat="1" ht="12" customHeight="1" thickBot="1" x14ac:dyDescent="0.25">
      <c r="A34" s="17" t="s">
        <v>125</v>
      </c>
      <c r="B34" s="18" t="s">
        <v>196</v>
      </c>
      <c r="C34" s="117">
        <f>+C35+C39+C40</f>
        <v>0</v>
      </c>
    </row>
    <row r="35" spans="1:3" s="183" customFormat="1" ht="12" customHeight="1" x14ac:dyDescent="0.2">
      <c r="A35" s="12" t="s">
        <v>197</v>
      </c>
      <c r="B35" s="184" t="s">
        <v>579</v>
      </c>
      <c r="C35" s="179">
        <f>C36+C37</f>
        <v>0</v>
      </c>
    </row>
    <row r="36" spans="1:3" s="183" customFormat="1" ht="12" customHeight="1" x14ac:dyDescent="0.2">
      <c r="A36" s="11" t="s">
        <v>198</v>
      </c>
      <c r="B36" s="185" t="s">
        <v>203</v>
      </c>
      <c r="C36" s="113"/>
    </row>
    <row r="37" spans="1:3" s="183" customFormat="1" ht="12" customHeight="1" x14ac:dyDescent="0.2">
      <c r="A37" s="11" t="s">
        <v>199</v>
      </c>
      <c r="B37" s="242" t="s">
        <v>578</v>
      </c>
      <c r="C37" s="113"/>
    </row>
    <row r="38" spans="1:3" s="183" customFormat="1" ht="12" customHeight="1" x14ac:dyDescent="0.2">
      <c r="A38" s="11" t="s">
        <v>200</v>
      </c>
      <c r="B38" s="185" t="s">
        <v>479</v>
      </c>
      <c r="C38" s="113"/>
    </row>
    <row r="39" spans="1:3" s="183" customFormat="1" ht="12" customHeight="1" x14ac:dyDescent="0.2">
      <c r="A39" s="11" t="s">
        <v>202</v>
      </c>
      <c r="B39" s="185" t="s">
        <v>205</v>
      </c>
      <c r="C39" s="113"/>
    </row>
    <row r="40" spans="1:3" s="183" customFormat="1" ht="12" customHeight="1" thickBot="1" x14ac:dyDescent="0.25">
      <c r="A40" s="13" t="s">
        <v>481</v>
      </c>
      <c r="B40" s="186" t="s">
        <v>206</v>
      </c>
      <c r="C40" s="115"/>
    </row>
    <row r="41" spans="1:3" s="183" customFormat="1" ht="12" customHeight="1" thickBot="1" x14ac:dyDescent="0.25">
      <c r="A41" s="17" t="s">
        <v>20</v>
      </c>
      <c r="B41" s="18" t="s">
        <v>396</v>
      </c>
      <c r="C41" s="112">
        <f>SUM(C42:C52)</f>
        <v>500000</v>
      </c>
    </row>
    <row r="42" spans="1:3" s="183" customFormat="1" ht="12" customHeight="1" x14ac:dyDescent="0.2">
      <c r="A42" s="12" t="s">
        <v>79</v>
      </c>
      <c r="B42" s="184" t="s">
        <v>209</v>
      </c>
      <c r="C42" s="114"/>
    </row>
    <row r="43" spans="1:3" s="183" customFormat="1" ht="12" customHeight="1" x14ac:dyDescent="0.2">
      <c r="A43" s="11" t="s">
        <v>80</v>
      </c>
      <c r="B43" s="185" t="s">
        <v>210</v>
      </c>
      <c r="C43" s="116"/>
    </row>
    <row r="44" spans="1:3" s="183" customFormat="1" ht="12" customHeight="1" x14ac:dyDescent="0.2">
      <c r="A44" s="11" t="s">
        <v>81</v>
      </c>
      <c r="B44" s="185" t="s">
        <v>211</v>
      </c>
      <c r="C44" s="1180">
        <v>400000</v>
      </c>
    </row>
    <row r="45" spans="1:3" s="183" customFormat="1" ht="12" customHeight="1" x14ac:dyDescent="0.2">
      <c r="A45" s="11" t="s">
        <v>127</v>
      </c>
      <c r="B45" s="185" t="s">
        <v>212</v>
      </c>
      <c r="C45" s="116"/>
    </row>
    <row r="46" spans="1:3" s="183" customFormat="1" ht="12" customHeight="1" x14ac:dyDescent="0.2">
      <c r="A46" s="11" t="s">
        <v>128</v>
      </c>
      <c r="B46" s="185" t="s">
        <v>213</v>
      </c>
      <c r="C46" s="116"/>
    </row>
    <row r="47" spans="1:3" s="183" customFormat="1" ht="12" customHeight="1" x14ac:dyDescent="0.2">
      <c r="A47" s="11" t="s">
        <v>129</v>
      </c>
      <c r="B47" s="185" t="s">
        <v>214</v>
      </c>
      <c r="C47" s="116"/>
    </row>
    <row r="48" spans="1:3" s="183" customFormat="1" ht="12" customHeight="1" x14ac:dyDescent="0.2">
      <c r="A48" s="11" t="s">
        <v>130</v>
      </c>
      <c r="B48" s="185" t="s">
        <v>215</v>
      </c>
      <c r="C48" s="116"/>
    </row>
    <row r="49" spans="1:3" s="183" customFormat="1" ht="12" customHeight="1" x14ac:dyDescent="0.2">
      <c r="A49" s="11" t="s">
        <v>131</v>
      </c>
      <c r="B49" s="185" t="s">
        <v>484</v>
      </c>
      <c r="C49" s="116"/>
    </row>
    <row r="50" spans="1:3" s="183" customFormat="1" ht="12" customHeight="1" x14ac:dyDescent="0.2">
      <c r="A50" s="11" t="s">
        <v>207</v>
      </c>
      <c r="B50" s="185" t="s">
        <v>217</v>
      </c>
      <c r="C50" s="116"/>
    </row>
    <row r="51" spans="1:3" s="183" customFormat="1" ht="12" customHeight="1" x14ac:dyDescent="0.2">
      <c r="A51" s="13" t="s">
        <v>208</v>
      </c>
      <c r="B51" s="186" t="s">
        <v>397</v>
      </c>
      <c r="C51" s="173"/>
    </row>
    <row r="52" spans="1:3" s="183" customFormat="1" ht="12" customHeight="1" thickBot="1" x14ac:dyDescent="0.25">
      <c r="A52" s="13" t="s">
        <v>398</v>
      </c>
      <c r="B52" s="109" t="s">
        <v>218</v>
      </c>
      <c r="C52" s="173">
        <v>100000</v>
      </c>
    </row>
    <row r="53" spans="1:3" s="183" customFormat="1" ht="12" customHeight="1" thickBot="1" x14ac:dyDescent="0.25">
      <c r="A53" s="17" t="s">
        <v>21</v>
      </c>
      <c r="B53" s="18" t="s">
        <v>219</v>
      </c>
      <c r="C53" s="112">
        <f>SUM(C54:C58)</f>
        <v>0</v>
      </c>
    </row>
    <row r="54" spans="1:3" s="183" customFormat="1" ht="12" customHeight="1" x14ac:dyDescent="0.2">
      <c r="A54" s="12" t="s">
        <v>82</v>
      </c>
      <c r="B54" s="184" t="s">
        <v>223</v>
      </c>
      <c r="C54" s="222"/>
    </row>
    <row r="55" spans="1:3" s="183" customFormat="1" ht="12" customHeight="1" x14ac:dyDescent="0.2">
      <c r="A55" s="11" t="s">
        <v>83</v>
      </c>
      <c r="B55" s="185" t="s">
        <v>224</v>
      </c>
      <c r="C55" s="116"/>
    </row>
    <row r="56" spans="1:3" s="183" customFormat="1" ht="12" customHeight="1" x14ac:dyDescent="0.2">
      <c r="A56" s="11" t="s">
        <v>220</v>
      </c>
      <c r="B56" s="185" t="s">
        <v>225</v>
      </c>
      <c r="C56" s="116"/>
    </row>
    <row r="57" spans="1:3" s="183" customFormat="1" ht="12" customHeight="1" x14ac:dyDescent="0.2">
      <c r="A57" s="11" t="s">
        <v>221</v>
      </c>
      <c r="B57" s="185" t="s">
        <v>226</v>
      </c>
      <c r="C57" s="116"/>
    </row>
    <row r="58" spans="1:3" s="183" customFormat="1" ht="12" customHeight="1" thickBot="1" x14ac:dyDescent="0.25">
      <c r="A58" s="13" t="s">
        <v>222</v>
      </c>
      <c r="B58" s="109" t="s">
        <v>227</v>
      </c>
      <c r="C58" s="173"/>
    </row>
    <row r="59" spans="1:3" s="183" customFormat="1" ht="12" customHeight="1" thickBot="1" x14ac:dyDescent="0.25">
      <c r="A59" s="17" t="s">
        <v>132</v>
      </c>
      <c r="B59" s="18" t="s">
        <v>228</v>
      </c>
      <c r="C59" s="112">
        <f>SUM(C60:C62)</f>
        <v>0</v>
      </c>
    </row>
    <row r="60" spans="1:3" s="183" customFormat="1" ht="12" customHeight="1" x14ac:dyDescent="0.2">
      <c r="A60" s="12" t="s">
        <v>84</v>
      </c>
      <c r="B60" s="184" t="s">
        <v>229</v>
      </c>
      <c r="C60" s="114"/>
    </row>
    <row r="61" spans="1:3" s="183" customFormat="1" ht="12" customHeight="1" x14ac:dyDescent="0.2">
      <c r="A61" s="11" t="s">
        <v>85</v>
      </c>
      <c r="B61" s="185" t="s">
        <v>358</v>
      </c>
      <c r="C61" s="113"/>
    </row>
    <row r="62" spans="1:3" s="183" customFormat="1" ht="12" customHeight="1" x14ac:dyDescent="0.2">
      <c r="A62" s="11" t="s">
        <v>232</v>
      </c>
      <c r="B62" s="185" t="s">
        <v>230</v>
      </c>
      <c r="C62" s="113"/>
    </row>
    <row r="63" spans="1:3" s="183" customFormat="1" ht="12" customHeight="1" thickBot="1" x14ac:dyDescent="0.25">
      <c r="A63" s="13" t="s">
        <v>233</v>
      </c>
      <c r="B63" s="109" t="s">
        <v>231</v>
      </c>
      <c r="C63" s="115"/>
    </row>
    <row r="64" spans="1:3" s="183" customFormat="1" ht="12" customHeight="1" thickBot="1" x14ac:dyDescent="0.25">
      <c r="A64" s="17" t="s">
        <v>23</v>
      </c>
      <c r="B64" s="107" t="s">
        <v>234</v>
      </c>
      <c r="C64" s="112">
        <f>SUM(C65:C67)</f>
        <v>0</v>
      </c>
    </row>
    <row r="65" spans="1:3" s="183" customFormat="1" ht="12" customHeight="1" x14ac:dyDescent="0.2">
      <c r="A65" s="12" t="s">
        <v>133</v>
      </c>
      <c r="B65" s="184" t="s">
        <v>236</v>
      </c>
      <c r="C65" s="116"/>
    </row>
    <row r="66" spans="1:3" s="183" customFormat="1" ht="12" customHeight="1" x14ac:dyDescent="0.2">
      <c r="A66" s="11" t="s">
        <v>134</v>
      </c>
      <c r="B66" s="185" t="s">
        <v>359</v>
      </c>
      <c r="C66" s="116"/>
    </row>
    <row r="67" spans="1:3" s="183" customFormat="1" ht="12" customHeight="1" x14ac:dyDescent="0.2">
      <c r="A67" s="11" t="s">
        <v>160</v>
      </c>
      <c r="B67" s="185" t="s">
        <v>237</v>
      </c>
      <c r="C67" s="116"/>
    </row>
    <row r="68" spans="1:3" s="183" customFormat="1" ht="12" customHeight="1" thickBot="1" x14ac:dyDescent="0.25">
      <c r="A68" s="13" t="s">
        <v>235</v>
      </c>
      <c r="B68" s="109" t="s">
        <v>238</v>
      </c>
      <c r="C68" s="116"/>
    </row>
    <row r="69" spans="1:3" s="183" customFormat="1" ht="12" customHeight="1" thickBot="1" x14ac:dyDescent="0.25">
      <c r="A69" s="243" t="s">
        <v>399</v>
      </c>
      <c r="B69" s="18" t="s">
        <v>239</v>
      </c>
      <c r="C69" s="117">
        <f>+C11+C20+C27+C34+C41+C53+C59+C64</f>
        <v>500000</v>
      </c>
    </row>
    <row r="70" spans="1:3" s="183" customFormat="1" ht="12" customHeight="1" thickBot="1" x14ac:dyDescent="0.25">
      <c r="A70" s="244" t="s">
        <v>240</v>
      </c>
      <c r="B70" s="107" t="s">
        <v>241</v>
      </c>
      <c r="C70" s="112">
        <f>SUM(C71:C73)</f>
        <v>0</v>
      </c>
    </row>
    <row r="71" spans="1:3" s="183" customFormat="1" ht="12" customHeight="1" x14ac:dyDescent="0.2">
      <c r="A71" s="12" t="s">
        <v>272</v>
      </c>
      <c r="B71" s="184" t="s">
        <v>242</v>
      </c>
      <c r="C71" s="116"/>
    </row>
    <row r="72" spans="1:3" s="183" customFormat="1" ht="12" customHeight="1" x14ac:dyDescent="0.2">
      <c r="A72" s="11" t="s">
        <v>281</v>
      </c>
      <c r="B72" s="185" t="s">
        <v>243</v>
      </c>
      <c r="C72" s="116"/>
    </row>
    <row r="73" spans="1:3" s="183" customFormat="1" ht="12" customHeight="1" thickBot="1" x14ac:dyDescent="0.25">
      <c r="A73" s="13" t="s">
        <v>282</v>
      </c>
      <c r="B73" s="245" t="s">
        <v>400</v>
      </c>
      <c r="C73" s="116"/>
    </row>
    <row r="74" spans="1:3" s="183" customFormat="1" ht="12" customHeight="1" thickBot="1" x14ac:dyDescent="0.25">
      <c r="A74" s="244" t="s">
        <v>245</v>
      </c>
      <c r="B74" s="107" t="s">
        <v>246</v>
      </c>
      <c r="C74" s="112">
        <f>SUM(C75:C78)</f>
        <v>0</v>
      </c>
    </row>
    <row r="75" spans="1:3" s="183" customFormat="1" ht="12" customHeight="1" x14ac:dyDescent="0.2">
      <c r="A75" s="12" t="s">
        <v>113</v>
      </c>
      <c r="B75" s="184" t="s">
        <v>247</v>
      </c>
      <c r="C75" s="116"/>
    </row>
    <row r="76" spans="1:3" s="183" customFormat="1" ht="12" customHeight="1" x14ac:dyDescent="0.2">
      <c r="A76" s="11" t="s">
        <v>114</v>
      </c>
      <c r="B76" s="185" t="s">
        <v>807</v>
      </c>
      <c r="C76" s="116"/>
    </row>
    <row r="77" spans="1:3" s="183" customFormat="1" ht="12" customHeight="1" x14ac:dyDescent="0.2">
      <c r="A77" s="11" t="s">
        <v>273</v>
      </c>
      <c r="B77" s="185" t="s">
        <v>249</v>
      </c>
      <c r="C77" s="116"/>
    </row>
    <row r="78" spans="1:3" s="183" customFormat="1" ht="12" customHeight="1" thickBot="1" x14ac:dyDescent="0.25">
      <c r="A78" s="13" t="s">
        <v>274</v>
      </c>
      <c r="B78" s="109" t="s">
        <v>808</v>
      </c>
      <c r="C78" s="116"/>
    </row>
    <row r="79" spans="1:3" s="183" customFormat="1" ht="12" customHeight="1" thickBot="1" x14ac:dyDescent="0.25">
      <c r="A79" s="244" t="s">
        <v>251</v>
      </c>
      <c r="B79" s="107" t="s">
        <v>252</v>
      </c>
      <c r="C79" s="112">
        <f>SUM(C80:C81)</f>
        <v>0</v>
      </c>
    </row>
    <row r="80" spans="1:3" s="183" customFormat="1" ht="12" customHeight="1" x14ac:dyDescent="0.2">
      <c r="A80" s="12" t="s">
        <v>275</v>
      </c>
      <c r="B80" s="184" t="s">
        <v>253</v>
      </c>
      <c r="C80" s="116"/>
    </row>
    <row r="81" spans="1:3" s="183" customFormat="1" ht="12" customHeight="1" thickBot="1" x14ac:dyDescent="0.25">
      <c r="A81" s="13" t="s">
        <v>276</v>
      </c>
      <c r="B81" s="109" t="s">
        <v>254</v>
      </c>
      <c r="C81" s="116"/>
    </row>
    <row r="82" spans="1:3" s="183" customFormat="1" ht="12" customHeight="1" thickBot="1" x14ac:dyDescent="0.25">
      <c r="A82" s="244" t="s">
        <v>255</v>
      </c>
      <c r="B82" s="107" t="s">
        <v>256</v>
      </c>
      <c r="C82" s="112">
        <f>SUM(C83:C85)</f>
        <v>0</v>
      </c>
    </row>
    <row r="83" spans="1:3" s="183" customFormat="1" ht="12" customHeight="1" x14ac:dyDescent="0.2">
      <c r="A83" s="12" t="s">
        <v>277</v>
      </c>
      <c r="B83" s="184" t="s">
        <v>257</v>
      </c>
      <c r="C83" s="116"/>
    </row>
    <row r="84" spans="1:3" s="183" customFormat="1" ht="12" customHeight="1" x14ac:dyDescent="0.2">
      <c r="A84" s="11" t="s">
        <v>278</v>
      </c>
      <c r="B84" s="185" t="s">
        <v>258</v>
      </c>
      <c r="C84" s="116"/>
    </row>
    <row r="85" spans="1:3" s="183" customFormat="1" ht="12" customHeight="1" thickBot="1" x14ac:dyDescent="0.25">
      <c r="A85" s="13" t="s">
        <v>279</v>
      </c>
      <c r="B85" s="109" t="s">
        <v>809</v>
      </c>
      <c r="C85" s="116"/>
    </row>
    <row r="86" spans="1:3" s="183" customFormat="1" ht="12" customHeight="1" thickBot="1" x14ac:dyDescent="0.25">
      <c r="A86" s="244" t="s">
        <v>260</v>
      </c>
      <c r="B86" s="107" t="s">
        <v>280</v>
      </c>
      <c r="C86" s="112">
        <f>SUM(C87:C90)</f>
        <v>0</v>
      </c>
    </row>
    <row r="87" spans="1:3" s="183" customFormat="1" ht="12" customHeight="1" x14ac:dyDescent="0.2">
      <c r="A87" s="188" t="s">
        <v>261</v>
      </c>
      <c r="B87" s="184" t="s">
        <v>262</v>
      </c>
      <c r="C87" s="116"/>
    </row>
    <row r="88" spans="1:3" s="183" customFormat="1" ht="12" customHeight="1" x14ac:dyDescent="0.2">
      <c r="A88" s="189" t="s">
        <v>263</v>
      </c>
      <c r="B88" s="185" t="s">
        <v>264</v>
      </c>
      <c r="C88" s="116"/>
    </row>
    <row r="89" spans="1:3" s="183" customFormat="1" ht="12" customHeight="1" x14ac:dyDescent="0.2">
      <c r="A89" s="189" t="s">
        <v>265</v>
      </c>
      <c r="B89" s="185" t="s">
        <v>266</v>
      </c>
      <c r="C89" s="116"/>
    </row>
    <row r="90" spans="1:3" s="183" customFormat="1" ht="12" customHeight="1" thickBot="1" x14ac:dyDescent="0.25">
      <c r="A90" s="190" t="s">
        <v>267</v>
      </c>
      <c r="B90" s="109" t="s">
        <v>268</v>
      </c>
      <c r="C90" s="116"/>
    </row>
    <row r="91" spans="1:3" s="183" customFormat="1" ht="12" customHeight="1" thickBot="1" x14ac:dyDescent="0.25">
      <c r="A91" s="244" t="s">
        <v>269</v>
      </c>
      <c r="B91" s="107" t="s">
        <v>401</v>
      </c>
      <c r="C91" s="223"/>
    </row>
    <row r="92" spans="1:3" s="183" customFormat="1" ht="13.5" customHeight="1" thickBot="1" x14ac:dyDescent="0.25">
      <c r="A92" s="244" t="s">
        <v>271</v>
      </c>
      <c r="B92" s="107" t="s">
        <v>270</v>
      </c>
      <c r="C92" s="223"/>
    </row>
    <row r="93" spans="1:3" s="183" customFormat="1" ht="15.75" customHeight="1" thickBot="1" x14ac:dyDescent="0.25">
      <c r="A93" s="244" t="s">
        <v>283</v>
      </c>
      <c r="B93" s="191" t="s">
        <v>402</v>
      </c>
      <c r="C93" s="117">
        <f>+C70+C74+C79+C82+C86+C92+C91</f>
        <v>0</v>
      </c>
    </row>
    <row r="94" spans="1:3" s="183" customFormat="1" ht="16.5" customHeight="1" thickBot="1" x14ac:dyDescent="0.25">
      <c r="A94" s="246" t="s">
        <v>403</v>
      </c>
      <c r="B94" s="192" t="s">
        <v>404</v>
      </c>
      <c r="C94" s="117">
        <f>+C69+C93</f>
        <v>500000</v>
      </c>
    </row>
    <row r="95" spans="1:3" s="183" customFormat="1" ht="54" customHeight="1" x14ac:dyDescent="0.2">
      <c r="A95" s="2"/>
      <c r="B95" s="3"/>
      <c r="C95" s="118"/>
    </row>
    <row r="96" spans="1:3" ht="16.5" customHeight="1" x14ac:dyDescent="0.25">
      <c r="A96" s="1435" t="s">
        <v>44</v>
      </c>
      <c r="B96" s="1435"/>
      <c r="C96" s="1435"/>
    </row>
    <row r="97" spans="1:3" s="193" customFormat="1" ht="16.5" customHeight="1" thickBot="1" x14ac:dyDescent="0.3">
      <c r="A97" s="1436" t="s">
        <v>116</v>
      </c>
      <c r="B97" s="1436"/>
      <c r="C97" s="56" t="s">
        <v>494</v>
      </c>
    </row>
    <row r="98" spans="1:3" ht="38.1" customHeight="1" thickBot="1" x14ac:dyDescent="0.3">
      <c r="A98" s="20" t="s">
        <v>64</v>
      </c>
      <c r="B98" s="21" t="s">
        <v>45</v>
      </c>
      <c r="C98" s="29" t="str">
        <f>+C9</f>
        <v>2021. évi előirányzat</v>
      </c>
    </row>
    <row r="99" spans="1:3" s="182" customFormat="1" ht="12" customHeight="1" thickBot="1" x14ac:dyDescent="0.25">
      <c r="A99" s="25" t="s">
        <v>391</v>
      </c>
      <c r="B99" s="26" t="s">
        <v>392</v>
      </c>
      <c r="C99" s="27" t="s">
        <v>393</v>
      </c>
    </row>
    <row r="100" spans="1:3" ht="12" customHeight="1" thickBot="1" x14ac:dyDescent="0.3">
      <c r="A100" s="19" t="s">
        <v>16</v>
      </c>
      <c r="B100" s="23" t="s">
        <v>442</v>
      </c>
      <c r="C100" s="111">
        <f>C101+C102+C103+C104+C105+C118</f>
        <v>229724658</v>
      </c>
    </row>
    <row r="101" spans="1:3" ht="12" customHeight="1" x14ac:dyDescent="0.25">
      <c r="A101" s="14" t="s">
        <v>86</v>
      </c>
      <c r="B101" s="7" t="s">
        <v>46</v>
      </c>
      <c r="C101" s="261">
        <f>158870797-1748000+8563501</f>
        <v>165686298</v>
      </c>
    </row>
    <row r="102" spans="1:3" ht="12" customHeight="1" x14ac:dyDescent="0.25">
      <c r="A102" s="11" t="s">
        <v>87</v>
      </c>
      <c r="B102" s="5" t="s">
        <v>135</v>
      </c>
      <c r="C102" s="863">
        <f>27952710-270940+1306930</f>
        <v>28988700</v>
      </c>
    </row>
    <row r="103" spans="1:3" ht="12" customHeight="1" x14ac:dyDescent="0.25">
      <c r="A103" s="11" t="s">
        <v>88</v>
      </c>
      <c r="B103" s="5" t="s">
        <v>111</v>
      </c>
      <c r="C103" s="1311">
        <f>35909660-1260000+400000</f>
        <v>35049660</v>
      </c>
    </row>
    <row r="104" spans="1:3" ht="12" customHeight="1" x14ac:dyDescent="0.25">
      <c r="A104" s="11" t="s">
        <v>89</v>
      </c>
      <c r="B104" s="8" t="s">
        <v>136</v>
      </c>
      <c r="C104" s="173"/>
    </row>
    <row r="105" spans="1:3" ht="12" customHeight="1" x14ac:dyDescent="0.25">
      <c r="A105" s="11" t="s">
        <v>100</v>
      </c>
      <c r="B105" s="16" t="s">
        <v>137</v>
      </c>
      <c r="C105" s="863">
        <f>SUM(C106:C117)</f>
        <v>0</v>
      </c>
    </row>
    <row r="106" spans="1:3" ht="12" customHeight="1" x14ac:dyDescent="0.25">
      <c r="A106" s="11" t="s">
        <v>90</v>
      </c>
      <c r="B106" s="5" t="s">
        <v>405</v>
      </c>
      <c r="C106" s="865"/>
    </row>
    <row r="107" spans="1:3" ht="12" customHeight="1" x14ac:dyDescent="0.25">
      <c r="A107" s="11" t="s">
        <v>91</v>
      </c>
      <c r="B107" s="60" t="s">
        <v>406</v>
      </c>
      <c r="C107" s="865"/>
    </row>
    <row r="108" spans="1:3" ht="12" customHeight="1" x14ac:dyDescent="0.25">
      <c r="A108" s="11" t="s">
        <v>101</v>
      </c>
      <c r="B108" s="60" t="s">
        <v>407</v>
      </c>
      <c r="C108" s="865"/>
    </row>
    <row r="109" spans="1:3" ht="12" customHeight="1" x14ac:dyDescent="0.25">
      <c r="A109" s="11" t="s">
        <v>102</v>
      </c>
      <c r="B109" s="58" t="s">
        <v>286</v>
      </c>
      <c r="C109" s="865"/>
    </row>
    <row r="110" spans="1:3" ht="12" customHeight="1" x14ac:dyDescent="0.25">
      <c r="A110" s="11" t="s">
        <v>103</v>
      </c>
      <c r="B110" s="59" t="s">
        <v>287</v>
      </c>
      <c r="C110" s="865"/>
    </row>
    <row r="111" spans="1:3" ht="12" customHeight="1" x14ac:dyDescent="0.25">
      <c r="A111" s="11" t="s">
        <v>104</v>
      </c>
      <c r="B111" s="59" t="s">
        <v>288</v>
      </c>
      <c r="C111" s="865"/>
    </row>
    <row r="112" spans="1:3" ht="12" customHeight="1" x14ac:dyDescent="0.25">
      <c r="A112" s="11" t="s">
        <v>106</v>
      </c>
      <c r="B112" s="58" t="s">
        <v>289</v>
      </c>
      <c r="C112" s="865"/>
    </row>
    <row r="113" spans="1:3" ht="12" customHeight="1" x14ac:dyDescent="0.25">
      <c r="A113" s="11" t="s">
        <v>138</v>
      </c>
      <c r="B113" s="58" t="s">
        <v>290</v>
      </c>
      <c r="C113" s="865"/>
    </row>
    <row r="114" spans="1:3" ht="12" customHeight="1" x14ac:dyDescent="0.25">
      <c r="A114" s="11" t="s">
        <v>284</v>
      </c>
      <c r="B114" s="59" t="s">
        <v>291</v>
      </c>
      <c r="C114" s="865"/>
    </row>
    <row r="115" spans="1:3" ht="12" customHeight="1" x14ac:dyDescent="0.25">
      <c r="A115" s="10" t="s">
        <v>285</v>
      </c>
      <c r="B115" s="60" t="s">
        <v>292</v>
      </c>
      <c r="C115" s="865"/>
    </row>
    <row r="116" spans="1:3" ht="12" customHeight="1" x14ac:dyDescent="0.25">
      <c r="A116" s="11" t="s">
        <v>408</v>
      </c>
      <c r="B116" s="60" t="s">
        <v>293</v>
      </c>
      <c r="C116" s="865"/>
    </row>
    <row r="117" spans="1:3" ht="12" customHeight="1" x14ac:dyDescent="0.25">
      <c r="A117" s="13" t="s">
        <v>409</v>
      </c>
      <c r="B117" s="60" t="s">
        <v>294</v>
      </c>
      <c r="C117" s="864"/>
    </row>
    <row r="118" spans="1:3" ht="12" customHeight="1" x14ac:dyDescent="0.25">
      <c r="A118" s="11" t="s">
        <v>410</v>
      </c>
      <c r="B118" s="8" t="s">
        <v>47</v>
      </c>
      <c r="C118" s="863">
        <f>C119+C120</f>
        <v>0</v>
      </c>
    </row>
    <row r="119" spans="1:3" ht="12" customHeight="1" x14ac:dyDescent="0.25">
      <c r="A119" s="11" t="s">
        <v>411</v>
      </c>
      <c r="B119" s="5" t="s">
        <v>412</v>
      </c>
      <c r="C119" s="113"/>
    </row>
    <row r="120" spans="1:3" ht="12" customHeight="1" thickBot="1" x14ac:dyDescent="0.3">
      <c r="A120" s="15" t="s">
        <v>413</v>
      </c>
      <c r="B120" s="247" t="s">
        <v>414</v>
      </c>
      <c r="C120" s="119"/>
    </row>
    <row r="121" spans="1:3" ht="12" customHeight="1" thickBot="1" x14ac:dyDescent="0.3">
      <c r="A121" s="248" t="s">
        <v>17</v>
      </c>
      <c r="B121" s="249" t="s">
        <v>295</v>
      </c>
      <c r="C121" s="250">
        <f>+C122+C124+C126</f>
        <v>1977099</v>
      </c>
    </row>
    <row r="122" spans="1:3" ht="12" customHeight="1" x14ac:dyDescent="0.25">
      <c r="A122" s="12" t="s">
        <v>92</v>
      </c>
      <c r="B122" s="5" t="s">
        <v>159</v>
      </c>
      <c r="C122" s="222">
        <v>1977099</v>
      </c>
    </row>
    <row r="123" spans="1:3" ht="12" customHeight="1" x14ac:dyDescent="0.25">
      <c r="A123" s="12" t="s">
        <v>93</v>
      </c>
      <c r="B123" s="9" t="s">
        <v>299</v>
      </c>
      <c r="C123" s="222"/>
    </row>
    <row r="124" spans="1:3" ht="12" customHeight="1" x14ac:dyDescent="0.25">
      <c r="A124" s="12" t="s">
        <v>94</v>
      </c>
      <c r="B124" s="9" t="s">
        <v>139</v>
      </c>
      <c r="C124" s="863"/>
    </row>
    <row r="125" spans="1:3" ht="12" customHeight="1" x14ac:dyDescent="0.25">
      <c r="A125" s="12" t="s">
        <v>95</v>
      </c>
      <c r="B125" s="9" t="s">
        <v>300</v>
      </c>
      <c r="C125" s="864"/>
    </row>
    <row r="126" spans="1:3" ht="12" customHeight="1" x14ac:dyDescent="0.25">
      <c r="A126" s="12" t="s">
        <v>96</v>
      </c>
      <c r="B126" s="109" t="s">
        <v>161</v>
      </c>
      <c r="C126" s="864">
        <f>SUM(C127:C134)</f>
        <v>0</v>
      </c>
    </row>
    <row r="127" spans="1:3" ht="12" customHeight="1" x14ac:dyDescent="0.25">
      <c r="A127" s="12" t="s">
        <v>105</v>
      </c>
      <c r="B127" s="108" t="s">
        <v>360</v>
      </c>
      <c r="C127" s="864"/>
    </row>
    <row r="128" spans="1:3" ht="12" customHeight="1" x14ac:dyDescent="0.25">
      <c r="A128" s="12" t="s">
        <v>107</v>
      </c>
      <c r="B128" s="180" t="s">
        <v>305</v>
      </c>
      <c r="C128" s="864"/>
    </row>
    <row r="129" spans="1:3" x14ac:dyDescent="0.25">
      <c r="A129" s="12" t="s">
        <v>140</v>
      </c>
      <c r="B129" s="59" t="s">
        <v>288</v>
      </c>
      <c r="C129" s="864"/>
    </row>
    <row r="130" spans="1:3" ht="12" customHeight="1" x14ac:dyDescent="0.25">
      <c r="A130" s="12" t="s">
        <v>141</v>
      </c>
      <c r="B130" s="59" t="s">
        <v>304</v>
      </c>
      <c r="C130" s="864"/>
    </row>
    <row r="131" spans="1:3" ht="12" customHeight="1" x14ac:dyDescent="0.25">
      <c r="A131" s="12" t="s">
        <v>142</v>
      </c>
      <c r="B131" s="59" t="s">
        <v>303</v>
      </c>
      <c r="C131" s="864"/>
    </row>
    <row r="132" spans="1:3" ht="12" customHeight="1" x14ac:dyDescent="0.25">
      <c r="A132" s="12" t="s">
        <v>296</v>
      </c>
      <c r="B132" s="59" t="s">
        <v>291</v>
      </c>
      <c r="C132" s="864"/>
    </row>
    <row r="133" spans="1:3" ht="12" customHeight="1" x14ac:dyDescent="0.25">
      <c r="A133" s="12" t="s">
        <v>297</v>
      </c>
      <c r="B133" s="59" t="s">
        <v>302</v>
      </c>
      <c r="C133" s="864"/>
    </row>
    <row r="134" spans="1:3" ht="16.5" thickBot="1" x14ac:dyDescent="0.3">
      <c r="A134" s="10" t="s">
        <v>298</v>
      </c>
      <c r="B134" s="59" t="s">
        <v>301</v>
      </c>
      <c r="C134" s="865"/>
    </row>
    <row r="135" spans="1:3" ht="12" customHeight="1" thickBot="1" x14ac:dyDescent="0.3">
      <c r="A135" s="17" t="s">
        <v>18</v>
      </c>
      <c r="B135" s="54" t="s">
        <v>415</v>
      </c>
      <c r="C135" s="112">
        <f>+C100+C121</f>
        <v>231701757</v>
      </c>
    </row>
    <row r="136" spans="1:3" ht="12" customHeight="1" thickBot="1" x14ac:dyDescent="0.3">
      <c r="A136" s="17" t="s">
        <v>19</v>
      </c>
      <c r="B136" s="54" t="s">
        <v>416</v>
      </c>
      <c r="C136" s="112">
        <f>+C137+C138+C139</f>
        <v>0</v>
      </c>
    </row>
    <row r="137" spans="1:3" ht="12" customHeight="1" x14ac:dyDescent="0.25">
      <c r="A137" s="12" t="s">
        <v>197</v>
      </c>
      <c r="B137" s="9" t="s">
        <v>417</v>
      </c>
      <c r="C137" s="101"/>
    </row>
    <row r="138" spans="1:3" ht="12" customHeight="1" x14ac:dyDescent="0.25">
      <c r="A138" s="12" t="s">
        <v>200</v>
      </c>
      <c r="B138" s="9" t="s">
        <v>418</v>
      </c>
      <c r="C138" s="101"/>
    </row>
    <row r="139" spans="1:3" ht="12" customHeight="1" thickBot="1" x14ac:dyDescent="0.3">
      <c r="A139" s="10" t="s">
        <v>201</v>
      </c>
      <c r="B139" s="9" t="s">
        <v>419</v>
      </c>
      <c r="C139" s="101"/>
    </row>
    <row r="140" spans="1:3" ht="12" customHeight="1" thickBot="1" x14ac:dyDescent="0.3">
      <c r="A140" s="17" t="s">
        <v>20</v>
      </c>
      <c r="B140" s="54" t="s">
        <v>420</v>
      </c>
      <c r="C140" s="112">
        <f>SUM(C141:C146)</f>
        <v>0</v>
      </c>
    </row>
    <row r="141" spans="1:3" ht="12" customHeight="1" x14ac:dyDescent="0.25">
      <c r="A141" s="12" t="s">
        <v>79</v>
      </c>
      <c r="B141" s="6" t="s">
        <v>421</v>
      </c>
      <c r="C141" s="101"/>
    </row>
    <row r="142" spans="1:3" ht="12" customHeight="1" x14ac:dyDescent="0.25">
      <c r="A142" s="12" t="s">
        <v>80</v>
      </c>
      <c r="B142" s="6" t="s">
        <v>422</v>
      </c>
      <c r="C142" s="101"/>
    </row>
    <row r="143" spans="1:3" ht="12" customHeight="1" x14ac:dyDescent="0.25">
      <c r="A143" s="12" t="s">
        <v>81</v>
      </c>
      <c r="B143" s="6" t="s">
        <v>423</v>
      </c>
      <c r="C143" s="101"/>
    </row>
    <row r="144" spans="1:3" ht="12" customHeight="1" x14ac:dyDescent="0.25">
      <c r="A144" s="12" t="s">
        <v>127</v>
      </c>
      <c r="B144" s="6" t="s">
        <v>424</v>
      </c>
      <c r="C144" s="101"/>
    </row>
    <row r="145" spans="1:6" ht="12" customHeight="1" x14ac:dyDescent="0.25">
      <c r="A145" s="12" t="s">
        <v>128</v>
      </c>
      <c r="B145" s="6" t="s">
        <v>425</v>
      </c>
      <c r="C145" s="101"/>
    </row>
    <row r="146" spans="1:6" ht="12" customHeight="1" thickBot="1" x14ac:dyDescent="0.3">
      <c r="A146" s="10" t="s">
        <v>129</v>
      </c>
      <c r="B146" s="6" t="s">
        <v>426</v>
      </c>
      <c r="C146" s="101"/>
    </row>
    <row r="147" spans="1:6" ht="12" customHeight="1" thickBot="1" x14ac:dyDescent="0.3">
      <c r="A147" s="17" t="s">
        <v>21</v>
      </c>
      <c r="B147" s="54" t="s">
        <v>427</v>
      </c>
      <c r="C147" s="117">
        <f>+C148+C149+C150+C151</f>
        <v>0</v>
      </c>
    </row>
    <row r="148" spans="1:6" ht="12" customHeight="1" x14ac:dyDescent="0.25">
      <c r="A148" s="12" t="s">
        <v>82</v>
      </c>
      <c r="B148" s="6" t="s">
        <v>306</v>
      </c>
      <c r="C148" s="101"/>
    </row>
    <row r="149" spans="1:6" ht="12" customHeight="1" x14ac:dyDescent="0.25">
      <c r="A149" s="12" t="s">
        <v>83</v>
      </c>
      <c r="B149" s="6" t="s">
        <v>307</v>
      </c>
      <c r="C149" s="101"/>
    </row>
    <row r="150" spans="1:6" ht="12" customHeight="1" x14ac:dyDescent="0.25">
      <c r="A150" s="12" t="s">
        <v>220</v>
      </c>
      <c r="B150" s="6" t="s">
        <v>428</v>
      </c>
      <c r="C150" s="101"/>
    </row>
    <row r="151" spans="1:6" ht="12" customHeight="1" thickBot="1" x14ac:dyDescent="0.3">
      <c r="A151" s="10" t="s">
        <v>221</v>
      </c>
      <c r="B151" s="4" t="s">
        <v>325</v>
      </c>
      <c r="C151" s="101"/>
    </row>
    <row r="152" spans="1:6" ht="12" customHeight="1" thickBot="1" x14ac:dyDescent="0.3">
      <c r="A152" s="17" t="s">
        <v>22</v>
      </c>
      <c r="B152" s="54" t="s">
        <v>429</v>
      </c>
      <c r="C152" s="120">
        <f>SUM(C153:C157)</f>
        <v>0</v>
      </c>
    </row>
    <row r="153" spans="1:6" ht="12" customHeight="1" x14ac:dyDescent="0.25">
      <c r="A153" s="12" t="s">
        <v>84</v>
      </c>
      <c r="B153" s="6" t="s">
        <v>430</v>
      </c>
      <c r="C153" s="101"/>
    </row>
    <row r="154" spans="1:6" ht="12" customHeight="1" x14ac:dyDescent="0.25">
      <c r="A154" s="12" t="s">
        <v>85</v>
      </c>
      <c r="B154" s="6" t="s">
        <v>431</v>
      </c>
      <c r="C154" s="101"/>
    </row>
    <row r="155" spans="1:6" ht="12" customHeight="1" x14ac:dyDescent="0.25">
      <c r="A155" s="12" t="s">
        <v>232</v>
      </c>
      <c r="B155" s="6" t="s">
        <v>432</v>
      </c>
      <c r="C155" s="101"/>
    </row>
    <row r="156" spans="1:6" ht="12" customHeight="1" x14ac:dyDescent="0.25">
      <c r="A156" s="12" t="s">
        <v>233</v>
      </c>
      <c r="B156" s="6" t="s">
        <v>433</v>
      </c>
      <c r="C156" s="101"/>
    </row>
    <row r="157" spans="1:6" ht="12" customHeight="1" thickBot="1" x14ac:dyDescent="0.3">
      <c r="A157" s="12" t="s">
        <v>434</v>
      </c>
      <c r="B157" s="6" t="s">
        <v>435</v>
      </c>
      <c r="C157" s="101"/>
    </row>
    <row r="158" spans="1:6" ht="12" customHeight="1" thickBot="1" x14ac:dyDescent="0.3">
      <c r="A158" s="17" t="s">
        <v>23</v>
      </c>
      <c r="B158" s="54" t="s">
        <v>436</v>
      </c>
      <c r="C158" s="251"/>
    </row>
    <row r="159" spans="1:6" ht="12" customHeight="1" thickBot="1" x14ac:dyDescent="0.3">
      <c r="A159" s="17" t="s">
        <v>24</v>
      </c>
      <c r="B159" s="54" t="s">
        <v>437</v>
      </c>
      <c r="C159" s="251"/>
    </row>
    <row r="160" spans="1:6" ht="15" customHeight="1" thickBot="1" x14ac:dyDescent="0.3">
      <c r="A160" s="17" t="s">
        <v>25</v>
      </c>
      <c r="B160" s="54" t="s">
        <v>438</v>
      </c>
      <c r="C160" s="194">
        <f>+C136+C140+C147+C152+C158+C159</f>
        <v>0</v>
      </c>
      <c r="D160" s="195"/>
      <c r="E160" s="195"/>
      <c r="F160" s="195"/>
    </row>
    <row r="161" spans="1:3" s="183" customFormat="1" ht="12.95" customHeight="1" thickBot="1" x14ac:dyDescent="0.25">
      <c r="A161" s="110" t="s">
        <v>26</v>
      </c>
      <c r="B161" s="169" t="s">
        <v>439</v>
      </c>
      <c r="C161" s="194">
        <f>+C135+C160</f>
        <v>231701757</v>
      </c>
    </row>
    <row r="162" spans="1:3" ht="7.5" customHeight="1" x14ac:dyDescent="0.25"/>
    <row r="163" spans="1:3" x14ac:dyDescent="0.25">
      <c r="A163" s="1431" t="s">
        <v>308</v>
      </c>
      <c r="B163" s="1431"/>
      <c r="C163" s="1431"/>
    </row>
    <row r="164" spans="1:3" ht="15" customHeight="1" thickBot="1" x14ac:dyDescent="0.3">
      <c r="A164" s="1434" t="s">
        <v>117</v>
      </c>
      <c r="B164" s="1434"/>
      <c r="C164" s="121" t="s">
        <v>494</v>
      </c>
    </row>
    <row r="165" spans="1:3" ht="13.5" customHeight="1" thickBot="1" x14ac:dyDescent="0.3">
      <c r="A165" s="17">
        <v>1</v>
      </c>
      <c r="B165" s="22" t="s">
        <v>440</v>
      </c>
      <c r="C165" s="112">
        <f>+C69-C135</f>
        <v>-231201757</v>
      </c>
    </row>
    <row r="166" spans="1:3" ht="21.75" thickBot="1" x14ac:dyDescent="0.3">
      <c r="A166" s="17" t="s">
        <v>17</v>
      </c>
      <c r="B166" s="22" t="s">
        <v>762</v>
      </c>
      <c r="C166" s="112">
        <f>+C93-C160</f>
        <v>0</v>
      </c>
    </row>
  </sheetData>
  <mergeCells count="10">
    <mergeCell ref="A1:C1"/>
    <mergeCell ref="A3:C3"/>
    <mergeCell ref="A4:C4"/>
    <mergeCell ref="A5:C5"/>
    <mergeCell ref="A164:B164"/>
    <mergeCell ref="A7:C7"/>
    <mergeCell ref="A8:B8"/>
    <mergeCell ref="A96:C96"/>
    <mergeCell ref="A97:B97"/>
    <mergeCell ref="A163:C163"/>
  </mergeCells>
  <printOptions horizontalCentered="1"/>
  <pageMargins left="0.6692913385826772" right="0.6692913385826772" top="0.86614173228346458" bottom="0.86614173228346458" header="0" footer="0"/>
  <pageSetup paperSize="9" scale="74" fitToHeight="2" orientation="portrait" r:id="rId1"/>
  <headerFooter alignWithMargins="0"/>
  <rowBreaks count="2" manualBreakCount="2">
    <brk id="73" max="2" man="1"/>
    <brk id="95" max="2" man="1"/>
  </rowBreaks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49"/>
  <dimension ref="A1:Q84"/>
  <sheetViews>
    <sheetView zoomScale="130" zoomScaleNormal="130" zoomScalePageLayoutView="85" workbookViewId="0">
      <selection activeCell="A4" sqref="A4:O4"/>
    </sheetView>
  </sheetViews>
  <sheetFormatPr defaultRowHeight="15.75" x14ac:dyDescent="0.25"/>
  <cols>
    <col min="1" max="1" width="7.83203125" style="40" customWidth="1"/>
    <col min="2" max="2" width="31.1640625" style="773" customWidth="1"/>
    <col min="3" max="13" width="12.5" style="773" customWidth="1"/>
    <col min="14" max="14" width="13.5" style="773" bestFit="1" customWidth="1"/>
    <col min="15" max="15" width="12.5" style="425" customWidth="1"/>
    <col min="16" max="16" width="14.6640625" style="780" hidden="1" customWidth="1"/>
    <col min="17" max="17" width="16.6640625" style="780" hidden="1" customWidth="1"/>
    <col min="18" max="18" width="9.33203125" style="773" customWidth="1"/>
    <col min="19" max="16384" width="9.33203125" style="773"/>
  </cols>
  <sheetData>
    <row r="1" spans="1:17" x14ac:dyDescent="0.25">
      <c r="A1" s="1532" t="str">
        <f>CONCATENATE("24. melléklet ",ALAPADATOK!A7," ",ALAPADATOK!B7," ",ALAPADATOK!C7," ",ALAPADATOK!D7," ",ALAPADATOK!E7," ",ALAPADATOK!F7," ",ALAPADATOK!G7," ",ALAPADATOK!H7)</f>
        <v>24. melléklet a 19 / 2021. ( XI.29. ) önkormányzati rendelethez</v>
      </c>
      <c r="B1" s="1532"/>
      <c r="C1" s="1532"/>
      <c r="D1" s="1532"/>
      <c r="E1" s="1532"/>
      <c r="F1" s="1532"/>
      <c r="G1" s="1532"/>
      <c r="H1" s="1532"/>
      <c r="I1" s="1532"/>
      <c r="J1" s="1532"/>
      <c r="K1" s="1532"/>
      <c r="L1" s="1532"/>
      <c r="M1" s="1532"/>
      <c r="N1" s="1532"/>
      <c r="O1" s="1532"/>
    </row>
    <row r="2" spans="1:17" x14ac:dyDescent="0.25">
      <c r="A2" s="876"/>
      <c r="B2" s="876"/>
      <c r="C2" s="876"/>
      <c r="D2" s="876"/>
      <c r="E2" s="876"/>
      <c r="F2" s="876"/>
      <c r="G2" s="876"/>
      <c r="H2" s="876"/>
      <c r="I2" s="876"/>
      <c r="J2" s="876"/>
      <c r="K2" s="876"/>
      <c r="L2" s="876"/>
      <c r="M2" s="876"/>
      <c r="N2" s="876"/>
      <c r="O2" s="944" t="s">
        <v>782</v>
      </c>
    </row>
    <row r="3" spans="1:17" ht="36" customHeight="1" x14ac:dyDescent="0.3">
      <c r="A3" s="1533" t="s">
        <v>936</v>
      </c>
      <c r="B3" s="1534"/>
      <c r="C3" s="1534"/>
      <c r="D3" s="1534"/>
      <c r="E3" s="1534"/>
      <c r="F3" s="1534"/>
      <c r="G3" s="1534"/>
      <c r="H3" s="1534"/>
      <c r="I3" s="1534"/>
      <c r="J3" s="1534"/>
      <c r="K3" s="1534"/>
      <c r="L3" s="1534"/>
      <c r="M3" s="1534"/>
      <c r="N3" s="1534"/>
      <c r="O3" s="1534"/>
    </row>
    <row r="4" spans="1:17" ht="36" customHeight="1" thickBot="1" x14ac:dyDescent="0.35">
      <c r="A4" s="1533"/>
      <c r="B4" s="1533"/>
      <c r="C4" s="1533"/>
      <c r="D4" s="1533"/>
      <c r="E4" s="1533"/>
      <c r="F4" s="1533"/>
      <c r="G4" s="1533"/>
      <c r="H4" s="1533"/>
      <c r="I4" s="1533"/>
      <c r="J4" s="1533"/>
      <c r="K4" s="1533"/>
      <c r="L4" s="1533"/>
      <c r="M4" s="1533"/>
      <c r="N4" s="1533"/>
      <c r="O4" s="1533"/>
    </row>
    <row r="5" spans="1:17" ht="24.75" thickBot="1" x14ac:dyDescent="0.3">
      <c r="A5" s="322" t="s">
        <v>761</v>
      </c>
      <c r="B5" s="323" t="s">
        <v>58</v>
      </c>
      <c r="C5" s="323" t="s">
        <v>65</v>
      </c>
      <c r="D5" s="323" t="s">
        <v>66</v>
      </c>
      <c r="E5" s="323" t="s">
        <v>67</v>
      </c>
      <c r="F5" s="323" t="s">
        <v>68</v>
      </c>
      <c r="G5" s="323" t="s">
        <v>69</v>
      </c>
      <c r="H5" s="323" t="s">
        <v>70</v>
      </c>
      <c r="I5" s="323" t="s">
        <v>71</v>
      </c>
      <c r="J5" s="323" t="s">
        <v>1056</v>
      </c>
      <c r="K5" s="323" t="s">
        <v>1057</v>
      </c>
      <c r="L5" s="323" t="s">
        <v>1058</v>
      </c>
      <c r="M5" s="323" t="s">
        <v>1059</v>
      </c>
      <c r="N5" s="323" t="s">
        <v>1060</v>
      </c>
      <c r="O5" s="324" t="s">
        <v>49</v>
      </c>
    </row>
    <row r="6" spans="1:17" s="42" customFormat="1" ht="15" customHeight="1" thickBot="1" x14ac:dyDescent="0.25">
      <c r="A6" s="41" t="s">
        <v>16</v>
      </c>
      <c r="B6" s="1535" t="s">
        <v>1061</v>
      </c>
      <c r="C6" s="1536"/>
      <c r="D6" s="1536"/>
      <c r="E6" s="1536"/>
      <c r="F6" s="1536"/>
      <c r="G6" s="1536"/>
      <c r="H6" s="1536"/>
      <c r="I6" s="1536"/>
      <c r="J6" s="1536"/>
      <c r="K6" s="1536"/>
      <c r="L6" s="1536"/>
      <c r="M6" s="1536"/>
      <c r="N6" s="1536"/>
      <c r="O6" s="1537"/>
      <c r="P6" s="358"/>
      <c r="Q6" s="358"/>
    </row>
    <row r="7" spans="1:17" s="42" customFormat="1" ht="22.5" x14ac:dyDescent="0.2">
      <c r="A7" s="43" t="s">
        <v>17</v>
      </c>
      <c r="B7" s="224" t="s">
        <v>309</v>
      </c>
      <c r="C7" s="258">
        <v>128000000</v>
      </c>
      <c r="D7" s="258">
        <v>128000000</v>
      </c>
      <c r="E7" s="258">
        <v>128000000</v>
      </c>
      <c r="F7" s="258">
        <f>128000000+25000000</f>
        <v>153000000</v>
      </c>
      <c r="G7" s="258">
        <f>128000000-153457</f>
        <v>127846543</v>
      </c>
      <c r="H7" s="258">
        <f>128000000-153457+345295</f>
        <v>128191838</v>
      </c>
      <c r="I7" s="258">
        <f>128000000+70588-153457+345295</f>
        <v>128262426</v>
      </c>
      <c r="J7" s="258">
        <f>128000000-153457+345295+307379+2609348</f>
        <v>131108565</v>
      </c>
      <c r="K7" s="258">
        <f>128000000-153457+345295+307379+2609348</f>
        <v>131108565</v>
      </c>
      <c r="L7" s="258">
        <f>128000000-153457+345295+307379+2609348+25000000</f>
        <v>156108565</v>
      </c>
      <c r="M7" s="258">
        <f>128000000-153457+345295+307380+2609348</f>
        <v>131108566</v>
      </c>
      <c r="N7" s="258">
        <f>48966750+129648454+37137-153464+345294+307380+2609349</f>
        <v>181760900</v>
      </c>
      <c r="O7" s="361">
        <f t="shared" ref="O7:O15" si="0">SUM(C7:N7)</f>
        <v>1652495968</v>
      </c>
      <c r="P7" s="359">
        <f>'1.1.sz.mell. '!C11</f>
        <v>1652495968</v>
      </c>
      <c r="Q7" s="360">
        <f t="shared" ref="Q7:Q28" si="1">O7-P7</f>
        <v>0</v>
      </c>
    </row>
    <row r="8" spans="1:17" s="46" customFormat="1" ht="22.5" x14ac:dyDescent="0.2">
      <c r="A8" s="44" t="s">
        <v>18</v>
      </c>
      <c r="B8" s="105" t="s">
        <v>351</v>
      </c>
      <c r="C8" s="240">
        <f>1080000+2080537</f>
        <v>3160537</v>
      </c>
      <c r="D8" s="240">
        <f>3600000+30768216+400000+2080537</f>
        <v>36848753</v>
      </c>
      <c r="E8" s="240">
        <f>1800000+2080537</f>
        <v>3880537</v>
      </c>
      <c r="F8" s="240">
        <f>1080000+1800000+99799019+2080537-25000000</f>
        <v>79759556</v>
      </c>
      <c r="G8" s="240">
        <f>1800000+2080537</f>
        <v>3880537</v>
      </c>
      <c r="H8" s="240">
        <f>131199793+1800000+2080537-15000000</f>
        <v>120080330</v>
      </c>
      <c r="I8" s="240">
        <f>1080000+1800000+50000000+2080537+7500000-10000000</f>
        <v>52460537</v>
      </c>
      <c r="J8" s="240">
        <f>1800000+2080537+2071575+3200000</f>
        <v>9152112</v>
      </c>
      <c r="K8" s="240">
        <f>1800000+2080537+2071575+3200000</f>
        <v>9152112</v>
      </c>
      <c r="L8" s="240">
        <f>1080000+1800000+2080537+3200000</f>
        <v>8160537</v>
      </c>
      <c r="M8" s="240">
        <f>17520150+1800000+2080537+3200000</f>
        <v>24600687</v>
      </c>
      <c r="N8" s="240">
        <f>1800000+2080533+3200000</f>
        <v>7080533</v>
      </c>
      <c r="O8" s="361">
        <f t="shared" si="0"/>
        <v>358216768</v>
      </c>
      <c r="P8" s="362">
        <f>'1.1.sz.mell. '!C20</f>
        <v>358216768</v>
      </c>
      <c r="Q8" s="363">
        <f t="shared" si="1"/>
        <v>0</v>
      </c>
    </row>
    <row r="9" spans="1:17" s="46" customFormat="1" ht="22.5" x14ac:dyDescent="0.2">
      <c r="A9" s="44" t="s">
        <v>19</v>
      </c>
      <c r="B9" s="104" t="s">
        <v>352</v>
      </c>
      <c r="C9" s="241">
        <f>100000000+755184</f>
        <v>100755184</v>
      </c>
      <c r="D9" s="241">
        <f>806423+1499571+100000+755184</f>
        <v>3161178</v>
      </c>
      <c r="E9" s="241">
        <f>3482179+755184</f>
        <v>4237363</v>
      </c>
      <c r="F9" s="241">
        <f>61929281+755184</f>
        <v>62684465</v>
      </c>
      <c r="G9" s="241">
        <f>9000000+755184</f>
        <v>9755184</v>
      </c>
      <c r="H9" s="241">
        <v>755184</v>
      </c>
      <c r="I9" s="241">
        <f>755184+1305000000</f>
        <v>1305755184</v>
      </c>
      <c r="J9" s="241">
        <v>755184</v>
      </c>
      <c r="K9" s="241">
        <f>755184+112338</f>
        <v>867522</v>
      </c>
      <c r="L9" s="241">
        <f>755184+10000000</f>
        <v>10755184</v>
      </c>
      <c r="M9" s="241">
        <f>21590900+755184+554000000</f>
        <v>576346084</v>
      </c>
      <c r="N9" s="241">
        <f>755182+3500100</f>
        <v>4255282</v>
      </c>
      <c r="O9" s="361">
        <f t="shared" si="0"/>
        <v>2080082998</v>
      </c>
      <c r="P9" s="362">
        <f>'1.1.sz.mell. '!C27</f>
        <v>2080082998</v>
      </c>
      <c r="Q9" s="363">
        <f t="shared" si="1"/>
        <v>0</v>
      </c>
    </row>
    <row r="10" spans="1:17" s="46" customFormat="1" ht="14.1" customHeight="1" x14ac:dyDescent="0.2">
      <c r="A10" s="44" t="s">
        <v>20</v>
      </c>
      <c r="B10" s="103" t="s">
        <v>126</v>
      </c>
      <c r="C10" s="240">
        <v>3000000</v>
      </c>
      <c r="D10" s="240">
        <v>4000000</v>
      </c>
      <c r="E10" s="240">
        <v>130000000</v>
      </c>
      <c r="F10" s="240">
        <v>3000000</v>
      </c>
      <c r="G10" s="240">
        <v>2500000</v>
      </c>
      <c r="H10" s="240">
        <v>3000000</v>
      </c>
      <c r="I10" s="240">
        <v>3000000</v>
      </c>
      <c r="J10" s="240">
        <v>4000000</v>
      </c>
      <c r="K10" s="240">
        <v>157100000</v>
      </c>
      <c r="L10" s="240">
        <v>4000000</v>
      </c>
      <c r="M10" s="240">
        <v>5000000</v>
      </c>
      <c r="N10" s="240">
        <v>80000000</v>
      </c>
      <c r="O10" s="361">
        <f t="shared" si="0"/>
        <v>398600000</v>
      </c>
      <c r="P10" s="362">
        <f>'1.1.sz.mell. '!C34</f>
        <v>398600000</v>
      </c>
      <c r="Q10" s="363">
        <f>O10-P10</f>
        <v>0</v>
      </c>
    </row>
    <row r="11" spans="1:17" s="46" customFormat="1" ht="14.1" customHeight="1" x14ac:dyDescent="0.2">
      <c r="A11" s="44" t="s">
        <v>21</v>
      </c>
      <c r="B11" s="103" t="s">
        <v>353</v>
      </c>
      <c r="C11" s="240">
        <f>6350000+24000000</f>
        <v>30350000</v>
      </c>
      <c r="D11" s="240">
        <f>6350000+24000000</f>
        <v>30350000</v>
      </c>
      <c r="E11" s="240">
        <f>6350000+8679+24000000</f>
        <v>30358679</v>
      </c>
      <c r="F11" s="240">
        <f>6350000+24000000</f>
        <v>30350000</v>
      </c>
      <c r="G11" s="240">
        <f>6350000+24000000</f>
        <v>30350000</v>
      </c>
      <c r="H11" s="240">
        <f>6350000+24100000+10000+1809000</f>
        <v>32269000</v>
      </c>
      <c r="I11" s="240">
        <f>6350000+24000000</f>
        <v>30350000</v>
      </c>
      <c r="J11" s="240">
        <f>6350000+24000000-367674</f>
        <v>29982326</v>
      </c>
      <c r="K11" s="240">
        <f>6350000+24000000-367674+769675</f>
        <v>30752001</v>
      </c>
      <c r="L11" s="240">
        <f>6350000+24000000-367674+769675</f>
        <v>30752001</v>
      </c>
      <c r="M11" s="240">
        <f>6350000+24000000-367674+769675</f>
        <v>30752001</v>
      </c>
      <c r="N11" s="240">
        <f>6350000+24149629-367673+769675</f>
        <v>30901631</v>
      </c>
      <c r="O11" s="361">
        <f t="shared" si="0"/>
        <v>367517639</v>
      </c>
      <c r="P11" s="362">
        <f>'1.1.sz.mell. '!C41</f>
        <v>367517639</v>
      </c>
      <c r="Q11" s="363">
        <f t="shared" si="1"/>
        <v>0</v>
      </c>
    </row>
    <row r="12" spans="1:17" s="46" customFormat="1" ht="14.1" customHeight="1" x14ac:dyDescent="0.2">
      <c r="A12" s="44" t="s">
        <v>22</v>
      </c>
      <c r="B12" s="103" t="s">
        <v>9</v>
      </c>
      <c r="C12" s="240"/>
      <c r="D12" s="240"/>
      <c r="E12" s="240">
        <v>10000000</v>
      </c>
      <c r="F12" s="240"/>
      <c r="G12" s="240"/>
      <c r="H12" s="240">
        <v>15000000</v>
      </c>
      <c r="I12" s="240"/>
      <c r="J12" s="240"/>
      <c r="K12" s="240">
        <v>38000000</v>
      </c>
      <c r="L12" s="240"/>
      <c r="M12" s="240"/>
      <c r="N12" s="240"/>
      <c r="O12" s="361">
        <f t="shared" si="0"/>
        <v>63000000</v>
      </c>
      <c r="P12" s="362">
        <f>'1.1.sz.mell. '!C53</f>
        <v>63000000</v>
      </c>
      <c r="Q12" s="363">
        <f t="shared" si="1"/>
        <v>0</v>
      </c>
    </row>
    <row r="13" spans="1:17" s="46" customFormat="1" ht="14.1" customHeight="1" x14ac:dyDescent="0.2">
      <c r="A13" s="44" t="s">
        <v>23</v>
      </c>
      <c r="B13" s="103" t="s">
        <v>311</v>
      </c>
      <c r="C13" s="240">
        <v>100000</v>
      </c>
      <c r="D13" s="240">
        <v>100000</v>
      </c>
      <c r="E13" s="240">
        <v>100000</v>
      </c>
      <c r="F13" s="240">
        <v>100000</v>
      </c>
      <c r="G13" s="240">
        <f>100000+274000</f>
        <v>374000</v>
      </c>
      <c r="H13" s="240">
        <v>100000</v>
      </c>
      <c r="I13" s="240">
        <f>100000</f>
        <v>100000</v>
      </c>
      <c r="J13" s="240">
        <v>100000</v>
      </c>
      <c r="K13" s="240">
        <f>100000+10000000</f>
        <v>10100000</v>
      </c>
      <c r="L13" s="240">
        <v>100000</v>
      </c>
      <c r="M13" s="240">
        <f>100000+133028</f>
        <v>233028</v>
      </c>
      <c r="N13" s="240">
        <v>100000</v>
      </c>
      <c r="O13" s="361">
        <f t="shared" si="0"/>
        <v>11607028</v>
      </c>
      <c r="P13" s="362">
        <f>'1.1.sz.mell. '!C59</f>
        <v>11607028</v>
      </c>
      <c r="Q13" s="363">
        <f t="shared" si="1"/>
        <v>0</v>
      </c>
    </row>
    <row r="14" spans="1:17" s="46" customFormat="1" ht="22.5" x14ac:dyDescent="0.2">
      <c r="A14" s="44" t="s">
        <v>24</v>
      </c>
      <c r="B14" s="105" t="s">
        <v>340</v>
      </c>
      <c r="C14" s="240"/>
      <c r="D14" s="240">
        <v>200000</v>
      </c>
      <c r="E14" s="240"/>
      <c r="F14" s="240">
        <v>50000</v>
      </c>
      <c r="G14" s="240"/>
      <c r="H14" s="240"/>
      <c r="I14" s="240"/>
      <c r="J14" s="240"/>
      <c r="K14" s="240"/>
      <c r="L14" s="240"/>
      <c r="M14" s="240"/>
      <c r="N14" s="240"/>
      <c r="O14" s="361">
        <f t="shared" si="0"/>
        <v>250000</v>
      </c>
      <c r="P14" s="362">
        <f>'1.1.sz.mell. '!C64</f>
        <v>250000</v>
      </c>
      <c r="Q14" s="363">
        <f t="shared" si="1"/>
        <v>0</v>
      </c>
    </row>
    <row r="15" spans="1:17" s="46" customFormat="1" ht="14.1" customHeight="1" thickBot="1" x14ac:dyDescent="0.25">
      <c r="A15" s="44" t="s">
        <v>25</v>
      </c>
      <c r="B15" s="103" t="s">
        <v>10</v>
      </c>
      <c r="C15" s="45">
        <f>847491815+79000000+8774125</f>
        <v>935265940</v>
      </c>
      <c r="D15" s="45">
        <v>79000000</v>
      </c>
      <c r="E15" s="45">
        <v>70000000</v>
      </c>
      <c r="F15" s="45">
        <v>79000000</v>
      </c>
      <c r="G15" s="45">
        <f>11503705+81216699</f>
        <v>92720404</v>
      </c>
      <c r="H15" s="45">
        <v>79000000</v>
      </c>
      <c r="I15" s="45">
        <v>79000000</v>
      </c>
      <c r="J15" s="45">
        <v>79000000</v>
      </c>
      <c r="K15" s="45">
        <v>70000000</v>
      </c>
      <c r="L15" s="45">
        <f>50000000+7058824</f>
        <v>57058824</v>
      </c>
      <c r="M15" s="45">
        <v>70000000</v>
      </c>
      <c r="N15" s="45">
        <f>48966750+35000000+167000000</f>
        <v>250966750</v>
      </c>
      <c r="O15" s="361">
        <f t="shared" si="0"/>
        <v>1941011918</v>
      </c>
      <c r="P15" s="364">
        <f>'1.1.sz.mell. '!C93</f>
        <v>1941011918</v>
      </c>
      <c r="Q15" s="365">
        <f t="shared" si="1"/>
        <v>0</v>
      </c>
    </row>
    <row r="16" spans="1:17" s="42" customFormat="1" ht="15.95" customHeight="1" thickBot="1" x14ac:dyDescent="0.25">
      <c r="A16" s="41" t="s">
        <v>26</v>
      </c>
      <c r="B16" s="28" t="s">
        <v>97</v>
      </c>
      <c r="C16" s="47">
        <f t="shared" ref="C16:N16" si="2">SUM(C7:C15)</f>
        <v>1200631661</v>
      </c>
      <c r="D16" s="47">
        <f t="shared" si="2"/>
        <v>281659931</v>
      </c>
      <c r="E16" s="47">
        <f t="shared" si="2"/>
        <v>376576579</v>
      </c>
      <c r="F16" s="47">
        <f t="shared" si="2"/>
        <v>407944021</v>
      </c>
      <c r="G16" s="47">
        <f t="shared" si="2"/>
        <v>267426668</v>
      </c>
      <c r="H16" s="47">
        <f t="shared" si="2"/>
        <v>378396352</v>
      </c>
      <c r="I16" s="47">
        <f t="shared" si="2"/>
        <v>1598928147</v>
      </c>
      <c r="J16" s="47">
        <f t="shared" si="2"/>
        <v>254098187</v>
      </c>
      <c r="K16" s="47">
        <f t="shared" si="2"/>
        <v>447080200</v>
      </c>
      <c r="L16" s="47">
        <f t="shared" si="2"/>
        <v>266935111</v>
      </c>
      <c r="M16" s="47">
        <f t="shared" si="2"/>
        <v>838040366</v>
      </c>
      <c r="N16" s="47">
        <f t="shared" si="2"/>
        <v>555065096</v>
      </c>
      <c r="O16" s="1202">
        <f>SUM(C16:N16)</f>
        <v>6872782319</v>
      </c>
      <c r="P16" s="366">
        <f>SUM(P7:P15)</f>
        <v>6872782319</v>
      </c>
      <c r="Q16" s="367">
        <f t="shared" si="1"/>
        <v>0</v>
      </c>
    </row>
    <row r="17" spans="1:17" s="42" customFormat="1" ht="15" customHeight="1" thickBot="1" x14ac:dyDescent="0.25">
      <c r="A17" s="41"/>
      <c r="B17" s="1535" t="s">
        <v>1062</v>
      </c>
      <c r="C17" s="1536"/>
      <c r="D17" s="1536"/>
      <c r="E17" s="1536"/>
      <c r="F17" s="1536"/>
      <c r="G17" s="1536"/>
      <c r="H17" s="1536"/>
      <c r="I17" s="1536"/>
      <c r="J17" s="1536"/>
      <c r="K17" s="1536"/>
      <c r="L17" s="1536"/>
      <c r="M17" s="1536"/>
      <c r="N17" s="1536"/>
      <c r="O17" s="1537"/>
      <c r="P17" s="358"/>
      <c r="Q17" s="368">
        <f t="shared" si="1"/>
        <v>0</v>
      </c>
    </row>
    <row r="18" spans="1:17" s="46" customFormat="1" ht="14.1" customHeight="1" thickBot="1" x14ac:dyDescent="0.25">
      <c r="A18" s="369" t="s">
        <v>27</v>
      </c>
      <c r="B18" s="370" t="s">
        <v>59</v>
      </c>
      <c r="C18" s="371">
        <f>103326512+1565362</f>
        <v>104891874</v>
      </c>
      <c r="D18" s="371">
        <f>105000000+1565362</f>
        <v>106565362</v>
      </c>
      <c r="E18" s="371">
        <f>105000000+1565362</f>
        <v>106565362</v>
      </c>
      <c r="F18" s="371">
        <f>105000000+1565362</f>
        <v>106565362</v>
      </c>
      <c r="G18" s="371">
        <f t="shared" ref="G18:H18" si="3">105000000-2325037+1565362</f>
        <v>104240325</v>
      </c>
      <c r="H18" s="371">
        <f t="shared" si="3"/>
        <v>104240325</v>
      </c>
      <c r="I18" s="371">
        <f>105000000-2325037+1565362+172950+629626</f>
        <v>105042901</v>
      </c>
      <c r="J18" s="371">
        <f>105000000-2325037+1565362+172950+123509-1300566</f>
        <v>103236218</v>
      </c>
      <c r="K18" s="371">
        <f>105000000-2325037+1565362+172950+123509-1300567+972283</f>
        <v>104208500</v>
      </c>
      <c r="L18" s="371">
        <f>105000000-2325037+1565362+172950+123509-1300567+972282</f>
        <v>104208499</v>
      </c>
      <c r="M18" s="371">
        <f>105000000-2325037+1565362+172950+123510-1300567+972283</f>
        <v>104208501</v>
      </c>
      <c r="N18" s="371">
        <f>105000000-2325039+1565358+172950+123510-1300567+972282+4660788</f>
        <v>108869282</v>
      </c>
      <c r="O18" s="361">
        <f t="shared" ref="O18:O28" si="4">SUM(C18:N18)</f>
        <v>1262842511</v>
      </c>
      <c r="P18" s="427">
        <f>'1.1.sz.mell. '!C100</f>
        <v>1262842511</v>
      </c>
      <c r="Q18" s="360">
        <f t="shared" si="1"/>
        <v>0</v>
      </c>
    </row>
    <row r="19" spans="1:17" s="46" customFormat="1" ht="27" customHeight="1" thickBot="1" x14ac:dyDescent="0.25">
      <c r="A19" s="44" t="s">
        <v>28</v>
      </c>
      <c r="B19" s="105" t="s">
        <v>135</v>
      </c>
      <c r="C19" s="240">
        <v>17518047</v>
      </c>
      <c r="D19" s="240">
        <v>18000000</v>
      </c>
      <c r="E19" s="240">
        <v>18000000</v>
      </c>
      <c r="F19" s="240">
        <v>18000000</v>
      </c>
      <c r="G19" s="240">
        <f t="shared" ref="G19" si="5">18000000-358586</f>
        <v>17641414</v>
      </c>
      <c r="H19" s="240">
        <f t="shared" ref="H19" si="6">18000000-358586+40254</f>
        <v>17681668</v>
      </c>
      <c r="I19" s="240">
        <f>18000000-358586+40254+26807</f>
        <v>17708475</v>
      </c>
      <c r="J19" s="240">
        <f>18000000-358586+40254+26807+94442+28055-243346</f>
        <v>17587626</v>
      </c>
      <c r="K19" s="240">
        <f>18000000-358586+40254+26807+28055-243346+230547</f>
        <v>17723731</v>
      </c>
      <c r="L19" s="240">
        <f>18000000-358586+40254+26807+28055-243346+230547</f>
        <v>17723731</v>
      </c>
      <c r="M19" s="240">
        <f>18000000-358586+40254+26807+28054-243346+230547</f>
        <v>17723730</v>
      </c>
      <c r="N19" s="240">
        <f>18000000-358592+40251+26809+28054-243346+230547+722422</f>
        <v>18446145</v>
      </c>
      <c r="O19" s="361">
        <f t="shared" si="4"/>
        <v>213754567</v>
      </c>
      <c r="P19" s="427">
        <f>'1.1.sz.mell. '!C101</f>
        <v>213754567</v>
      </c>
      <c r="Q19" s="363">
        <f t="shared" si="1"/>
        <v>0</v>
      </c>
    </row>
    <row r="20" spans="1:17" s="46" customFormat="1" ht="14.1" customHeight="1" thickBot="1" x14ac:dyDescent="0.25">
      <c r="A20" s="44" t="s">
        <v>29</v>
      </c>
      <c r="B20" s="103" t="s">
        <v>111</v>
      </c>
      <c r="C20" s="240">
        <v>78167039</v>
      </c>
      <c r="D20" s="240">
        <v>82500000</v>
      </c>
      <c r="E20" s="240">
        <f>82500000-36323</f>
        <v>82463677</v>
      </c>
      <c r="F20" s="240">
        <v>82500000</v>
      </c>
      <c r="G20" s="240">
        <f>82500000-774095+1112041+96499</f>
        <v>82934445</v>
      </c>
      <c r="H20" s="240">
        <f>82500000-774095+1112041</f>
        <v>82837946</v>
      </c>
      <c r="I20" s="240">
        <f>82500000+70588-774095+1112041</f>
        <v>82908534</v>
      </c>
      <c r="J20" s="240">
        <f>82500000-774095+1112041-960000+31340507</f>
        <v>113218453</v>
      </c>
      <c r="K20" s="240">
        <f>82500000-774095+1112041-960000+31340507+415174</f>
        <v>113633627</v>
      </c>
      <c r="L20" s="240">
        <f>82500000-774095+1112041-960000+31340507+415174+13500100</f>
        <v>127133727</v>
      </c>
      <c r="M20" s="240">
        <f>82500000-774095+1112041-960000+31340507+415174+1767420</f>
        <v>115401047</v>
      </c>
      <c r="N20" s="240">
        <f>82500000+37137-774101+1112038-960000+31340507+415175+600000+3676958+21732876</f>
        <v>139680590</v>
      </c>
      <c r="O20" s="361">
        <f t="shared" si="4"/>
        <v>1183379085</v>
      </c>
      <c r="P20" s="427">
        <f>'1.1.sz.mell. '!C102</f>
        <v>1183379085</v>
      </c>
      <c r="Q20" s="363">
        <f t="shared" si="1"/>
        <v>0</v>
      </c>
    </row>
    <row r="21" spans="1:17" s="46" customFormat="1" ht="14.1" customHeight="1" x14ac:dyDescent="0.2">
      <c r="A21" s="44" t="s">
        <v>30</v>
      </c>
      <c r="B21" s="103" t="s">
        <v>136</v>
      </c>
      <c r="C21" s="240">
        <v>3300000</v>
      </c>
      <c r="D21" s="240">
        <v>3320000</v>
      </c>
      <c r="E21" s="240">
        <v>3320000</v>
      </c>
      <c r="F21" s="240">
        <v>3320000</v>
      </c>
      <c r="G21" s="240">
        <v>3320000</v>
      </c>
      <c r="H21" s="240">
        <v>3320000</v>
      </c>
      <c r="I21" s="240">
        <v>3320000</v>
      </c>
      <c r="J21" s="240">
        <v>3320000</v>
      </c>
      <c r="K21" s="240">
        <v>3320000</v>
      </c>
      <c r="L21" s="240">
        <v>3320000</v>
      </c>
      <c r="M21" s="240">
        <v>3320000</v>
      </c>
      <c r="N21" s="240">
        <f>20000000-3000000</f>
        <v>17000000</v>
      </c>
      <c r="O21" s="361">
        <f t="shared" si="4"/>
        <v>53500000</v>
      </c>
      <c r="P21" s="427">
        <f>'1.1.sz.mell. '!C103</f>
        <v>53500000</v>
      </c>
      <c r="Q21" s="363">
        <f t="shared" si="1"/>
        <v>0</v>
      </c>
    </row>
    <row r="22" spans="1:17" s="46" customFormat="1" ht="14.1" customHeight="1" x14ac:dyDescent="0.2">
      <c r="A22" s="44" t="s">
        <v>31</v>
      </c>
      <c r="B22" s="103" t="s">
        <v>11</v>
      </c>
      <c r="C22" s="240">
        <v>18000000</v>
      </c>
      <c r="D22" s="240">
        <v>18000000</v>
      </c>
      <c r="E22" s="240">
        <f>18000000+36323</f>
        <v>18036323</v>
      </c>
      <c r="F22" s="240">
        <v>18000000</v>
      </c>
      <c r="G22" s="240">
        <f>18000000+3378200+1954617-323420</f>
        <v>23009397</v>
      </c>
      <c r="H22" s="240">
        <f>18000000+3378200+1954617-323420</f>
        <v>23009397</v>
      </c>
      <c r="I22" s="240">
        <f>15150000+3378200+1954617-323420+1777403</f>
        <v>21936800</v>
      </c>
      <c r="J22" s="240">
        <f>15150000+3378200+1954617-323420+1777403+690537</f>
        <v>22627337</v>
      </c>
      <c r="K22" s="240">
        <f>15150000+3378200+1954617-323420+1777402</f>
        <v>21936799</v>
      </c>
      <c r="L22" s="240">
        <f>15150000+3378200+1954617-323420+1777402+812328</f>
        <v>22749127</v>
      </c>
      <c r="M22" s="240">
        <f>15150000+3378200+1954617-323420+1777402+812328</f>
        <v>22749127</v>
      </c>
      <c r="N22" s="240">
        <f>15184698+3378195+1954614-323416+1777403+812329</f>
        <v>22783823</v>
      </c>
      <c r="O22" s="361">
        <f t="shared" si="4"/>
        <v>252838130</v>
      </c>
      <c r="P22" s="362">
        <f>'1.1.sz.mell. '!C104</f>
        <v>252838130</v>
      </c>
      <c r="Q22" s="363">
        <f t="shared" si="1"/>
        <v>0</v>
      </c>
    </row>
    <row r="23" spans="1:17" s="46" customFormat="1" ht="14.1" customHeight="1" x14ac:dyDescent="0.2">
      <c r="A23" s="44" t="s">
        <v>32</v>
      </c>
      <c r="B23" s="103" t="s">
        <v>159</v>
      </c>
      <c r="C23" s="240">
        <v>1000000</v>
      </c>
      <c r="D23" s="240"/>
      <c r="E23" s="240"/>
      <c r="F23" s="240">
        <v>200000</v>
      </c>
      <c r="G23" s="240">
        <v>2264026</v>
      </c>
      <c r="H23" s="240">
        <f>42955826+2264026+3264000</f>
        <v>48483852</v>
      </c>
      <c r="I23" s="240">
        <v>2264026</v>
      </c>
      <c r="J23" s="240">
        <f>80000000+2264026+2425</f>
        <v>82266451</v>
      </c>
      <c r="K23" s="240">
        <f>48583956+2264026</f>
        <v>50847982</v>
      </c>
      <c r="L23" s="240">
        <f>80000000+2264026+300000</f>
        <v>82564026</v>
      </c>
      <c r="M23" s="240">
        <f>2264026-35000</f>
        <v>2229026</v>
      </c>
      <c r="N23" s="240">
        <f>360000000+2264024-103156039+16679802+163950980+242515422</f>
        <v>682254189</v>
      </c>
      <c r="O23" s="361">
        <f t="shared" si="4"/>
        <v>954373578</v>
      </c>
      <c r="P23" s="362">
        <f>'1.1.sz.mell. '!C121</f>
        <v>954373578</v>
      </c>
      <c r="Q23" s="363">
        <f t="shared" si="1"/>
        <v>0</v>
      </c>
    </row>
    <row r="24" spans="1:17" s="46" customFormat="1" x14ac:dyDescent="0.2">
      <c r="A24" s="44" t="s">
        <v>33</v>
      </c>
      <c r="B24" s="105" t="s">
        <v>139</v>
      </c>
      <c r="C24" s="240"/>
      <c r="D24" s="240">
        <f>2540000+2813609</f>
        <v>5353609</v>
      </c>
      <c r="E24" s="240"/>
      <c r="F24" s="240">
        <f>46014821-317500</f>
        <v>45697321</v>
      </c>
      <c r="G24" s="240">
        <f>52500000+6350000+6397000</f>
        <v>65247000</v>
      </c>
      <c r="H24" s="240">
        <f>52500000+2540000+2475762</f>
        <v>57515762</v>
      </c>
      <c r="I24" s="240">
        <f>80032238+52500000+537576</f>
        <v>133069814</v>
      </c>
      <c r="J24" s="240">
        <f>52500000</f>
        <v>52500000</v>
      </c>
      <c r="K24" s="240"/>
      <c r="L24" s="240"/>
      <c r="M24" s="240"/>
      <c r="N24" s="240">
        <f>1293527941-11598175+295820280</f>
        <v>1577750046</v>
      </c>
      <c r="O24" s="361">
        <f t="shared" si="4"/>
        <v>1937133552</v>
      </c>
      <c r="P24" s="362">
        <f>'1.1.sz.mell. '!C123</f>
        <v>1937133552</v>
      </c>
      <c r="Q24" s="363">
        <f t="shared" si="1"/>
        <v>0</v>
      </c>
    </row>
    <row r="25" spans="1:17" s="46" customFormat="1" ht="14.1" customHeight="1" x14ac:dyDescent="0.2">
      <c r="A25" s="44" t="s">
        <v>34</v>
      </c>
      <c r="B25" s="103" t="s">
        <v>161</v>
      </c>
      <c r="C25" s="240"/>
      <c r="D25" s="240">
        <v>650000</v>
      </c>
      <c r="E25" s="240"/>
      <c r="F25" s="240"/>
      <c r="G25" s="240"/>
      <c r="H25" s="240">
        <v>3000000</v>
      </c>
      <c r="I25" s="240"/>
      <c r="J25" s="240">
        <v>500000</v>
      </c>
      <c r="K25" s="240"/>
      <c r="L25" s="240"/>
      <c r="M25" s="240">
        <v>1761806</v>
      </c>
      <c r="N25" s="240"/>
      <c r="O25" s="361">
        <f t="shared" si="4"/>
        <v>5911806</v>
      </c>
      <c r="P25" s="362">
        <f>'1.1.sz.mell. '!C125</f>
        <v>5911806</v>
      </c>
      <c r="Q25" s="363">
        <f t="shared" si="1"/>
        <v>0</v>
      </c>
    </row>
    <row r="26" spans="1:17" s="46" customFormat="1" ht="14.1" customHeight="1" x14ac:dyDescent="0.2">
      <c r="A26" s="44" t="s">
        <v>35</v>
      </c>
      <c r="B26" s="103" t="s">
        <v>47</v>
      </c>
      <c r="C26" s="240"/>
      <c r="D26" s="240"/>
      <c r="E26" s="240"/>
      <c r="F26" s="240"/>
      <c r="G26" s="240">
        <v>2254377</v>
      </c>
      <c r="H26" s="240"/>
      <c r="I26" s="240"/>
      <c r="J26" s="240"/>
      <c r="K26" s="240"/>
      <c r="L26" s="240">
        <v>7058824</v>
      </c>
      <c r="M26" s="240"/>
      <c r="N26" s="240">
        <f>109320327-18622933-2206257-337038-1099589-2995358-8283760</f>
        <v>75775392</v>
      </c>
      <c r="O26" s="361">
        <f t="shared" si="4"/>
        <v>85088593</v>
      </c>
      <c r="P26" s="362">
        <f>'1.1.sz.mell. '!C117</f>
        <v>85088593</v>
      </c>
      <c r="Q26" s="363">
        <f t="shared" si="1"/>
        <v>0</v>
      </c>
    </row>
    <row r="27" spans="1:17" s="46" customFormat="1" ht="14.1" customHeight="1" thickBot="1" x14ac:dyDescent="0.25">
      <c r="A27" s="44" t="s">
        <v>36</v>
      </c>
      <c r="B27" s="103" t="s">
        <v>12</v>
      </c>
      <c r="C27" s="45">
        <f>48966750+59000000</f>
        <v>107966750</v>
      </c>
      <c r="D27" s="45">
        <f>95000000</f>
        <v>95000000</v>
      </c>
      <c r="E27" s="45">
        <f>6250000+83500000</f>
        <v>89750000</v>
      </c>
      <c r="F27" s="240">
        <v>51000000</v>
      </c>
      <c r="G27" s="45">
        <v>69000000</v>
      </c>
      <c r="H27" s="45">
        <f>6250000+4000000+5493747</f>
        <v>15743747</v>
      </c>
      <c r="I27" s="240">
        <v>70500000</v>
      </c>
      <c r="J27" s="240">
        <v>106000000</v>
      </c>
      <c r="K27" s="45">
        <f>6250000+94500000</f>
        <v>100750000</v>
      </c>
      <c r="L27" s="240">
        <f>66000000</f>
        <v>66000000</v>
      </c>
      <c r="M27" s="240">
        <f>66000000</f>
        <v>66000000</v>
      </c>
      <c r="N27" s="45">
        <f>6250000+80000000</f>
        <v>86250000</v>
      </c>
      <c r="O27" s="361">
        <f t="shared" si="4"/>
        <v>923960497</v>
      </c>
      <c r="P27" s="364">
        <f>'1.1.sz.mell. '!C159</f>
        <v>923960497</v>
      </c>
      <c r="Q27" s="365">
        <f t="shared" si="1"/>
        <v>0</v>
      </c>
    </row>
    <row r="28" spans="1:17" s="42" customFormat="1" ht="15.95" customHeight="1" thickBot="1" x14ac:dyDescent="0.25">
      <c r="A28" s="48" t="s">
        <v>37</v>
      </c>
      <c r="B28" s="28" t="s">
        <v>98</v>
      </c>
      <c r="C28" s="47">
        <f t="shared" ref="C28:N28" si="7">SUM(C18:C27)</f>
        <v>330843710</v>
      </c>
      <c r="D28" s="47">
        <f t="shared" si="7"/>
        <v>329388971</v>
      </c>
      <c r="E28" s="47">
        <f t="shared" si="7"/>
        <v>318135362</v>
      </c>
      <c r="F28" s="47">
        <f t="shared" si="7"/>
        <v>325282683</v>
      </c>
      <c r="G28" s="47">
        <f t="shared" si="7"/>
        <v>369910984</v>
      </c>
      <c r="H28" s="47">
        <f t="shared" si="7"/>
        <v>355832697</v>
      </c>
      <c r="I28" s="47">
        <f t="shared" si="7"/>
        <v>436750550</v>
      </c>
      <c r="J28" s="47">
        <f t="shared" si="7"/>
        <v>501256085</v>
      </c>
      <c r="K28" s="47">
        <f t="shared" si="7"/>
        <v>412420639</v>
      </c>
      <c r="L28" s="47">
        <f t="shared" si="7"/>
        <v>430757934</v>
      </c>
      <c r="M28" s="47">
        <f t="shared" si="7"/>
        <v>333393237</v>
      </c>
      <c r="N28" s="47">
        <f t="shared" si="7"/>
        <v>2728809467</v>
      </c>
      <c r="O28" s="1202">
        <f t="shared" si="4"/>
        <v>6872782319</v>
      </c>
      <c r="P28" s="366">
        <f>SUM(P18:P27)</f>
        <v>6872782319</v>
      </c>
      <c r="Q28" s="367">
        <f t="shared" si="1"/>
        <v>0</v>
      </c>
    </row>
    <row r="29" spans="1:17" ht="16.5" thickBot="1" x14ac:dyDescent="0.3">
      <c r="A29" s="48" t="s">
        <v>38</v>
      </c>
      <c r="B29" s="106" t="s">
        <v>99</v>
      </c>
      <c r="C29" s="49">
        <f t="shared" ref="C29:N29" si="8">C16-C28</f>
        <v>869787951</v>
      </c>
      <c r="D29" s="49">
        <f t="shared" si="8"/>
        <v>-47729040</v>
      </c>
      <c r="E29" s="49">
        <f t="shared" si="8"/>
        <v>58441217</v>
      </c>
      <c r="F29" s="49">
        <f t="shared" si="8"/>
        <v>82661338</v>
      </c>
      <c r="G29" s="49">
        <f t="shared" si="8"/>
        <v>-102484316</v>
      </c>
      <c r="H29" s="49">
        <f t="shared" si="8"/>
        <v>22563655</v>
      </c>
      <c r="I29" s="49">
        <f t="shared" si="8"/>
        <v>1162177597</v>
      </c>
      <c r="J29" s="49">
        <f t="shared" si="8"/>
        <v>-247157898</v>
      </c>
      <c r="K29" s="49">
        <f t="shared" si="8"/>
        <v>34659561</v>
      </c>
      <c r="L29" s="49">
        <f t="shared" si="8"/>
        <v>-163822823</v>
      </c>
      <c r="M29" s="49">
        <f t="shared" si="8"/>
        <v>504647129</v>
      </c>
      <c r="N29" s="49">
        <f t="shared" si="8"/>
        <v>-2173744371</v>
      </c>
      <c r="O29" s="424">
        <f>SUM(C29:N29)</f>
        <v>0</v>
      </c>
    </row>
    <row r="30" spans="1:17" x14ac:dyDescent="0.25">
      <c r="A30" s="50"/>
    </row>
    <row r="31" spans="1:17" x14ac:dyDescent="0.25">
      <c r="B31" s="51"/>
      <c r="C31" s="52"/>
      <c r="D31" s="52"/>
      <c r="O31" s="426"/>
    </row>
    <row r="32" spans="1:17" x14ac:dyDescent="0.25">
      <c r="O32" s="426"/>
    </row>
    <row r="33" spans="15:15" x14ac:dyDescent="0.25">
      <c r="O33" s="426"/>
    </row>
    <row r="34" spans="15:15" x14ac:dyDescent="0.25">
      <c r="O34" s="426"/>
    </row>
    <row r="35" spans="15:15" x14ac:dyDescent="0.25">
      <c r="O35" s="426"/>
    </row>
    <row r="36" spans="15:15" x14ac:dyDescent="0.25">
      <c r="O36" s="426"/>
    </row>
    <row r="37" spans="15:15" x14ac:dyDescent="0.25">
      <c r="O37" s="426"/>
    </row>
    <row r="38" spans="15:15" x14ac:dyDescent="0.25">
      <c r="O38" s="426"/>
    </row>
    <row r="39" spans="15:15" x14ac:dyDescent="0.25">
      <c r="O39" s="426"/>
    </row>
    <row r="40" spans="15:15" x14ac:dyDescent="0.25">
      <c r="O40" s="426"/>
    </row>
    <row r="41" spans="15:15" x14ac:dyDescent="0.25">
      <c r="O41" s="426"/>
    </row>
    <row r="42" spans="15:15" x14ac:dyDescent="0.25">
      <c r="O42" s="426"/>
    </row>
    <row r="43" spans="15:15" x14ac:dyDescent="0.25">
      <c r="O43" s="426"/>
    </row>
    <row r="44" spans="15:15" x14ac:dyDescent="0.25">
      <c r="O44" s="426"/>
    </row>
    <row r="45" spans="15:15" x14ac:dyDescent="0.25">
      <c r="O45" s="426"/>
    </row>
    <row r="46" spans="15:15" x14ac:dyDescent="0.25">
      <c r="O46" s="426"/>
    </row>
    <row r="47" spans="15:15" x14ac:dyDescent="0.25">
      <c r="O47" s="426"/>
    </row>
    <row r="48" spans="15:15" x14ac:dyDescent="0.25">
      <c r="O48" s="426"/>
    </row>
    <row r="49" spans="15:15" x14ac:dyDescent="0.25">
      <c r="O49" s="426"/>
    </row>
    <row r="50" spans="15:15" x14ac:dyDescent="0.25">
      <c r="O50" s="426"/>
    </row>
    <row r="51" spans="15:15" x14ac:dyDescent="0.25">
      <c r="O51" s="426"/>
    </row>
    <row r="52" spans="15:15" x14ac:dyDescent="0.25">
      <c r="O52" s="426"/>
    </row>
    <row r="53" spans="15:15" x14ac:dyDescent="0.25">
      <c r="O53" s="426"/>
    </row>
    <row r="54" spans="15:15" x14ac:dyDescent="0.25">
      <c r="O54" s="426"/>
    </row>
    <row r="55" spans="15:15" x14ac:dyDescent="0.25">
      <c r="O55" s="426"/>
    </row>
    <row r="56" spans="15:15" x14ac:dyDescent="0.25">
      <c r="O56" s="426"/>
    </row>
    <row r="57" spans="15:15" x14ac:dyDescent="0.25">
      <c r="O57" s="426"/>
    </row>
    <row r="58" spans="15:15" x14ac:dyDescent="0.25">
      <c r="O58" s="426"/>
    </row>
    <row r="59" spans="15:15" x14ac:dyDescent="0.25">
      <c r="O59" s="426"/>
    </row>
    <row r="60" spans="15:15" x14ac:dyDescent="0.25">
      <c r="O60" s="426"/>
    </row>
    <row r="61" spans="15:15" x14ac:dyDescent="0.25">
      <c r="O61" s="426"/>
    </row>
    <row r="62" spans="15:15" x14ac:dyDescent="0.25">
      <c r="O62" s="426"/>
    </row>
    <row r="63" spans="15:15" x14ac:dyDescent="0.25">
      <c r="O63" s="426"/>
    </row>
    <row r="64" spans="15:15" x14ac:dyDescent="0.25">
      <c r="O64" s="426"/>
    </row>
    <row r="65" spans="15:15" x14ac:dyDescent="0.25">
      <c r="O65" s="426"/>
    </row>
    <row r="66" spans="15:15" x14ac:dyDescent="0.25">
      <c r="O66" s="426"/>
    </row>
    <row r="67" spans="15:15" x14ac:dyDescent="0.25">
      <c r="O67" s="426"/>
    </row>
    <row r="68" spans="15:15" x14ac:dyDescent="0.25">
      <c r="O68" s="426"/>
    </row>
    <row r="69" spans="15:15" x14ac:dyDescent="0.25">
      <c r="O69" s="426"/>
    </row>
    <row r="70" spans="15:15" x14ac:dyDescent="0.25">
      <c r="O70" s="426"/>
    </row>
    <row r="71" spans="15:15" x14ac:dyDescent="0.25">
      <c r="O71" s="426"/>
    </row>
    <row r="72" spans="15:15" x14ac:dyDescent="0.25">
      <c r="O72" s="426"/>
    </row>
    <row r="73" spans="15:15" x14ac:dyDescent="0.25">
      <c r="O73" s="426"/>
    </row>
    <row r="74" spans="15:15" x14ac:dyDescent="0.25">
      <c r="O74" s="426"/>
    </row>
    <row r="75" spans="15:15" x14ac:dyDescent="0.25">
      <c r="O75" s="426"/>
    </row>
    <row r="76" spans="15:15" x14ac:dyDescent="0.25">
      <c r="O76" s="426"/>
    </row>
    <row r="77" spans="15:15" x14ac:dyDescent="0.25">
      <c r="O77" s="426"/>
    </row>
    <row r="78" spans="15:15" x14ac:dyDescent="0.25">
      <c r="O78" s="426"/>
    </row>
    <row r="79" spans="15:15" x14ac:dyDescent="0.25">
      <c r="O79" s="426"/>
    </row>
    <row r="80" spans="15:15" x14ac:dyDescent="0.25">
      <c r="O80" s="426"/>
    </row>
    <row r="81" spans="15:15" x14ac:dyDescent="0.25">
      <c r="O81" s="426"/>
    </row>
    <row r="82" spans="15:15" x14ac:dyDescent="0.25">
      <c r="O82" s="426"/>
    </row>
    <row r="83" spans="15:15" x14ac:dyDescent="0.25">
      <c r="O83" s="426"/>
    </row>
    <row r="84" spans="15:15" x14ac:dyDescent="0.25">
      <c r="O84" s="426"/>
    </row>
  </sheetData>
  <mergeCells count="5">
    <mergeCell ref="A1:O1"/>
    <mergeCell ref="A3:O3"/>
    <mergeCell ref="B6:O6"/>
    <mergeCell ref="B17:O17"/>
    <mergeCell ref="A4:O4"/>
  </mergeCells>
  <printOptions horizontalCentered="1"/>
  <pageMargins left="0.7" right="0.7" top="0.75" bottom="0.75" header="0.3" footer="0.3"/>
  <pageSetup paperSize="9" scale="71" orientation="landscape" r:id="rId1"/>
  <headerFooter alignWithMargins="0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50">
    <pageSetUpPr fitToPage="1"/>
  </sheetPr>
  <dimension ref="A1:F56"/>
  <sheetViews>
    <sheetView topLeftCell="A40" zoomScaleNormal="100" zoomScaleSheetLayoutView="85" workbookViewId="0">
      <selection activeCell="E9" sqref="E9"/>
    </sheetView>
  </sheetViews>
  <sheetFormatPr defaultColWidth="10.6640625" defaultRowHeight="15.75" x14ac:dyDescent="0.25"/>
  <cols>
    <col min="1" max="1" width="10.6640625" style="816"/>
    <col min="2" max="2" width="16" style="816" customWidth="1"/>
    <col min="3" max="3" width="97.33203125" style="816" customWidth="1"/>
    <col min="4" max="4" width="27.5" style="1025" customWidth="1"/>
    <col min="5" max="5" width="16.5" style="816" bestFit="1" customWidth="1"/>
    <col min="6" max="6" width="18.6640625" style="816" bestFit="1" customWidth="1"/>
    <col min="7" max="258" width="10.6640625" style="816"/>
    <col min="259" max="259" width="60.1640625" style="816" customWidth="1"/>
    <col min="260" max="260" width="48.83203125" style="816" customWidth="1"/>
    <col min="261" max="261" width="16.5" style="816" bestFit="1" customWidth="1"/>
    <col min="262" max="262" width="15" style="816" customWidth="1"/>
    <col min="263" max="514" width="10.6640625" style="816"/>
    <col min="515" max="515" width="60.1640625" style="816" customWidth="1"/>
    <col min="516" max="516" width="48.83203125" style="816" customWidth="1"/>
    <col min="517" max="517" width="16.5" style="816" bestFit="1" customWidth="1"/>
    <col min="518" max="518" width="15" style="816" customWidth="1"/>
    <col min="519" max="770" width="10.6640625" style="816"/>
    <col min="771" max="771" width="60.1640625" style="816" customWidth="1"/>
    <col min="772" max="772" width="48.83203125" style="816" customWidth="1"/>
    <col min="773" max="773" width="16.5" style="816" bestFit="1" customWidth="1"/>
    <col min="774" max="774" width="15" style="816" customWidth="1"/>
    <col min="775" max="1026" width="10.6640625" style="816"/>
    <col min="1027" max="1027" width="60.1640625" style="816" customWidth="1"/>
    <col min="1028" max="1028" width="48.83203125" style="816" customWidth="1"/>
    <col min="1029" max="1029" width="16.5" style="816" bestFit="1" customWidth="1"/>
    <col min="1030" max="1030" width="15" style="816" customWidth="1"/>
    <col min="1031" max="1282" width="10.6640625" style="816"/>
    <col min="1283" max="1283" width="60.1640625" style="816" customWidth="1"/>
    <col min="1284" max="1284" width="48.83203125" style="816" customWidth="1"/>
    <col min="1285" max="1285" width="16.5" style="816" bestFit="1" customWidth="1"/>
    <col min="1286" max="1286" width="15" style="816" customWidth="1"/>
    <col min="1287" max="1538" width="10.6640625" style="816"/>
    <col min="1539" max="1539" width="60.1640625" style="816" customWidth="1"/>
    <col min="1540" max="1540" width="48.83203125" style="816" customWidth="1"/>
    <col min="1541" max="1541" width="16.5" style="816" bestFit="1" customWidth="1"/>
    <col min="1542" max="1542" width="15" style="816" customWidth="1"/>
    <col min="1543" max="1794" width="10.6640625" style="816"/>
    <col min="1795" max="1795" width="60.1640625" style="816" customWidth="1"/>
    <col min="1796" max="1796" width="48.83203125" style="816" customWidth="1"/>
    <col min="1797" max="1797" width="16.5" style="816" bestFit="1" customWidth="1"/>
    <col min="1798" max="1798" width="15" style="816" customWidth="1"/>
    <col min="1799" max="2050" width="10.6640625" style="816"/>
    <col min="2051" max="2051" width="60.1640625" style="816" customWidth="1"/>
    <col min="2052" max="2052" width="48.83203125" style="816" customWidth="1"/>
    <col min="2053" max="2053" width="16.5" style="816" bestFit="1" customWidth="1"/>
    <col min="2054" max="2054" width="15" style="816" customWidth="1"/>
    <col min="2055" max="2306" width="10.6640625" style="816"/>
    <col min="2307" max="2307" width="60.1640625" style="816" customWidth="1"/>
    <col min="2308" max="2308" width="48.83203125" style="816" customWidth="1"/>
    <col min="2309" max="2309" width="16.5" style="816" bestFit="1" customWidth="1"/>
    <col min="2310" max="2310" width="15" style="816" customWidth="1"/>
    <col min="2311" max="2562" width="10.6640625" style="816"/>
    <col min="2563" max="2563" width="60.1640625" style="816" customWidth="1"/>
    <col min="2564" max="2564" width="48.83203125" style="816" customWidth="1"/>
    <col min="2565" max="2565" width="16.5" style="816" bestFit="1" customWidth="1"/>
    <col min="2566" max="2566" width="15" style="816" customWidth="1"/>
    <col min="2567" max="2818" width="10.6640625" style="816"/>
    <col min="2819" max="2819" width="60.1640625" style="816" customWidth="1"/>
    <col min="2820" max="2820" width="48.83203125" style="816" customWidth="1"/>
    <col min="2821" max="2821" width="16.5" style="816" bestFit="1" customWidth="1"/>
    <col min="2822" max="2822" width="15" style="816" customWidth="1"/>
    <col min="2823" max="3074" width="10.6640625" style="816"/>
    <col min="3075" max="3075" width="60.1640625" style="816" customWidth="1"/>
    <col min="3076" max="3076" width="48.83203125" style="816" customWidth="1"/>
    <col min="3077" max="3077" width="16.5" style="816" bestFit="1" customWidth="1"/>
    <col min="3078" max="3078" width="15" style="816" customWidth="1"/>
    <col min="3079" max="3330" width="10.6640625" style="816"/>
    <col min="3331" max="3331" width="60.1640625" style="816" customWidth="1"/>
    <col min="3332" max="3332" width="48.83203125" style="816" customWidth="1"/>
    <col min="3333" max="3333" width="16.5" style="816" bestFit="1" customWidth="1"/>
    <col min="3334" max="3334" width="15" style="816" customWidth="1"/>
    <col min="3335" max="3586" width="10.6640625" style="816"/>
    <col min="3587" max="3587" width="60.1640625" style="816" customWidth="1"/>
    <col min="3588" max="3588" width="48.83203125" style="816" customWidth="1"/>
    <col min="3589" max="3589" width="16.5" style="816" bestFit="1" customWidth="1"/>
    <col min="3590" max="3590" width="15" style="816" customWidth="1"/>
    <col min="3591" max="3842" width="10.6640625" style="816"/>
    <col min="3843" max="3843" width="60.1640625" style="816" customWidth="1"/>
    <col min="3844" max="3844" width="48.83203125" style="816" customWidth="1"/>
    <col min="3845" max="3845" width="16.5" style="816" bestFit="1" customWidth="1"/>
    <col min="3846" max="3846" width="15" style="816" customWidth="1"/>
    <col min="3847" max="4098" width="10.6640625" style="816"/>
    <col min="4099" max="4099" width="60.1640625" style="816" customWidth="1"/>
    <col min="4100" max="4100" width="48.83203125" style="816" customWidth="1"/>
    <col min="4101" max="4101" width="16.5" style="816" bestFit="1" customWidth="1"/>
    <col min="4102" max="4102" width="15" style="816" customWidth="1"/>
    <col min="4103" max="4354" width="10.6640625" style="816"/>
    <col min="4355" max="4355" width="60.1640625" style="816" customWidth="1"/>
    <col min="4356" max="4356" width="48.83203125" style="816" customWidth="1"/>
    <col min="4357" max="4357" width="16.5" style="816" bestFit="1" customWidth="1"/>
    <col min="4358" max="4358" width="15" style="816" customWidth="1"/>
    <col min="4359" max="4610" width="10.6640625" style="816"/>
    <col min="4611" max="4611" width="60.1640625" style="816" customWidth="1"/>
    <col min="4612" max="4612" width="48.83203125" style="816" customWidth="1"/>
    <col min="4613" max="4613" width="16.5" style="816" bestFit="1" customWidth="1"/>
    <col min="4614" max="4614" width="15" style="816" customWidth="1"/>
    <col min="4615" max="4866" width="10.6640625" style="816"/>
    <col min="4867" max="4867" width="60.1640625" style="816" customWidth="1"/>
    <col min="4868" max="4868" width="48.83203125" style="816" customWidth="1"/>
    <col min="4869" max="4869" width="16.5" style="816" bestFit="1" customWidth="1"/>
    <col min="4870" max="4870" width="15" style="816" customWidth="1"/>
    <col min="4871" max="5122" width="10.6640625" style="816"/>
    <col min="5123" max="5123" width="60.1640625" style="816" customWidth="1"/>
    <col min="5124" max="5124" width="48.83203125" style="816" customWidth="1"/>
    <col min="5125" max="5125" width="16.5" style="816" bestFit="1" customWidth="1"/>
    <col min="5126" max="5126" width="15" style="816" customWidth="1"/>
    <col min="5127" max="5378" width="10.6640625" style="816"/>
    <col min="5379" max="5379" width="60.1640625" style="816" customWidth="1"/>
    <col min="5380" max="5380" width="48.83203125" style="816" customWidth="1"/>
    <col min="5381" max="5381" width="16.5" style="816" bestFit="1" customWidth="1"/>
    <col min="5382" max="5382" width="15" style="816" customWidth="1"/>
    <col min="5383" max="5634" width="10.6640625" style="816"/>
    <col min="5635" max="5635" width="60.1640625" style="816" customWidth="1"/>
    <col min="5636" max="5636" width="48.83203125" style="816" customWidth="1"/>
    <col min="5637" max="5637" width="16.5" style="816" bestFit="1" customWidth="1"/>
    <col min="5638" max="5638" width="15" style="816" customWidth="1"/>
    <col min="5639" max="5890" width="10.6640625" style="816"/>
    <col min="5891" max="5891" width="60.1640625" style="816" customWidth="1"/>
    <col min="5892" max="5892" width="48.83203125" style="816" customWidth="1"/>
    <col min="5893" max="5893" width="16.5" style="816" bestFit="1" customWidth="1"/>
    <col min="5894" max="5894" width="15" style="816" customWidth="1"/>
    <col min="5895" max="6146" width="10.6640625" style="816"/>
    <col min="6147" max="6147" width="60.1640625" style="816" customWidth="1"/>
    <col min="6148" max="6148" width="48.83203125" style="816" customWidth="1"/>
    <col min="6149" max="6149" width="16.5" style="816" bestFit="1" customWidth="1"/>
    <col min="6150" max="6150" width="15" style="816" customWidth="1"/>
    <col min="6151" max="6402" width="10.6640625" style="816"/>
    <col min="6403" max="6403" width="60.1640625" style="816" customWidth="1"/>
    <col min="6404" max="6404" width="48.83203125" style="816" customWidth="1"/>
    <col min="6405" max="6405" width="16.5" style="816" bestFit="1" customWidth="1"/>
    <col min="6406" max="6406" width="15" style="816" customWidth="1"/>
    <col min="6407" max="6658" width="10.6640625" style="816"/>
    <col min="6659" max="6659" width="60.1640625" style="816" customWidth="1"/>
    <col min="6660" max="6660" width="48.83203125" style="816" customWidth="1"/>
    <col min="6661" max="6661" width="16.5" style="816" bestFit="1" customWidth="1"/>
    <col min="6662" max="6662" width="15" style="816" customWidth="1"/>
    <col min="6663" max="6914" width="10.6640625" style="816"/>
    <col min="6915" max="6915" width="60.1640625" style="816" customWidth="1"/>
    <col min="6916" max="6916" width="48.83203125" style="816" customWidth="1"/>
    <col min="6917" max="6917" width="16.5" style="816" bestFit="1" customWidth="1"/>
    <col min="6918" max="6918" width="15" style="816" customWidth="1"/>
    <col min="6919" max="7170" width="10.6640625" style="816"/>
    <col min="7171" max="7171" width="60.1640625" style="816" customWidth="1"/>
    <col min="7172" max="7172" width="48.83203125" style="816" customWidth="1"/>
    <col min="7173" max="7173" width="16.5" style="816" bestFit="1" customWidth="1"/>
    <col min="7174" max="7174" width="15" style="816" customWidth="1"/>
    <col min="7175" max="7426" width="10.6640625" style="816"/>
    <col min="7427" max="7427" width="60.1640625" style="816" customWidth="1"/>
    <col min="7428" max="7428" width="48.83203125" style="816" customWidth="1"/>
    <col min="7429" max="7429" width="16.5" style="816" bestFit="1" customWidth="1"/>
    <col min="7430" max="7430" width="15" style="816" customWidth="1"/>
    <col min="7431" max="7682" width="10.6640625" style="816"/>
    <col min="7683" max="7683" width="60.1640625" style="816" customWidth="1"/>
    <col min="7684" max="7684" width="48.83203125" style="816" customWidth="1"/>
    <col min="7685" max="7685" width="16.5" style="816" bestFit="1" customWidth="1"/>
    <col min="7686" max="7686" width="15" style="816" customWidth="1"/>
    <col min="7687" max="7938" width="10.6640625" style="816"/>
    <col min="7939" max="7939" width="60.1640625" style="816" customWidth="1"/>
    <col min="7940" max="7940" width="48.83203125" style="816" customWidth="1"/>
    <col min="7941" max="7941" width="16.5" style="816" bestFit="1" customWidth="1"/>
    <col min="7942" max="7942" width="15" style="816" customWidth="1"/>
    <col min="7943" max="8194" width="10.6640625" style="816"/>
    <col min="8195" max="8195" width="60.1640625" style="816" customWidth="1"/>
    <col min="8196" max="8196" width="48.83203125" style="816" customWidth="1"/>
    <col min="8197" max="8197" width="16.5" style="816" bestFit="1" customWidth="1"/>
    <col min="8198" max="8198" width="15" style="816" customWidth="1"/>
    <col min="8199" max="8450" width="10.6640625" style="816"/>
    <col min="8451" max="8451" width="60.1640625" style="816" customWidth="1"/>
    <col min="8452" max="8452" width="48.83203125" style="816" customWidth="1"/>
    <col min="8453" max="8453" width="16.5" style="816" bestFit="1" customWidth="1"/>
    <col min="8454" max="8454" width="15" style="816" customWidth="1"/>
    <col min="8455" max="8706" width="10.6640625" style="816"/>
    <col min="8707" max="8707" width="60.1640625" style="816" customWidth="1"/>
    <col min="8708" max="8708" width="48.83203125" style="816" customWidth="1"/>
    <col min="8709" max="8709" width="16.5" style="816" bestFit="1" customWidth="1"/>
    <col min="8710" max="8710" width="15" style="816" customWidth="1"/>
    <col min="8711" max="8962" width="10.6640625" style="816"/>
    <col min="8963" max="8963" width="60.1640625" style="816" customWidth="1"/>
    <col min="8964" max="8964" width="48.83203125" style="816" customWidth="1"/>
    <col min="8965" max="8965" width="16.5" style="816" bestFit="1" customWidth="1"/>
    <col min="8966" max="8966" width="15" style="816" customWidth="1"/>
    <col min="8967" max="9218" width="10.6640625" style="816"/>
    <col min="9219" max="9219" width="60.1640625" style="816" customWidth="1"/>
    <col min="9220" max="9220" width="48.83203125" style="816" customWidth="1"/>
    <col min="9221" max="9221" width="16.5" style="816" bestFit="1" customWidth="1"/>
    <col min="9222" max="9222" width="15" style="816" customWidth="1"/>
    <col min="9223" max="9474" width="10.6640625" style="816"/>
    <col min="9475" max="9475" width="60.1640625" style="816" customWidth="1"/>
    <col min="9476" max="9476" width="48.83203125" style="816" customWidth="1"/>
    <col min="9477" max="9477" width="16.5" style="816" bestFit="1" customWidth="1"/>
    <col min="9478" max="9478" width="15" style="816" customWidth="1"/>
    <col min="9479" max="9730" width="10.6640625" style="816"/>
    <col min="9731" max="9731" width="60.1640625" style="816" customWidth="1"/>
    <col min="9732" max="9732" width="48.83203125" style="816" customWidth="1"/>
    <col min="9733" max="9733" width="16.5" style="816" bestFit="1" customWidth="1"/>
    <col min="9734" max="9734" width="15" style="816" customWidth="1"/>
    <col min="9735" max="9986" width="10.6640625" style="816"/>
    <col min="9987" max="9987" width="60.1640625" style="816" customWidth="1"/>
    <col min="9988" max="9988" width="48.83203125" style="816" customWidth="1"/>
    <col min="9989" max="9989" width="16.5" style="816" bestFit="1" customWidth="1"/>
    <col min="9990" max="9990" width="15" style="816" customWidth="1"/>
    <col min="9991" max="10242" width="10.6640625" style="816"/>
    <col min="10243" max="10243" width="60.1640625" style="816" customWidth="1"/>
    <col min="10244" max="10244" width="48.83203125" style="816" customWidth="1"/>
    <col min="10245" max="10245" width="16.5" style="816" bestFit="1" customWidth="1"/>
    <col min="10246" max="10246" width="15" style="816" customWidth="1"/>
    <col min="10247" max="10498" width="10.6640625" style="816"/>
    <col min="10499" max="10499" width="60.1640625" style="816" customWidth="1"/>
    <col min="10500" max="10500" width="48.83203125" style="816" customWidth="1"/>
    <col min="10501" max="10501" width="16.5" style="816" bestFit="1" customWidth="1"/>
    <col min="10502" max="10502" width="15" style="816" customWidth="1"/>
    <col min="10503" max="10754" width="10.6640625" style="816"/>
    <col min="10755" max="10755" width="60.1640625" style="816" customWidth="1"/>
    <col min="10756" max="10756" width="48.83203125" style="816" customWidth="1"/>
    <col min="10757" max="10757" width="16.5" style="816" bestFit="1" customWidth="1"/>
    <col min="10758" max="10758" width="15" style="816" customWidth="1"/>
    <col min="10759" max="11010" width="10.6640625" style="816"/>
    <col min="11011" max="11011" width="60.1640625" style="816" customWidth="1"/>
    <col min="11012" max="11012" width="48.83203125" style="816" customWidth="1"/>
    <col min="11013" max="11013" width="16.5" style="816" bestFit="1" customWidth="1"/>
    <col min="11014" max="11014" width="15" style="816" customWidth="1"/>
    <col min="11015" max="11266" width="10.6640625" style="816"/>
    <col min="11267" max="11267" width="60.1640625" style="816" customWidth="1"/>
    <col min="11268" max="11268" width="48.83203125" style="816" customWidth="1"/>
    <col min="11269" max="11269" width="16.5" style="816" bestFit="1" customWidth="1"/>
    <col min="11270" max="11270" width="15" style="816" customWidth="1"/>
    <col min="11271" max="11522" width="10.6640625" style="816"/>
    <col min="11523" max="11523" width="60.1640625" style="816" customWidth="1"/>
    <col min="11524" max="11524" width="48.83203125" style="816" customWidth="1"/>
    <col min="11525" max="11525" width="16.5" style="816" bestFit="1" customWidth="1"/>
    <col min="11526" max="11526" width="15" style="816" customWidth="1"/>
    <col min="11527" max="11778" width="10.6640625" style="816"/>
    <col min="11779" max="11779" width="60.1640625" style="816" customWidth="1"/>
    <col min="11780" max="11780" width="48.83203125" style="816" customWidth="1"/>
    <col min="11781" max="11781" width="16.5" style="816" bestFit="1" customWidth="1"/>
    <col min="11782" max="11782" width="15" style="816" customWidth="1"/>
    <col min="11783" max="12034" width="10.6640625" style="816"/>
    <col min="12035" max="12035" width="60.1640625" style="816" customWidth="1"/>
    <col min="12036" max="12036" width="48.83203125" style="816" customWidth="1"/>
    <col min="12037" max="12037" width="16.5" style="816" bestFit="1" customWidth="1"/>
    <col min="12038" max="12038" width="15" style="816" customWidth="1"/>
    <col min="12039" max="12290" width="10.6640625" style="816"/>
    <col min="12291" max="12291" width="60.1640625" style="816" customWidth="1"/>
    <col min="12292" max="12292" width="48.83203125" style="816" customWidth="1"/>
    <col min="12293" max="12293" width="16.5" style="816" bestFit="1" customWidth="1"/>
    <col min="12294" max="12294" width="15" style="816" customWidth="1"/>
    <col min="12295" max="12546" width="10.6640625" style="816"/>
    <col min="12547" max="12547" width="60.1640625" style="816" customWidth="1"/>
    <col min="12548" max="12548" width="48.83203125" style="816" customWidth="1"/>
    <col min="12549" max="12549" width="16.5" style="816" bestFit="1" customWidth="1"/>
    <col min="12550" max="12550" width="15" style="816" customWidth="1"/>
    <col min="12551" max="12802" width="10.6640625" style="816"/>
    <col min="12803" max="12803" width="60.1640625" style="816" customWidth="1"/>
    <col min="12804" max="12804" width="48.83203125" style="816" customWidth="1"/>
    <col min="12805" max="12805" width="16.5" style="816" bestFit="1" customWidth="1"/>
    <col min="12806" max="12806" width="15" style="816" customWidth="1"/>
    <col min="12807" max="13058" width="10.6640625" style="816"/>
    <col min="13059" max="13059" width="60.1640625" style="816" customWidth="1"/>
    <col min="13060" max="13060" width="48.83203125" style="816" customWidth="1"/>
    <col min="13061" max="13061" width="16.5" style="816" bestFit="1" customWidth="1"/>
    <col min="13062" max="13062" width="15" style="816" customWidth="1"/>
    <col min="13063" max="13314" width="10.6640625" style="816"/>
    <col min="13315" max="13315" width="60.1640625" style="816" customWidth="1"/>
    <col min="13316" max="13316" width="48.83203125" style="816" customWidth="1"/>
    <col min="13317" max="13317" width="16.5" style="816" bestFit="1" customWidth="1"/>
    <col min="13318" max="13318" width="15" style="816" customWidth="1"/>
    <col min="13319" max="13570" width="10.6640625" style="816"/>
    <col min="13571" max="13571" width="60.1640625" style="816" customWidth="1"/>
    <col min="13572" max="13572" width="48.83203125" style="816" customWidth="1"/>
    <col min="13573" max="13573" width="16.5" style="816" bestFit="1" customWidth="1"/>
    <col min="13574" max="13574" width="15" style="816" customWidth="1"/>
    <col min="13575" max="13826" width="10.6640625" style="816"/>
    <col min="13827" max="13827" width="60.1640625" style="816" customWidth="1"/>
    <col min="13828" max="13828" width="48.83203125" style="816" customWidth="1"/>
    <col min="13829" max="13829" width="16.5" style="816" bestFit="1" customWidth="1"/>
    <col min="13830" max="13830" width="15" style="816" customWidth="1"/>
    <col min="13831" max="14082" width="10.6640625" style="816"/>
    <col min="14083" max="14083" width="60.1640625" style="816" customWidth="1"/>
    <col min="14084" max="14084" width="48.83203125" style="816" customWidth="1"/>
    <col min="14085" max="14085" width="16.5" style="816" bestFit="1" customWidth="1"/>
    <col min="14086" max="14086" width="15" style="816" customWidth="1"/>
    <col min="14087" max="14338" width="10.6640625" style="816"/>
    <col min="14339" max="14339" width="60.1640625" style="816" customWidth="1"/>
    <col min="14340" max="14340" width="48.83203125" style="816" customWidth="1"/>
    <col min="14341" max="14341" width="16.5" style="816" bestFit="1" customWidth="1"/>
    <col min="14342" max="14342" width="15" style="816" customWidth="1"/>
    <col min="14343" max="14594" width="10.6640625" style="816"/>
    <col min="14595" max="14595" width="60.1640625" style="816" customWidth="1"/>
    <col min="14596" max="14596" width="48.83203125" style="816" customWidth="1"/>
    <col min="14597" max="14597" width="16.5" style="816" bestFit="1" customWidth="1"/>
    <col min="14598" max="14598" width="15" style="816" customWidth="1"/>
    <col min="14599" max="14850" width="10.6640625" style="816"/>
    <col min="14851" max="14851" width="60.1640625" style="816" customWidth="1"/>
    <col min="14852" max="14852" width="48.83203125" style="816" customWidth="1"/>
    <col min="14853" max="14853" width="16.5" style="816" bestFit="1" customWidth="1"/>
    <col min="14854" max="14854" width="15" style="816" customWidth="1"/>
    <col min="14855" max="15106" width="10.6640625" style="816"/>
    <col min="15107" max="15107" width="60.1640625" style="816" customWidth="1"/>
    <col min="15108" max="15108" width="48.83203125" style="816" customWidth="1"/>
    <col min="15109" max="15109" width="16.5" style="816" bestFit="1" customWidth="1"/>
    <col min="15110" max="15110" width="15" style="816" customWidth="1"/>
    <col min="15111" max="15362" width="10.6640625" style="816"/>
    <col min="15363" max="15363" width="60.1640625" style="816" customWidth="1"/>
    <col min="15364" max="15364" width="48.83203125" style="816" customWidth="1"/>
    <col min="15365" max="15365" width="16.5" style="816" bestFit="1" customWidth="1"/>
    <col min="15366" max="15366" width="15" style="816" customWidth="1"/>
    <col min="15367" max="15618" width="10.6640625" style="816"/>
    <col min="15619" max="15619" width="60.1640625" style="816" customWidth="1"/>
    <col min="15620" max="15620" width="48.83203125" style="816" customWidth="1"/>
    <col min="15621" max="15621" width="16.5" style="816" bestFit="1" customWidth="1"/>
    <col min="15622" max="15622" width="15" style="816" customWidth="1"/>
    <col min="15623" max="15874" width="10.6640625" style="816"/>
    <col min="15875" max="15875" width="60.1640625" style="816" customWidth="1"/>
    <col min="15876" max="15876" width="48.83203125" style="816" customWidth="1"/>
    <col min="15877" max="15877" width="16.5" style="816" bestFit="1" customWidth="1"/>
    <col min="15878" max="15878" width="15" style="816" customWidth="1"/>
    <col min="15879" max="16130" width="10.6640625" style="816"/>
    <col min="16131" max="16131" width="60.1640625" style="816" customWidth="1"/>
    <col min="16132" max="16132" width="48.83203125" style="816" customWidth="1"/>
    <col min="16133" max="16133" width="16.5" style="816" bestFit="1" customWidth="1"/>
    <col min="16134" max="16134" width="15" style="816" customWidth="1"/>
    <col min="16135" max="16384" width="10.6640625" style="816"/>
  </cols>
  <sheetData>
    <row r="1" spans="1:4" ht="12.75" x14ac:dyDescent="0.2">
      <c r="A1" s="1540" t="str">
        <f>CONCATENATE("28. melléklet ",ALAPADATOK!A7," ",ALAPADATOK!B7," ",ALAPADATOK!C7," ",ALAPADATOK!D7," ",ALAPADATOK!E7," ",ALAPADATOK!F7," ",ALAPADATOK!G7," ",ALAPADATOK!H7)</f>
        <v>28. melléklet a 19 / 2021. ( XI.29. ) önkormányzati rendelethez</v>
      </c>
      <c r="B1" s="1540"/>
      <c r="C1" s="1540"/>
      <c r="D1" s="1540"/>
    </row>
    <row r="2" spans="1:4" ht="17.25" customHeight="1" x14ac:dyDescent="0.2">
      <c r="C2" s="235"/>
      <c r="D2" s="944" t="s">
        <v>782</v>
      </c>
    </row>
    <row r="3" spans="1:4" ht="42" customHeight="1" x14ac:dyDescent="0.2">
      <c r="A3" s="1541" t="s">
        <v>960</v>
      </c>
      <c r="B3" s="1541"/>
      <c r="C3" s="1541"/>
      <c r="D3" s="1541"/>
    </row>
    <row r="4" spans="1:4" ht="33" customHeight="1" thickBot="1" x14ac:dyDescent="0.3">
      <c r="C4" s="236"/>
      <c r="D4" s="925"/>
    </row>
    <row r="5" spans="1:4" ht="45" customHeight="1" thickBot="1" x14ac:dyDescent="0.25">
      <c r="A5" s="1365" t="s">
        <v>761</v>
      </c>
      <c r="B5" s="1366" t="s">
        <v>820</v>
      </c>
      <c r="C5" s="1367" t="s">
        <v>745</v>
      </c>
      <c r="D5" s="1368" t="s">
        <v>900</v>
      </c>
    </row>
    <row r="6" spans="1:4" x14ac:dyDescent="0.2">
      <c r="A6" s="970" t="s">
        <v>16</v>
      </c>
      <c r="B6" s="987" t="s">
        <v>821</v>
      </c>
      <c r="C6" s="969" t="s">
        <v>369</v>
      </c>
      <c r="D6" s="1230">
        <f>176568750+1181580</f>
        <v>177750330</v>
      </c>
    </row>
    <row r="7" spans="1:4" x14ac:dyDescent="0.2">
      <c r="A7" s="971" t="s">
        <v>17</v>
      </c>
      <c r="B7" s="988" t="s">
        <v>822</v>
      </c>
      <c r="C7" s="985" t="s">
        <v>823</v>
      </c>
      <c r="D7" s="1020">
        <v>19779480</v>
      </c>
    </row>
    <row r="8" spans="1:4" x14ac:dyDescent="0.2">
      <c r="A8" s="971" t="s">
        <v>18</v>
      </c>
      <c r="B8" s="988" t="s">
        <v>832</v>
      </c>
      <c r="C8" s="985" t="s">
        <v>824</v>
      </c>
      <c r="D8" s="1020">
        <v>35440000</v>
      </c>
    </row>
    <row r="9" spans="1:4" ht="15" customHeight="1" x14ac:dyDescent="0.2">
      <c r="A9" s="971" t="s">
        <v>19</v>
      </c>
      <c r="B9" s="988" t="s">
        <v>831</v>
      </c>
      <c r="C9" s="985" t="s">
        <v>825</v>
      </c>
      <c r="D9" s="1020">
        <v>7111416</v>
      </c>
    </row>
    <row r="10" spans="1:4" x14ac:dyDescent="0.2">
      <c r="A10" s="971" t="s">
        <v>20</v>
      </c>
      <c r="B10" s="988" t="s">
        <v>828</v>
      </c>
      <c r="C10" s="985" t="s">
        <v>826</v>
      </c>
      <c r="D10" s="1020">
        <v>20759151</v>
      </c>
    </row>
    <row r="11" spans="1:4" x14ac:dyDescent="0.2">
      <c r="A11" s="971" t="s">
        <v>21</v>
      </c>
      <c r="B11" s="988" t="s">
        <v>829</v>
      </c>
      <c r="C11" s="985" t="s">
        <v>827</v>
      </c>
      <c r="D11" s="1020">
        <v>35197200</v>
      </c>
    </row>
    <row r="12" spans="1:4" ht="17.25" customHeight="1" x14ac:dyDescent="0.2">
      <c r="A12" s="971" t="s">
        <v>22</v>
      </c>
      <c r="B12" s="988" t="s">
        <v>830</v>
      </c>
      <c r="C12" s="985" t="s">
        <v>370</v>
      </c>
      <c r="D12" s="1020">
        <v>153000</v>
      </c>
    </row>
    <row r="13" spans="1:4" ht="17.25" customHeight="1" thickBot="1" x14ac:dyDescent="0.25">
      <c r="A13" s="979" t="s">
        <v>23</v>
      </c>
      <c r="B13" s="991"/>
      <c r="C13" s="993" t="s">
        <v>901</v>
      </c>
      <c r="D13" s="1021">
        <v>687600</v>
      </c>
    </row>
    <row r="14" spans="1:4" ht="32.25" thickBot="1" x14ac:dyDescent="0.25">
      <c r="A14" s="972" t="s">
        <v>24</v>
      </c>
      <c r="B14" s="989" t="s">
        <v>86</v>
      </c>
      <c r="C14" s="966" t="s">
        <v>1018</v>
      </c>
      <c r="D14" s="982">
        <f>SUM(D6:D13)</f>
        <v>296878177</v>
      </c>
    </row>
    <row r="15" spans="1:4" x14ac:dyDescent="0.2">
      <c r="A15" s="973" t="s">
        <v>25</v>
      </c>
      <c r="B15" s="996" t="s">
        <v>833</v>
      </c>
      <c r="C15" s="996" t="s">
        <v>834</v>
      </c>
      <c r="D15" s="1340">
        <f>33632220+38960</f>
        <v>33671180</v>
      </c>
    </row>
    <row r="16" spans="1:4" x14ac:dyDescent="0.2">
      <c r="A16" s="971" t="s">
        <v>26</v>
      </c>
      <c r="B16" s="997" t="s">
        <v>835</v>
      </c>
      <c r="C16" s="997" t="s">
        <v>836</v>
      </c>
      <c r="D16" s="1020">
        <v>144872700</v>
      </c>
    </row>
    <row r="17" spans="1:5" ht="31.5" x14ac:dyDescent="0.2">
      <c r="A17" s="971" t="s">
        <v>27</v>
      </c>
      <c r="B17" s="997" t="s">
        <v>1006</v>
      </c>
      <c r="C17" s="1221" t="s">
        <v>837</v>
      </c>
      <c r="D17" s="1216">
        <f>7776000-864000</f>
        <v>6912000</v>
      </c>
    </row>
    <row r="18" spans="1:5" ht="31.5" x14ac:dyDescent="0.2">
      <c r="A18" s="971" t="s">
        <v>28</v>
      </c>
      <c r="B18" s="997" t="s">
        <v>1007</v>
      </c>
      <c r="C18" s="1221" t="s">
        <v>838</v>
      </c>
      <c r="D18" s="1216">
        <f>6444000+1476750</f>
        <v>7920750</v>
      </c>
    </row>
    <row r="19" spans="1:5" ht="16.5" thickBot="1" x14ac:dyDescent="0.25">
      <c r="A19" s="974" t="s">
        <v>29</v>
      </c>
      <c r="B19" s="1013" t="s">
        <v>840</v>
      </c>
      <c r="C19" s="994" t="s">
        <v>839</v>
      </c>
      <c r="D19" s="1020">
        <f>61299000+8379000</f>
        <v>69678000</v>
      </c>
    </row>
    <row r="20" spans="1:5" ht="32.25" thickBot="1" x14ac:dyDescent="0.25">
      <c r="A20" s="972" t="s">
        <v>30</v>
      </c>
      <c r="B20" s="989" t="s">
        <v>87</v>
      </c>
      <c r="C20" s="966" t="s">
        <v>1017</v>
      </c>
      <c r="D20" s="982">
        <f>SUM(D15:D19)</f>
        <v>263054630</v>
      </c>
    </row>
    <row r="21" spans="1:5" ht="31.5" customHeight="1" thickBot="1" x14ac:dyDescent="0.25">
      <c r="A21" s="967" t="s">
        <v>31</v>
      </c>
      <c r="B21" s="968" t="s">
        <v>842</v>
      </c>
      <c r="C21" s="995" t="s">
        <v>841</v>
      </c>
      <c r="D21" s="1022">
        <v>127982119</v>
      </c>
    </row>
    <row r="22" spans="1:5" x14ac:dyDescent="0.2">
      <c r="A22" s="973" t="s">
        <v>32</v>
      </c>
      <c r="B22" s="1018" t="s">
        <v>845</v>
      </c>
      <c r="C22" s="996" t="s">
        <v>843</v>
      </c>
      <c r="D22" s="984">
        <f>6560000+249920</f>
        <v>6809920</v>
      </c>
    </row>
    <row r="23" spans="1:5" x14ac:dyDescent="0.2">
      <c r="A23" s="971" t="s">
        <v>33</v>
      </c>
      <c r="B23" s="1019" t="s">
        <v>846</v>
      </c>
      <c r="C23" s="997" t="s">
        <v>844</v>
      </c>
      <c r="D23" s="1020">
        <f>22630000+1107041</f>
        <v>23737041</v>
      </c>
      <c r="E23" s="237"/>
    </row>
    <row r="24" spans="1:5" x14ac:dyDescent="0.2">
      <c r="A24" s="971" t="s">
        <v>34</v>
      </c>
      <c r="B24" s="1019" t="s">
        <v>848</v>
      </c>
      <c r="C24" s="997" t="s">
        <v>847</v>
      </c>
      <c r="D24" s="1216">
        <f>4512480+82280+135140</f>
        <v>4729900</v>
      </c>
    </row>
    <row r="25" spans="1:5" x14ac:dyDescent="0.2">
      <c r="A25" s="971" t="s">
        <v>35</v>
      </c>
      <c r="B25" s="1019" t="s">
        <v>851</v>
      </c>
      <c r="C25" s="997" t="s">
        <v>849</v>
      </c>
      <c r="D25" s="1020">
        <v>25000</v>
      </c>
    </row>
    <row r="26" spans="1:5" x14ac:dyDescent="0.2">
      <c r="A26" s="971" t="s">
        <v>36</v>
      </c>
      <c r="B26" s="1019" t="s">
        <v>852</v>
      </c>
      <c r="C26" s="997" t="s">
        <v>850</v>
      </c>
      <c r="D26" s="1216">
        <f>23595000+982150+378110</f>
        <v>24955260</v>
      </c>
    </row>
    <row r="27" spans="1:5" x14ac:dyDescent="0.2">
      <c r="A27" s="971" t="s">
        <v>37</v>
      </c>
      <c r="B27" s="1019" t="s">
        <v>1008</v>
      </c>
      <c r="C27" s="997" t="s">
        <v>1009</v>
      </c>
      <c r="D27" s="1216">
        <v>3048000</v>
      </c>
    </row>
    <row r="28" spans="1:5" x14ac:dyDescent="0.2">
      <c r="A28" s="971" t="s">
        <v>38</v>
      </c>
      <c r="B28" s="1019" t="s">
        <v>854</v>
      </c>
      <c r="C28" s="997" t="s">
        <v>853</v>
      </c>
      <c r="D28" s="1216">
        <f>3472000+115040-896760</f>
        <v>2690280</v>
      </c>
    </row>
    <row r="29" spans="1:5" x14ac:dyDescent="0.2">
      <c r="A29" s="971" t="s">
        <v>39</v>
      </c>
      <c r="B29" s="1019" t="s">
        <v>855</v>
      </c>
      <c r="C29" s="997" t="s">
        <v>865</v>
      </c>
      <c r="D29" s="1020">
        <v>3000000</v>
      </c>
    </row>
    <row r="30" spans="1:5" x14ac:dyDescent="0.2">
      <c r="A30" s="971" t="s">
        <v>40</v>
      </c>
      <c r="B30" s="1002" t="s">
        <v>856</v>
      </c>
      <c r="C30" s="997" t="s">
        <v>866</v>
      </c>
      <c r="D30" s="1020">
        <f>19541200+614152</f>
        <v>20155352</v>
      </c>
    </row>
    <row r="31" spans="1:5" x14ac:dyDescent="0.2">
      <c r="A31" s="971" t="s">
        <v>41</v>
      </c>
      <c r="B31" s="1002" t="s">
        <v>895</v>
      </c>
      <c r="C31" s="997" t="s">
        <v>894</v>
      </c>
      <c r="D31" s="1020">
        <f>127487183-1227663+1536897</f>
        <v>127796417</v>
      </c>
    </row>
    <row r="32" spans="1:5" ht="16.5" thickBot="1" x14ac:dyDescent="0.25">
      <c r="A32" s="986" t="s">
        <v>42</v>
      </c>
      <c r="B32" s="1015" t="s">
        <v>898</v>
      </c>
      <c r="C32" s="1009" t="s">
        <v>899</v>
      </c>
      <c r="D32" s="1023">
        <v>15950697</v>
      </c>
    </row>
    <row r="33" spans="1:5" ht="32.25" thickBot="1" x14ac:dyDescent="0.25">
      <c r="A33" s="975" t="s">
        <v>43</v>
      </c>
      <c r="B33" s="990" t="s">
        <v>1011</v>
      </c>
      <c r="C33" s="966" t="s">
        <v>1012</v>
      </c>
      <c r="D33" s="976">
        <f>SUM(D22:D32)</f>
        <v>232897867</v>
      </c>
    </row>
    <row r="34" spans="1:5" x14ac:dyDescent="0.2">
      <c r="A34" s="973" t="s">
        <v>779</v>
      </c>
      <c r="B34" s="1003" t="s">
        <v>860</v>
      </c>
      <c r="C34" s="1004" t="s">
        <v>857</v>
      </c>
      <c r="D34" s="977">
        <v>35700000</v>
      </c>
    </row>
    <row r="35" spans="1:5" ht="31.5" x14ac:dyDescent="0.2">
      <c r="A35" s="974" t="s">
        <v>874</v>
      </c>
      <c r="B35" s="1003" t="s">
        <v>861</v>
      </c>
      <c r="C35" s="1004" t="s">
        <v>858</v>
      </c>
      <c r="D35" s="978">
        <v>33654000</v>
      </c>
    </row>
    <row r="36" spans="1:5" ht="16.5" thickBot="1" x14ac:dyDescent="0.25">
      <c r="A36" s="974" t="s">
        <v>875</v>
      </c>
      <c r="B36" s="1005" t="s">
        <v>862</v>
      </c>
      <c r="C36" s="1006" t="s">
        <v>859</v>
      </c>
      <c r="D36" s="1341">
        <f>9248000-1840000</f>
        <v>7408000</v>
      </c>
    </row>
    <row r="37" spans="1:5" ht="16.5" thickBot="1" x14ac:dyDescent="0.25">
      <c r="A37" s="975" t="s">
        <v>876</v>
      </c>
      <c r="B37" s="990" t="s">
        <v>863</v>
      </c>
      <c r="C37" s="1007" t="s">
        <v>864</v>
      </c>
      <c r="D37" s="976">
        <f>SUM(D34:D36)</f>
        <v>76762000</v>
      </c>
      <c r="E37" s="255"/>
    </row>
    <row r="38" spans="1:5" x14ac:dyDescent="0.2">
      <c r="A38" s="970" t="s">
        <v>883</v>
      </c>
      <c r="B38" s="987" t="s">
        <v>867</v>
      </c>
      <c r="C38" s="1008" t="s">
        <v>871</v>
      </c>
      <c r="D38" s="1342">
        <f>148191400+7278600-4442000</f>
        <v>151028000</v>
      </c>
    </row>
    <row r="39" spans="1:5" ht="16.5" thickBot="1" x14ac:dyDescent="0.25">
      <c r="A39" s="979" t="s">
        <v>884</v>
      </c>
      <c r="B39" s="991" t="s">
        <v>868</v>
      </c>
      <c r="C39" s="1009" t="s">
        <v>870</v>
      </c>
      <c r="D39" s="1343">
        <f>53927000+208000</f>
        <v>54135000</v>
      </c>
    </row>
    <row r="40" spans="1:5" ht="30" customHeight="1" thickBot="1" x14ac:dyDescent="0.25">
      <c r="A40" s="980" t="s">
        <v>885</v>
      </c>
      <c r="B40" s="992" t="s">
        <v>869</v>
      </c>
      <c r="C40" s="1010" t="s">
        <v>873</v>
      </c>
      <c r="D40" s="1022">
        <f>SUM(D38:D39)</f>
        <v>205163000</v>
      </c>
    </row>
    <row r="41" spans="1:5" ht="32.25" thickBot="1" x14ac:dyDescent="0.25">
      <c r="A41" s="972" t="s">
        <v>886</v>
      </c>
      <c r="B41" s="989" t="s">
        <v>872</v>
      </c>
      <c r="C41" s="981" t="s">
        <v>1013</v>
      </c>
      <c r="D41" s="982">
        <f>D21+D33+D37+D40</f>
        <v>642804986</v>
      </c>
    </row>
    <row r="42" spans="1:5" x14ac:dyDescent="0.2">
      <c r="A42" s="973" t="s">
        <v>888</v>
      </c>
      <c r="B42" s="1014" t="s">
        <v>877</v>
      </c>
      <c r="C42" s="983" t="s">
        <v>882</v>
      </c>
      <c r="D42" s="984">
        <f>58710960+1334340</f>
        <v>60045300</v>
      </c>
    </row>
    <row r="43" spans="1:5" x14ac:dyDescent="0.2">
      <c r="A43" s="971" t="s">
        <v>889</v>
      </c>
      <c r="B43" s="1003" t="s">
        <v>878</v>
      </c>
      <c r="C43" s="1004" t="s">
        <v>881</v>
      </c>
      <c r="D43" s="1216">
        <f>18746144+75851737</f>
        <v>94597881</v>
      </c>
    </row>
    <row r="44" spans="1:5" ht="16.5" thickBot="1" x14ac:dyDescent="0.25">
      <c r="A44" s="974" t="s">
        <v>891</v>
      </c>
      <c r="B44" s="1011" t="s">
        <v>879</v>
      </c>
      <c r="C44" s="1006" t="s">
        <v>880</v>
      </c>
      <c r="D44" s="1344">
        <f>48801690-47196</f>
        <v>48754494</v>
      </c>
    </row>
    <row r="45" spans="1:5" ht="32.25" thickBot="1" x14ac:dyDescent="0.25">
      <c r="A45" s="972" t="s">
        <v>902</v>
      </c>
      <c r="B45" s="989" t="s">
        <v>89</v>
      </c>
      <c r="C45" s="1012" t="s">
        <v>1014</v>
      </c>
      <c r="D45" s="982">
        <f>SUM(D42:D44)</f>
        <v>203397675</v>
      </c>
    </row>
    <row r="46" spans="1:5" ht="31.5" x14ac:dyDescent="0.2">
      <c r="A46" s="970" t="s">
        <v>903</v>
      </c>
      <c r="B46" s="987" t="s">
        <v>887</v>
      </c>
      <c r="C46" s="1016" t="s">
        <v>890</v>
      </c>
      <c r="D46" s="1231">
        <f>28288120+469296</f>
        <v>28757416</v>
      </c>
    </row>
    <row r="47" spans="1:5" x14ac:dyDescent="0.2">
      <c r="A47" s="971" t="s">
        <v>1016</v>
      </c>
      <c r="B47" s="1217" t="s">
        <v>896</v>
      </c>
      <c r="C47" s="1218" t="s">
        <v>897</v>
      </c>
      <c r="D47" s="1219">
        <v>12600000</v>
      </c>
    </row>
    <row r="48" spans="1:5" ht="16.5" thickBot="1" x14ac:dyDescent="0.25">
      <c r="A48" s="979" t="s">
        <v>904</v>
      </c>
      <c r="B48" s="991" t="s">
        <v>984</v>
      </c>
      <c r="C48" s="1220" t="s">
        <v>985</v>
      </c>
      <c r="D48" s="1021">
        <v>951000</v>
      </c>
    </row>
    <row r="49" spans="1:6" ht="32.25" thickBot="1" x14ac:dyDescent="0.25">
      <c r="A49" s="972" t="s">
        <v>905</v>
      </c>
      <c r="B49" s="989" t="s">
        <v>112</v>
      </c>
      <c r="C49" s="1012" t="s">
        <v>1015</v>
      </c>
      <c r="D49" s="982">
        <f>SUM(D46:D48)</f>
        <v>42308416</v>
      </c>
    </row>
    <row r="50" spans="1:6" ht="20.25" customHeight="1" thickBot="1" x14ac:dyDescent="0.25">
      <c r="A50" s="972" t="s">
        <v>983</v>
      </c>
      <c r="B50" s="989" t="s">
        <v>892</v>
      </c>
      <c r="C50" s="1017" t="s">
        <v>893</v>
      </c>
      <c r="D50" s="982">
        <v>-24566831</v>
      </c>
    </row>
    <row r="51" spans="1:6" ht="16.5" thickBot="1" x14ac:dyDescent="0.25">
      <c r="A51" s="972" t="s">
        <v>1010</v>
      </c>
      <c r="B51" s="1538" t="s">
        <v>1063</v>
      </c>
      <c r="C51" s="1539"/>
      <c r="D51" s="1024">
        <f>D14+D20+D41+D45+D49+D50</f>
        <v>1423877053</v>
      </c>
      <c r="F51" s="600"/>
    </row>
    <row r="53" spans="1:6" x14ac:dyDescent="0.25">
      <c r="B53" s="999"/>
      <c r="C53" s="998"/>
    </row>
    <row r="54" spans="1:6" x14ac:dyDescent="0.25">
      <c r="B54" s="999"/>
      <c r="C54" s="998"/>
    </row>
    <row r="55" spans="1:6" x14ac:dyDescent="0.25">
      <c r="B55" s="1000"/>
      <c r="C55" s="1001"/>
    </row>
    <row r="56" spans="1:6" x14ac:dyDescent="0.25">
      <c r="B56" s="999"/>
      <c r="C56" s="998"/>
    </row>
  </sheetData>
  <mergeCells count="3">
    <mergeCell ref="B51:C51"/>
    <mergeCell ref="A1:D1"/>
    <mergeCell ref="A3:D3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64" orientation="portrait" r:id="rId1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51"/>
  <dimension ref="A1:F29"/>
  <sheetViews>
    <sheetView topLeftCell="A16" zoomScale="130" zoomScaleNormal="130" zoomScaleSheetLayoutView="130" workbookViewId="0">
      <selection activeCell="C31" sqref="C31"/>
    </sheetView>
  </sheetViews>
  <sheetFormatPr defaultRowHeight="12.75" x14ac:dyDescent="0.2"/>
  <cols>
    <col min="1" max="1" width="6.6640625" style="767" customWidth="1"/>
    <col min="2" max="2" width="43.33203125" style="767" customWidth="1"/>
    <col min="3" max="3" width="31.1640625" style="767" customWidth="1"/>
    <col min="4" max="4" width="17.5" style="793" bestFit="1" customWidth="1"/>
    <col min="5" max="16384" width="9.33203125" style="767"/>
  </cols>
  <sheetData>
    <row r="1" spans="1:6" x14ac:dyDescent="0.2">
      <c r="A1" s="1542" t="str">
        <f>CONCATENATE("35. melléklet ",ALAPADATOK!A7," ",ALAPADATOK!B7," ",ALAPADATOK!C7," ",ALAPADATOK!D7," ",ALAPADATOK!E7," ",ALAPADATOK!F7," ",ALAPADATOK!G7," ",ALAPADATOK!H7)</f>
        <v>35. melléklet a 19 / 2021. ( XI.29. ) önkormányzati rendelethez</v>
      </c>
      <c r="B1" s="1542"/>
      <c r="C1" s="1542"/>
      <c r="D1" s="1542"/>
    </row>
    <row r="2" spans="1:6" x14ac:dyDescent="0.2">
      <c r="D2" s="944" t="s">
        <v>782</v>
      </c>
    </row>
    <row r="3" spans="1:6" ht="45" customHeight="1" x14ac:dyDescent="0.25">
      <c r="A3" s="1543" t="s">
        <v>961</v>
      </c>
      <c r="B3" s="1543"/>
      <c r="C3" s="1543"/>
      <c r="D3" s="1543"/>
    </row>
    <row r="4" spans="1:6" ht="17.25" customHeight="1" x14ac:dyDescent="0.25">
      <c r="A4" s="877"/>
      <c r="B4" s="877"/>
      <c r="C4" s="877"/>
      <c r="D4" s="601"/>
    </row>
    <row r="5" spans="1:6" ht="13.5" thickBot="1" x14ac:dyDescent="0.25">
      <c r="A5" s="75"/>
      <c r="B5" s="75"/>
      <c r="C5" s="1544"/>
      <c r="D5" s="1544"/>
    </row>
    <row r="6" spans="1:6" ht="42.75" customHeight="1" thickBot="1" x14ac:dyDescent="0.25">
      <c r="A6" s="603" t="s">
        <v>761</v>
      </c>
      <c r="B6" s="604" t="s">
        <v>108</v>
      </c>
      <c r="C6" s="604" t="s">
        <v>109</v>
      </c>
      <c r="D6" s="1369" t="s">
        <v>1082</v>
      </c>
    </row>
    <row r="7" spans="1:6" ht="15.95" customHeight="1" x14ac:dyDescent="0.2">
      <c r="A7" s="1345" t="s">
        <v>16</v>
      </c>
      <c r="B7" s="1346" t="s">
        <v>371</v>
      </c>
      <c r="C7" s="1347" t="s">
        <v>372</v>
      </c>
      <c r="D7" s="1348">
        <v>6000000</v>
      </c>
      <c r="E7" s="826"/>
      <c r="F7" s="826"/>
    </row>
    <row r="8" spans="1:6" ht="15.95" customHeight="1" x14ac:dyDescent="0.2">
      <c r="A8" s="602" t="s">
        <v>17</v>
      </c>
      <c r="B8" s="781" t="s">
        <v>373</v>
      </c>
      <c r="C8" s="24" t="s">
        <v>372</v>
      </c>
      <c r="D8" s="1236">
        <v>2500000</v>
      </c>
      <c r="E8" s="826"/>
      <c r="F8" s="826"/>
    </row>
    <row r="9" spans="1:6" ht="15.95" customHeight="1" x14ac:dyDescent="0.2">
      <c r="A9" s="602" t="s">
        <v>18</v>
      </c>
      <c r="B9" s="781" t="s">
        <v>374</v>
      </c>
      <c r="C9" s="24" t="s">
        <v>372</v>
      </c>
      <c r="D9" s="1236">
        <v>1000000</v>
      </c>
      <c r="E9" s="826"/>
      <c r="F9" s="826"/>
    </row>
    <row r="10" spans="1:6" ht="15.95" customHeight="1" x14ac:dyDescent="0.2">
      <c r="A10" s="602" t="s">
        <v>19</v>
      </c>
      <c r="B10" s="781" t="s">
        <v>375</v>
      </c>
      <c r="C10" s="769" t="s">
        <v>372</v>
      </c>
      <c r="D10" s="1236">
        <v>10250000</v>
      </c>
      <c r="E10" s="826"/>
      <c r="F10" s="826"/>
    </row>
    <row r="11" spans="1:6" ht="15.95" customHeight="1" x14ac:dyDescent="0.2">
      <c r="A11" s="602" t="s">
        <v>20</v>
      </c>
      <c r="B11" s="781" t="s">
        <v>376</v>
      </c>
      <c r="C11" s="239" t="s">
        <v>372</v>
      </c>
      <c r="D11" s="1236">
        <v>300000</v>
      </c>
      <c r="E11" s="826"/>
      <c r="F11" s="826"/>
    </row>
    <row r="12" spans="1:6" ht="15.95" customHeight="1" x14ac:dyDescent="0.2">
      <c r="A12" s="602" t="s">
        <v>21</v>
      </c>
      <c r="B12" s="781" t="s">
        <v>377</v>
      </c>
      <c r="C12" s="769" t="s">
        <v>372</v>
      </c>
      <c r="D12" s="1236">
        <v>1000000</v>
      </c>
      <c r="E12" s="826"/>
      <c r="F12" s="826"/>
    </row>
    <row r="13" spans="1:6" ht="15.95" customHeight="1" x14ac:dyDescent="0.2">
      <c r="A13" s="602" t="s">
        <v>22</v>
      </c>
      <c r="B13" s="781" t="s">
        <v>786</v>
      </c>
      <c r="C13" s="238" t="s">
        <v>372</v>
      </c>
      <c r="D13" s="1236">
        <v>1000000</v>
      </c>
      <c r="E13" s="826"/>
      <c r="F13" s="826"/>
    </row>
    <row r="14" spans="1:6" ht="15.95" customHeight="1" x14ac:dyDescent="0.2">
      <c r="A14" s="602" t="s">
        <v>23</v>
      </c>
      <c r="B14" s="781" t="s">
        <v>932</v>
      </c>
      <c r="C14" s="238" t="s">
        <v>372</v>
      </c>
      <c r="D14" s="1236">
        <v>636000</v>
      </c>
      <c r="E14" s="826"/>
      <c r="F14" s="826"/>
    </row>
    <row r="15" spans="1:6" ht="15.95" customHeight="1" x14ac:dyDescent="0.2">
      <c r="A15" s="602" t="s">
        <v>24</v>
      </c>
      <c r="B15" s="781" t="s">
        <v>931</v>
      </c>
      <c r="C15" s="769" t="s">
        <v>372</v>
      </c>
      <c r="D15" s="1236">
        <v>7746291</v>
      </c>
      <c r="E15" s="826"/>
      <c r="F15" s="826"/>
    </row>
    <row r="16" spans="1:6" ht="15.95" customHeight="1" x14ac:dyDescent="0.2">
      <c r="A16" s="602" t="s">
        <v>25</v>
      </c>
      <c r="B16" s="781" t="s">
        <v>930</v>
      </c>
      <c r="C16" s="769" t="s">
        <v>372</v>
      </c>
      <c r="D16" s="1236">
        <v>3417664</v>
      </c>
      <c r="E16" s="826"/>
      <c r="F16" s="826"/>
    </row>
    <row r="17" spans="1:6" ht="15.95" customHeight="1" x14ac:dyDescent="0.2">
      <c r="A17" s="602" t="s">
        <v>26</v>
      </c>
      <c r="B17" s="781" t="s">
        <v>743</v>
      </c>
      <c r="C17" s="769" t="s">
        <v>372</v>
      </c>
      <c r="D17" s="1236">
        <v>5327836</v>
      </c>
      <c r="E17" s="826"/>
      <c r="F17" s="826"/>
    </row>
    <row r="18" spans="1:6" ht="15.95" customHeight="1" x14ac:dyDescent="0.2">
      <c r="A18" s="602" t="s">
        <v>27</v>
      </c>
      <c r="B18" s="781" t="s">
        <v>744</v>
      </c>
      <c r="C18" s="769" t="s">
        <v>372</v>
      </c>
      <c r="D18" s="1236">
        <v>2953846</v>
      </c>
      <c r="E18" s="826"/>
      <c r="F18" s="826"/>
    </row>
    <row r="19" spans="1:6" ht="15.95" customHeight="1" x14ac:dyDescent="0.2">
      <c r="A19" s="602" t="s">
        <v>28</v>
      </c>
      <c r="B19" s="781" t="s">
        <v>931</v>
      </c>
      <c r="C19" s="769" t="s">
        <v>378</v>
      </c>
      <c r="D19" s="1236">
        <v>1883228</v>
      </c>
      <c r="E19" s="826"/>
      <c r="F19" s="826"/>
    </row>
    <row r="20" spans="1:6" ht="15.95" customHeight="1" x14ac:dyDescent="0.2">
      <c r="A20" s="602" t="s">
        <v>29</v>
      </c>
      <c r="B20" s="781" t="s">
        <v>930</v>
      </c>
      <c r="C20" s="769" t="s">
        <v>378</v>
      </c>
      <c r="D20" s="1236">
        <v>1216767</v>
      </c>
      <c r="E20" s="826"/>
      <c r="F20" s="826"/>
    </row>
    <row r="21" spans="1:6" ht="15.95" customHeight="1" x14ac:dyDescent="0.2">
      <c r="A21" s="602" t="s">
        <v>30</v>
      </c>
      <c r="B21" s="781" t="s">
        <v>743</v>
      </c>
      <c r="C21" s="769" t="s">
        <v>378</v>
      </c>
      <c r="D21" s="1236">
        <v>999592</v>
      </c>
      <c r="E21" s="826"/>
      <c r="F21" s="826"/>
    </row>
    <row r="22" spans="1:6" ht="15.95" customHeight="1" x14ac:dyDescent="0.2">
      <c r="A22" s="602" t="s">
        <v>31</v>
      </c>
      <c r="B22" s="781" t="s">
        <v>744</v>
      </c>
      <c r="C22" s="769" t="s">
        <v>378</v>
      </c>
      <c r="D22" s="1236">
        <f>2835398-1023179</f>
        <v>1812219</v>
      </c>
      <c r="E22" s="826"/>
      <c r="F22" s="826"/>
    </row>
    <row r="23" spans="1:6" ht="15.95" customHeight="1" x14ac:dyDescent="0.2">
      <c r="A23" s="602" t="s">
        <v>32</v>
      </c>
      <c r="B23" s="781" t="s">
        <v>497</v>
      </c>
      <c r="C23" s="769" t="s">
        <v>372</v>
      </c>
      <c r="D23" s="1236">
        <v>200000</v>
      </c>
    </row>
    <row r="24" spans="1:6" ht="15.95" customHeight="1" x14ac:dyDescent="0.2">
      <c r="A24" s="602" t="s">
        <v>33</v>
      </c>
      <c r="B24" s="781" t="s">
        <v>521</v>
      </c>
      <c r="C24" s="769" t="s">
        <v>372</v>
      </c>
      <c r="D24" s="1236">
        <f>84000000+27025595-4053420+10664415</f>
        <v>117636590</v>
      </c>
    </row>
    <row r="25" spans="1:6" ht="15.95" customHeight="1" x14ac:dyDescent="0.2">
      <c r="A25" s="602" t="s">
        <v>34</v>
      </c>
      <c r="B25" s="781" t="s">
        <v>523</v>
      </c>
      <c r="C25" s="769" t="s">
        <v>372</v>
      </c>
      <c r="D25" s="1236">
        <v>500000</v>
      </c>
    </row>
    <row r="26" spans="1:6" ht="15.95" customHeight="1" x14ac:dyDescent="0.2">
      <c r="A26" s="602" t="s">
        <v>35</v>
      </c>
      <c r="B26" s="781" t="s">
        <v>621</v>
      </c>
      <c r="C26" s="769" t="s">
        <v>372</v>
      </c>
      <c r="D26" s="1236">
        <v>46642000</v>
      </c>
    </row>
    <row r="27" spans="1:6" ht="15.95" customHeight="1" x14ac:dyDescent="0.2">
      <c r="A27" s="602" t="s">
        <v>36</v>
      </c>
      <c r="B27" s="929" t="s">
        <v>929</v>
      </c>
      <c r="C27" s="24" t="s">
        <v>372</v>
      </c>
      <c r="D27" s="1236">
        <v>754230</v>
      </c>
    </row>
    <row r="28" spans="1:6" ht="15.95" customHeight="1" thickBot="1" x14ac:dyDescent="0.25">
      <c r="A28" s="1349" t="s">
        <v>37</v>
      </c>
      <c r="B28" s="1350" t="s">
        <v>1019</v>
      </c>
      <c r="C28" s="1351" t="s">
        <v>372</v>
      </c>
      <c r="D28" s="1352">
        <v>690537</v>
      </c>
    </row>
    <row r="29" spans="1:6" ht="15.95" customHeight="1" thickBot="1" x14ac:dyDescent="0.25">
      <c r="A29" s="1349" t="s">
        <v>38</v>
      </c>
      <c r="B29" s="1545" t="s">
        <v>1064</v>
      </c>
      <c r="C29" s="1546"/>
      <c r="D29" s="1237">
        <f>SUM(D7:D28)</f>
        <v>214466800</v>
      </c>
    </row>
  </sheetData>
  <mergeCells count="4">
    <mergeCell ref="A1:D1"/>
    <mergeCell ref="A3:D3"/>
    <mergeCell ref="C5:D5"/>
    <mergeCell ref="B29:C29"/>
  </mergeCells>
  <printOptions horizontalCentered="1"/>
  <pageMargins left="0.7" right="0.7" top="0.75" bottom="0.75" header="0.3" footer="0.3"/>
  <pageSetup paperSize="9" scale="99" orientation="portrait" r:id="rId1"/>
  <headerFooter alignWithMargins="0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52">
    <pageSetUpPr fitToPage="1"/>
  </sheetPr>
  <dimension ref="A1:GK75"/>
  <sheetViews>
    <sheetView zoomScaleNormal="100" zoomScaleSheetLayoutView="85" zoomScalePageLayoutView="85" workbookViewId="0">
      <selection activeCell="G10" sqref="G10"/>
    </sheetView>
  </sheetViews>
  <sheetFormatPr defaultColWidth="10.6640625" defaultRowHeight="12.75" x14ac:dyDescent="0.2"/>
  <cols>
    <col min="1" max="1" width="8.83203125" style="817" customWidth="1"/>
    <col min="2" max="2" width="42.33203125" style="817" customWidth="1"/>
    <col min="3" max="3" width="15.5" style="303" bestFit="1" customWidth="1"/>
    <col min="4" max="4" width="15.1640625" style="303" bestFit="1" customWidth="1"/>
    <col min="5" max="5" width="14.83203125" style="303" customWidth="1"/>
    <col min="6" max="6" width="15.1640625" style="303" bestFit="1" customWidth="1"/>
    <col min="7" max="7" width="13.83203125" style="303" bestFit="1" customWidth="1"/>
    <col min="8" max="8" width="15.5" style="616" bestFit="1" customWidth="1"/>
    <col min="9" max="10" width="15.1640625" style="817" bestFit="1" customWidth="1"/>
    <col min="11" max="11" width="15.33203125" style="817" bestFit="1" customWidth="1"/>
    <col min="12" max="12" width="13.6640625" style="817" bestFit="1" customWidth="1"/>
    <col min="13" max="13" width="12.5" style="817" bestFit="1" customWidth="1"/>
    <col min="14" max="14" width="15.6640625" style="304" bestFit="1" customWidth="1"/>
    <col min="15" max="15" width="15.1640625" style="817" customWidth="1"/>
    <col min="16" max="16384" width="10.6640625" style="817"/>
  </cols>
  <sheetData>
    <row r="1" spans="1:193" x14ac:dyDescent="0.2">
      <c r="A1" s="1547" t="str">
        <f>CONCATENATE("25. melléklet ",ALAPADATOK!A7," ",ALAPADATOK!B7," ",ALAPADATOK!C7," ",ALAPADATOK!D7," ",ALAPADATOK!E7," ",ALAPADATOK!F7," ",ALAPADATOK!G7," ",ALAPADATOK!H7)</f>
        <v>25. melléklet a 19 / 2021. ( XI.29. ) önkormányzati rendelethez</v>
      </c>
      <c r="B1" s="1547"/>
      <c r="C1" s="1547"/>
      <c r="D1" s="1547"/>
      <c r="E1" s="1547"/>
      <c r="F1" s="1547"/>
      <c r="G1" s="1547"/>
      <c r="H1" s="1547"/>
      <c r="I1" s="1547"/>
      <c r="J1" s="1547"/>
      <c r="K1" s="1547"/>
      <c r="L1" s="1547"/>
      <c r="M1" s="1547"/>
      <c r="N1" s="1547"/>
    </row>
    <row r="2" spans="1:193" ht="12.75" customHeight="1" x14ac:dyDescent="0.2">
      <c r="B2" s="305"/>
      <c r="F2" s="306"/>
      <c r="I2" s="305"/>
      <c r="J2" s="1548" t="s">
        <v>782</v>
      </c>
      <c r="K2" s="1548"/>
      <c r="L2" s="1548"/>
      <c r="M2" s="1548"/>
      <c r="N2" s="1548"/>
    </row>
    <row r="3" spans="1:193" ht="17.25" customHeight="1" x14ac:dyDescent="0.35">
      <c r="A3" s="1549" t="s">
        <v>933</v>
      </c>
      <c r="B3" s="1549"/>
      <c r="C3" s="1549"/>
      <c r="D3" s="1549"/>
      <c r="E3" s="1549"/>
      <c r="F3" s="1549"/>
      <c r="G3" s="1549"/>
      <c r="H3" s="1549"/>
      <c r="I3" s="1549"/>
      <c r="J3" s="1549"/>
      <c r="K3" s="1549"/>
      <c r="L3" s="1549"/>
      <c r="M3" s="1549"/>
      <c r="N3" s="1549"/>
      <c r="O3" s="819"/>
    </row>
    <row r="4" spans="1:193" ht="19.5" x14ac:dyDescent="0.35">
      <c r="A4" s="1550" t="s">
        <v>379</v>
      </c>
      <c r="B4" s="1550"/>
      <c r="C4" s="1550"/>
      <c r="D4" s="1550"/>
      <c r="E4" s="1550"/>
      <c r="F4" s="1550"/>
      <c r="G4" s="1550"/>
      <c r="H4" s="1550"/>
      <c r="I4" s="1550"/>
      <c r="J4" s="1550"/>
      <c r="K4" s="1550"/>
      <c r="L4" s="1550"/>
      <c r="M4" s="1550"/>
      <c r="N4" s="1550"/>
      <c r="O4" s="819"/>
    </row>
    <row r="5" spans="1:193" ht="18" thickBot="1" x14ac:dyDescent="0.35">
      <c r="B5" s="310"/>
      <c r="C5" s="308"/>
      <c r="D5" s="308"/>
      <c r="E5" s="308"/>
      <c r="F5" s="308"/>
      <c r="G5" s="308"/>
      <c r="H5" s="617"/>
      <c r="I5" s="309"/>
      <c r="J5" s="309"/>
      <c r="K5" s="309"/>
      <c r="L5" s="309"/>
      <c r="M5" s="309"/>
      <c r="N5" s="307"/>
      <c r="O5" s="819"/>
    </row>
    <row r="6" spans="1:193" ht="15.75" customHeight="1" x14ac:dyDescent="0.25">
      <c r="A6" s="1554" t="s">
        <v>622</v>
      </c>
      <c r="B6" s="1556" t="s">
        <v>152</v>
      </c>
      <c r="C6" s="1551" t="s">
        <v>380</v>
      </c>
      <c r="D6" s="1552"/>
      <c r="E6" s="1552"/>
      <c r="F6" s="1552"/>
      <c r="G6" s="1552"/>
      <c r="H6" s="1553"/>
      <c r="I6" s="1551" t="s">
        <v>381</v>
      </c>
      <c r="J6" s="1552"/>
      <c r="K6" s="1552"/>
      <c r="L6" s="1552"/>
      <c r="M6" s="1552"/>
      <c r="N6" s="1553"/>
      <c r="O6" s="819"/>
    </row>
    <row r="7" spans="1:193" ht="27" customHeight="1" thickBot="1" x14ac:dyDescent="0.25">
      <c r="A7" s="1555"/>
      <c r="B7" s="1557"/>
      <c r="C7" s="1370" t="s">
        <v>353</v>
      </c>
      <c r="D7" s="1371" t="s">
        <v>9</v>
      </c>
      <c r="E7" s="1371" t="s">
        <v>126</v>
      </c>
      <c r="F7" s="1371" t="s">
        <v>1067</v>
      </c>
      <c r="G7" s="1371" t="s">
        <v>482</v>
      </c>
      <c r="H7" s="1372" t="s">
        <v>1065</v>
      </c>
      <c r="I7" s="1370" t="s">
        <v>1068</v>
      </c>
      <c r="J7" s="1371" t="s">
        <v>1049</v>
      </c>
      <c r="K7" s="1371" t="s">
        <v>1069</v>
      </c>
      <c r="L7" s="1371" t="s">
        <v>110</v>
      </c>
      <c r="M7" s="1371" t="s">
        <v>385</v>
      </c>
      <c r="N7" s="1373" t="s">
        <v>1066</v>
      </c>
      <c r="O7" s="819"/>
    </row>
    <row r="8" spans="1:193" ht="14.25" thickBot="1" x14ac:dyDescent="0.3">
      <c r="A8" s="1560" t="s">
        <v>623</v>
      </c>
      <c r="B8" s="1561"/>
      <c r="C8" s="1562"/>
      <c r="D8" s="1562"/>
      <c r="E8" s="1562"/>
      <c r="F8" s="1562"/>
      <c r="G8" s="1562"/>
      <c r="H8" s="1562"/>
      <c r="I8" s="1562"/>
      <c r="J8" s="1562"/>
      <c r="K8" s="1562"/>
      <c r="L8" s="1562"/>
      <c r="M8" s="1562"/>
      <c r="N8" s="1563"/>
      <c r="O8" s="311"/>
      <c r="P8" s="311"/>
      <c r="Q8" s="311"/>
      <c r="R8" s="311"/>
      <c r="S8" s="311"/>
      <c r="T8" s="311"/>
      <c r="U8" s="311"/>
      <c r="V8" s="311"/>
      <c r="W8" s="311"/>
      <c r="X8" s="311"/>
      <c r="Y8" s="311"/>
      <c r="Z8" s="311"/>
      <c r="AA8" s="311"/>
      <c r="AB8" s="311"/>
      <c r="AC8" s="311"/>
      <c r="AD8" s="311"/>
      <c r="AE8" s="311"/>
      <c r="AF8" s="311"/>
      <c r="AG8" s="311"/>
      <c r="AH8" s="311"/>
      <c r="AI8" s="311"/>
      <c r="AJ8" s="311"/>
      <c r="AK8" s="311"/>
      <c r="AL8" s="311"/>
      <c r="AM8" s="311"/>
      <c r="AN8" s="311"/>
      <c r="AO8" s="311"/>
      <c r="AP8" s="311"/>
      <c r="AQ8" s="311"/>
      <c r="AR8" s="311"/>
      <c r="AS8" s="311"/>
      <c r="AT8" s="311"/>
      <c r="AU8" s="311"/>
      <c r="AV8" s="311"/>
      <c r="AW8" s="311"/>
      <c r="AX8" s="311"/>
      <c r="AY8" s="311"/>
      <c r="AZ8" s="311"/>
      <c r="BA8" s="311"/>
      <c r="BB8" s="311"/>
      <c r="BC8" s="311"/>
      <c r="BD8" s="311"/>
      <c r="BE8" s="311"/>
      <c r="BF8" s="311"/>
      <c r="BG8" s="311"/>
      <c r="BH8" s="311"/>
      <c r="BI8" s="311"/>
      <c r="BJ8" s="311"/>
      <c r="BK8" s="311"/>
      <c r="BL8" s="311"/>
      <c r="BM8" s="311"/>
      <c r="BN8" s="311"/>
      <c r="BO8" s="311"/>
      <c r="BP8" s="311"/>
      <c r="BQ8" s="311"/>
      <c r="BR8" s="311"/>
      <c r="BS8" s="311"/>
      <c r="BT8" s="311"/>
      <c r="BU8" s="311"/>
      <c r="BV8" s="311"/>
      <c r="BW8" s="311"/>
      <c r="BX8" s="311"/>
      <c r="BY8" s="311"/>
      <c r="BZ8" s="311"/>
      <c r="CA8" s="311"/>
      <c r="CB8" s="311"/>
      <c r="CC8" s="311"/>
      <c r="CD8" s="311"/>
      <c r="CE8" s="311"/>
      <c r="CF8" s="311"/>
      <c r="CG8" s="311"/>
      <c r="CH8" s="311"/>
      <c r="CI8" s="311"/>
      <c r="CJ8" s="311"/>
      <c r="CK8" s="311"/>
      <c r="CL8" s="311"/>
      <c r="CM8" s="311"/>
      <c r="CN8" s="311"/>
      <c r="CO8" s="311"/>
      <c r="CP8" s="311"/>
      <c r="CQ8" s="311"/>
      <c r="CR8" s="311"/>
      <c r="CS8" s="311"/>
      <c r="CT8" s="311"/>
      <c r="CU8" s="311"/>
      <c r="CV8" s="311"/>
      <c r="CW8" s="311"/>
      <c r="CX8" s="311"/>
      <c r="CY8" s="311"/>
      <c r="CZ8" s="311"/>
      <c r="DA8" s="311"/>
      <c r="DB8" s="311"/>
      <c r="DC8" s="311"/>
      <c r="DD8" s="311"/>
      <c r="DE8" s="311"/>
      <c r="DF8" s="311"/>
      <c r="DG8" s="311"/>
      <c r="DH8" s="311"/>
      <c r="DI8" s="311"/>
      <c r="DJ8" s="311"/>
      <c r="DK8" s="311"/>
      <c r="DL8" s="311"/>
      <c r="DM8" s="311"/>
      <c r="DN8" s="311"/>
      <c r="DO8" s="311"/>
      <c r="DP8" s="311"/>
      <c r="DQ8" s="311"/>
      <c r="DR8" s="311"/>
      <c r="DS8" s="311"/>
      <c r="DT8" s="311"/>
      <c r="DU8" s="311"/>
      <c r="DV8" s="311"/>
      <c r="DW8" s="311"/>
      <c r="DX8" s="311"/>
      <c r="DY8" s="311"/>
      <c r="DZ8" s="311"/>
      <c r="EA8" s="311"/>
      <c r="EB8" s="311"/>
      <c r="EC8" s="311"/>
      <c r="ED8" s="311"/>
      <c r="EE8" s="311"/>
      <c r="EF8" s="311"/>
      <c r="EG8" s="311"/>
      <c r="EH8" s="311"/>
      <c r="EI8" s="311"/>
      <c r="EJ8" s="311"/>
      <c r="EK8" s="311"/>
      <c r="EL8" s="311"/>
      <c r="EM8" s="311"/>
      <c r="EN8" s="311"/>
      <c r="EO8" s="311"/>
      <c r="EP8" s="311"/>
      <c r="EQ8" s="311"/>
      <c r="ER8" s="311"/>
      <c r="ES8" s="311"/>
      <c r="ET8" s="311"/>
      <c r="EU8" s="311"/>
      <c r="EV8" s="311"/>
      <c r="EW8" s="311"/>
      <c r="EX8" s="311"/>
      <c r="EY8" s="311"/>
      <c r="EZ8" s="311"/>
      <c r="FA8" s="311"/>
      <c r="FB8" s="311"/>
      <c r="FC8" s="311"/>
      <c r="FD8" s="311"/>
      <c r="FE8" s="311"/>
      <c r="FF8" s="311"/>
      <c r="FG8" s="311"/>
      <c r="FH8" s="311"/>
      <c r="FI8" s="311"/>
      <c r="FJ8" s="311"/>
      <c r="FK8" s="311"/>
      <c r="FL8" s="311"/>
      <c r="FM8" s="311"/>
      <c r="FN8" s="311"/>
      <c r="FO8" s="311"/>
      <c r="FP8" s="311"/>
      <c r="FQ8" s="311"/>
      <c r="FR8" s="311"/>
      <c r="FS8" s="311"/>
      <c r="FT8" s="311"/>
      <c r="FU8" s="311"/>
      <c r="FV8" s="311"/>
      <c r="FW8" s="311"/>
      <c r="FX8" s="311"/>
      <c r="FY8" s="311"/>
      <c r="FZ8" s="311"/>
      <c r="GA8" s="311"/>
      <c r="GB8" s="311"/>
      <c r="GC8" s="311"/>
      <c r="GD8" s="311"/>
      <c r="GE8" s="311"/>
      <c r="GF8" s="311"/>
      <c r="GG8" s="311"/>
      <c r="GH8" s="311"/>
      <c r="GI8" s="311"/>
      <c r="GJ8" s="311"/>
      <c r="GK8" s="311"/>
    </row>
    <row r="9" spans="1:193" ht="38.25" x14ac:dyDescent="0.2">
      <c r="A9" s="611" t="s">
        <v>624</v>
      </c>
      <c r="B9" s="612" t="s">
        <v>630</v>
      </c>
      <c r="C9" s="1238">
        <v>127000</v>
      </c>
      <c r="D9" s="1239"/>
      <c r="E9" s="1239"/>
      <c r="F9" s="1239"/>
      <c r="G9" s="1239"/>
      <c r="H9" s="1240">
        <f t="shared" ref="H9:H15" si="0">SUM(C9:G9)</f>
        <v>127000</v>
      </c>
      <c r="I9" s="1241">
        <f>32781559+2787150-606000-84537</f>
        <v>34878172</v>
      </c>
      <c r="J9" s="1242">
        <v>2869994</v>
      </c>
      <c r="K9" s="1242"/>
      <c r="L9" s="1242"/>
      <c r="M9" s="1242"/>
      <c r="N9" s="1243">
        <f t="shared" ref="N9:N15" si="1">SUM(I9:M9)</f>
        <v>37748166</v>
      </c>
      <c r="O9" s="819"/>
    </row>
    <row r="10" spans="1:193" x14ac:dyDescent="0.2">
      <c r="A10" s="613" t="s">
        <v>625</v>
      </c>
      <c r="B10" s="614" t="s">
        <v>631</v>
      </c>
      <c r="C10" s="1244"/>
      <c r="D10" s="1245"/>
      <c r="E10" s="1245"/>
      <c r="F10" s="1245"/>
      <c r="G10" s="1245"/>
      <c r="H10" s="1243">
        <f t="shared" si="0"/>
        <v>0</v>
      </c>
      <c r="I10" s="1246">
        <v>500000</v>
      </c>
      <c r="J10" s="1245"/>
      <c r="K10" s="1245"/>
      <c r="L10" s="1245"/>
      <c r="M10" s="1245"/>
      <c r="N10" s="1243">
        <f t="shared" si="1"/>
        <v>500000</v>
      </c>
      <c r="O10" s="819"/>
    </row>
    <row r="11" spans="1:193" ht="25.5" x14ac:dyDescent="0.2">
      <c r="A11" s="613" t="s">
        <v>626</v>
      </c>
      <c r="B11" s="614" t="s">
        <v>632</v>
      </c>
      <c r="C11" s="1244">
        <f>30982865+3078700</f>
        <v>34061565</v>
      </c>
      <c r="D11" s="1245">
        <f>63000000+1499571</f>
        <v>64499571</v>
      </c>
      <c r="E11" s="1245"/>
      <c r="F11" s="1245"/>
      <c r="G11" s="1245"/>
      <c r="H11" s="1247">
        <f t="shared" si="0"/>
        <v>98561136</v>
      </c>
      <c r="I11" s="1246">
        <f>31791596+3278940-3278940+170000+400000+71715</f>
        <v>32433311</v>
      </c>
      <c r="J11" s="1245">
        <f>7747000+254000+6000+697865</f>
        <v>8704865</v>
      </c>
      <c r="K11" s="1245"/>
      <c r="L11" s="1245"/>
      <c r="M11" s="1245"/>
      <c r="N11" s="1243">
        <f t="shared" si="1"/>
        <v>41138176</v>
      </c>
      <c r="O11" s="819"/>
    </row>
    <row r="12" spans="1:193" ht="25.5" x14ac:dyDescent="0.2">
      <c r="A12" s="613" t="s">
        <v>627</v>
      </c>
      <c r="B12" s="614" t="s">
        <v>387</v>
      </c>
      <c r="C12" s="1244"/>
      <c r="D12" s="1248"/>
      <c r="E12" s="1245"/>
      <c r="F12" s="1245"/>
      <c r="G12" s="1245"/>
      <c r="H12" s="1247">
        <f t="shared" si="0"/>
        <v>0</v>
      </c>
      <c r="I12" s="1246">
        <f>9921632+96499+300000</f>
        <v>10318131</v>
      </c>
      <c r="J12" s="1245"/>
      <c r="K12" s="1245"/>
      <c r="L12" s="1245"/>
      <c r="M12" s="1245"/>
      <c r="N12" s="1243">
        <f t="shared" si="1"/>
        <v>10318131</v>
      </c>
      <c r="O12" s="819"/>
    </row>
    <row r="13" spans="1:193" ht="25.5" x14ac:dyDescent="0.2">
      <c r="A13" s="613" t="s">
        <v>628</v>
      </c>
      <c r="B13" s="614" t="s">
        <v>633</v>
      </c>
      <c r="C13" s="1244">
        <f>1586619919+131199793+48966750-4715+107725-1227663+1466064+951000+1536897+651710+2664490-1840000-4234000+75851737-47196-60000000+50000000</f>
        <v>1832662511</v>
      </c>
      <c r="D13" s="1245">
        <f>1265000000+40000000+13500100</f>
        <v>1318500100</v>
      </c>
      <c r="E13" s="1245"/>
      <c r="F13" s="1249"/>
      <c r="G13" s="1249"/>
      <c r="H13" s="1247">
        <f t="shared" si="0"/>
        <v>3151162611</v>
      </c>
      <c r="I13" s="1246">
        <f>49106750+15636933+1466064</f>
        <v>66209747</v>
      </c>
      <c r="J13" s="1245"/>
      <c r="K13" s="1249"/>
      <c r="L13" s="1249"/>
      <c r="M13" s="1249"/>
      <c r="N13" s="1243">
        <f t="shared" si="1"/>
        <v>66209747</v>
      </c>
      <c r="O13" s="819"/>
    </row>
    <row r="14" spans="1:193" x14ac:dyDescent="0.2">
      <c r="A14" s="613" t="s">
        <v>934</v>
      </c>
      <c r="B14" s="614" t="s">
        <v>935</v>
      </c>
      <c r="C14" s="1244"/>
      <c r="D14" s="1250"/>
      <c r="E14" s="1245"/>
      <c r="F14" s="1245"/>
      <c r="G14" s="1245"/>
      <c r="H14" s="1247">
        <f t="shared" ref="H14" si="2">SUM(C14:G14)</f>
        <v>0</v>
      </c>
      <c r="I14" s="1251">
        <v>24566831</v>
      </c>
      <c r="J14" s="1252"/>
      <c r="K14" s="1252"/>
      <c r="L14" s="1252"/>
      <c r="M14" s="1252"/>
      <c r="N14" s="1243">
        <f t="shared" ref="N14" si="3">SUM(I14:M14)</f>
        <v>24566831</v>
      </c>
      <c r="O14" s="819"/>
    </row>
    <row r="15" spans="1:193" ht="13.5" thickBot="1" x14ac:dyDescent="0.25">
      <c r="A15" s="1131" t="s">
        <v>629</v>
      </c>
      <c r="B15" s="1132" t="s">
        <v>386</v>
      </c>
      <c r="C15" s="1253"/>
      <c r="D15" s="1254"/>
      <c r="E15" s="1254"/>
      <c r="F15" s="1254"/>
      <c r="G15" s="1254">
        <v>847491815</v>
      </c>
      <c r="H15" s="1255">
        <f t="shared" si="0"/>
        <v>847491815</v>
      </c>
      <c r="I15" s="1251">
        <v>636000</v>
      </c>
      <c r="J15" s="1252"/>
      <c r="K15" s="1256">
        <v>1581875315</v>
      </c>
      <c r="L15" s="1252"/>
      <c r="M15" s="1252"/>
      <c r="N15" s="1243">
        <f t="shared" si="1"/>
        <v>1582511315</v>
      </c>
      <c r="O15" s="819"/>
    </row>
    <row r="16" spans="1:193" s="819" customFormat="1" ht="14.25" thickBot="1" x14ac:dyDescent="0.3">
      <c r="A16" s="1564" t="s">
        <v>668</v>
      </c>
      <c r="B16" s="1565" t="s">
        <v>668</v>
      </c>
      <c r="C16" s="1561" t="s">
        <v>668</v>
      </c>
      <c r="D16" s="1561" t="s">
        <v>668</v>
      </c>
      <c r="E16" s="1561" t="s">
        <v>668</v>
      </c>
      <c r="F16" s="1561" t="s">
        <v>668</v>
      </c>
      <c r="G16" s="1561" t="s">
        <v>668</v>
      </c>
      <c r="H16" s="1561" t="s">
        <v>668</v>
      </c>
      <c r="I16" s="1561" t="s">
        <v>668</v>
      </c>
      <c r="J16" s="1561" t="s">
        <v>668</v>
      </c>
      <c r="K16" s="1561" t="s">
        <v>668</v>
      </c>
      <c r="L16" s="1561" t="s">
        <v>668</v>
      </c>
      <c r="M16" s="1561" t="s">
        <v>668</v>
      </c>
      <c r="N16" s="1566" t="s">
        <v>668</v>
      </c>
    </row>
    <row r="17" spans="1:15" s="819" customFormat="1" x14ac:dyDescent="0.2">
      <c r="A17" s="605" t="s">
        <v>669</v>
      </c>
      <c r="B17" s="606" t="s">
        <v>670</v>
      </c>
      <c r="C17" s="1238"/>
      <c r="D17" s="1239"/>
      <c r="E17" s="1239"/>
      <c r="F17" s="1239"/>
      <c r="G17" s="1239"/>
      <c r="H17" s="1240">
        <f t="shared" ref="H17:H25" si="4">SUM(C17:G17)</f>
        <v>0</v>
      </c>
      <c r="I17" s="1257">
        <v>37424697</v>
      </c>
      <c r="J17" s="1239">
        <f>5000000-3937008-1062992</f>
        <v>0</v>
      </c>
      <c r="K17" s="1239"/>
      <c r="L17" s="1239"/>
      <c r="M17" s="1239"/>
      <c r="N17" s="1240">
        <f t="shared" ref="N17:N25" si="5">SUM(I17:M17)</f>
        <v>37424697</v>
      </c>
    </row>
    <row r="18" spans="1:15" s="819" customFormat="1" ht="25.5" x14ac:dyDescent="0.2">
      <c r="A18" s="607" t="s">
        <v>671</v>
      </c>
      <c r="B18" s="608" t="s">
        <v>672</v>
      </c>
      <c r="C18" s="1244"/>
      <c r="D18" s="1245"/>
      <c r="E18" s="1245"/>
      <c r="F18" s="1245"/>
      <c r="G18" s="1245"/>
      <c r="H18" s="1247">
        <f t="shared" si="4"/>
        <v>0</v>
      </c>
      <c r="I18" s="1246">
        <v>47000</v>
      </c>
      <c r="J18" s="1245"/>
      <c r="K18" s="1245"/>
      <c r="L18" s="1245"/>
      <c r="M18" s="1245"/>
      <c r="N18" s="1247">
        <f t="shared" si="5"/>
        <v>47000</v>
      </c>
    </row>
    <row r="19" spans="1:15" s="819" customFormat="1" x14ac:dyDescent="0.2">
      <c r="A19" s="607" t="s">
        <v>1022</v>
      </c>
      <c r="B19" s="608" t="s">
        <v>1023</v>
      </c>
      <c r="C19" s="1244"/>
      <c r="D19" s="1245"/>
      <c r="E19" s="1245"/>
      <c r="F19" s="1245"/>
      <c r="G19" s="1245"/>
      <c r="H19" s="1247">
        <f t="shared" ref="H19" si="6">SUM(C19:G19)</f>
        <v>0</v>
      </c>
      <c r="I19" s="1246">
        <f>10311024-553313</f>
        <v>9757711</v>
      </c>
      <c r="J19" s="1245">
        <f>39476378+212598+553313</f>
        <v>40242289</v>
      </c>
      <c r="K19" s="1245"/>
      <c r="L19" s="1245"/>
      <c r="M19" s="1245"/>
      <c r="N19" s="1247">
        <f t="shared" ref="N19" si="7">SUM(I19:M19)</f>
        <v>50000000</v>
      </c>
    </row>
    <row r="20" spans="1:15" s="819" customFormat="1" x14ac:dyDescent="0.2">
      <c r="A20" s="607" t="s">
        <v>673</v>
      </c>
      <c r="B20" s="608" t="s">
        <v>674</v>
      </c>
      <c r="C20" s="1244"/>
      <c r="D20" s="1245"/>
      <c r="E20" s="1245"/>
      <c r="F20" s="1245"/>
      <c r="G20" s="1245"/>
      <c r="H20" s="1247">
        <f t="shared" si="4"/>
        <v>0</v>
      </c>
      <c r="I20" s="1246"/>
      <c r="J20" s="1245">
        <v>250000</v>
      </c>
      <c r="K20" s="1245"/>
      <c r="L20" s="1245"/>
      <c r="M20" s="1245"/>
      <c r="N20" s="1247">
        <f t="shared" si="5"/>
        <v>250000</v>
      </c>
    </row>
    <row r="21" spans="1:15" s="819" customFormat="1" ht="25.5" x14ac:dyDescent="0.2">
      <c r="A21" s="607" t="s">
        <v>675</v>
      </c>
      <c r="B21" s="608" t="s">
        <v>676</v>
      </c>
      <c r="C21" s="1244"/>
      <c r="D21" s="1245"/>
      <c r="E21" s="1245"/>
      <c r="F21" s="1245"/>
      <c r="G21" s="1245"/>
      <c r="H21" s="1247">
        <f t="shared" si="4"/>
        <v>0</v>
      </c>
      <c r="I21" s="1246">
        <f>5592279+15499217+260000+4195588+40000-536710+30000</f>
        <v>25080374</v>
      </c>
      <c r="J21" s="1245">
        <f>46370421+586618264+158386931+536710+980848+264829</f>
        <v>793158003</v>
      </c>
      <c r="K21" s="1245"/>
      <c r="L21" s="1245"/>
      <c r="M21" s="1245"/>
      <c r="N21" s="1247">
        <f t="shared" si="5"/>
        <v>818238377</v>
      </c>
    </row>
    <row r="22" spans="1:15" s="819" customFormat="1" ht="25.5" x14ac:dyDescent="0.2">
      <c r="A22" s="869" t="s">
        <v>771</v>
      </c>
      <c r="B22" s="870" t="s">
        <v>772</v>
      </c>
      <c r="C22" s="1258"/>
      <c r="D22" s="1245"/>
      <c r="E22" s="1259"/>
      <c r="F22" s="1259"/>
      <c r="G22" s="1260"/>
      <c r="H22" s="1247">
        <f>SUM(C22:G22)</f>
        <v>0</v>
      </c>
      <c r="I22" s="1246">
        <v>337820</v>
      </c>
      <c r="J22" s="1245"/>
      <c r="K22" s="1260"/>
      <c r="L22" s="1260"/>
      <c r="M22" s="1260"/>
      <c r="N22" s="1247">
        <f t="shared" si="5"/>
        <v>337820</v>
      </c>
    </row>
    <row r="23" spans="1:15" s="819" customFormat="1" ht="25.5" x14ac:dyDescent="0.2">
      <c r="A23" s="607" t="s">
        <v>677</v>
      </c>
      <c r="B23" s="608" t="s">
        <v>678</v>
      </c>
      <c r="C23" s="1244">
        <f>25525800+1809000</f>
        <v>27334800</v>
      </c>
      <c r="D23" s="1245">
        <v>100000000</v>
      </c>
      <c r="E23" s="1245"/>
      <c r="F23" s="1245"/>
      <c r="G23" s="1245"/>
      <c r="H23" s="1247">
        <f t="shared" si="4"/>
        <v>127334800</v>
      </c>
      <c r="I23" s="1246">
        <v>28137400</v>
      </c>
      <c r="J23" s="1245">
        <f>97670000+1809000</f>
        <v>99479000</v>
      </c>
      <c r="K23" s="1245"/>
      <c r="L23" s="1245"/>
      <c r="M23" s="1245"/>
      <c r="N23" s="1247">
        <f t="shared" si="5"/>
        <v>127616400</v>
      </c>
    </row>
    <row r="24" spans="1:15" s="819" customFormat="1" ht="25.5" x14ac:dyDescent="0.2">
      <c r="A24" s="607" t="s">
        <v>679</v>
      </c>
      <c r="B24" s="608" t="s">
        <v>1089</v>
      </c>
      <c r="C24" s="1244"/>
      <c r="D24" s="1260">
        <v>554000000</v>
      </c>
      <c r="E24" s="1245"/>
      <c r="F24" s="1245"/>
      <c r="G24" s="1245"/>
      <c r="H24" s="1247">
        <f t="shared" ref="H24" si="8">SUM(C24:G24)</f>
        <v>554000000</v>
      </c>
      <c r="I24" s="1385">
        <v>19166098</v>
      </c>
      <c r="J24" s="1260">
        <v>534833902</v>
      </c>
      <c r="K24" s="1245"/>
      <c r="L24" s="1245"/>
      <c r="M24" s="1245"/>
      <c r="N24" s="1247">
        <f t="shared" ref="N24" si="9">SUM(I24:M24)</f>
        <v>554000000</v>
      </c>
    </row>
    <row r="25" spans="1:15" s="819" customFormat="1" ht="26.25" thickBot="1" x14ac:dyDescent="0.25">
      <c r="A25" s="609" t="s">
        <v>1088</v>
      </c>
      <c r="B25" s="610" t="s">
        <v>680</v>
      </c>
      <c r="C25" s="1261"/>
      <c r="D25" s="1262">
        <v>3482179</v>
      </c>
      <c r="E25" s="1262"/>
      <c r="F25" s="1262"/>
      <c r="G25" s="1262"/>
      <c r="H25" s="1263">
        <f t="shared" si="4"/>
        <v>3482179</v>
      </c>
      <c r="I25" s="1264">
        <f>773900+3871338+260000+1056062+40000+2315913</f>
        <v>8317213</v>
      </c>
      <c r="J25" s="1262">
        <f>153782518+40990082-2315913</f>
        <v>192456687</v>
      </c>
      <c r="K25" s="1262"/>
      <c r="L25" s="1262"/>
      <c r="M25" s="1262"/>
      <c r="N25" s="1263">
        <f t="shared" si="5"/>
        <v>200773900</v>
      </c>
    </row>
    <row r="26" spans="1:15" ht="14.25" thickBot="1" x14ac:dyDescent="0.3">
      <c r="A26" s="1564" t="s">
        <v>634</v>
      </c>
      <c r="B26" s="1565"/>
      <c r="C26" s="1565"/>
      <c r="D26" s="1565"/>
      <c r="E26" s="1565"/>
      <c r="F26" s="1565"/>
      <c r="G26" s="1565"/>
      <c r="H26" s="1565"/>
      <c r="I26" s="1565"/>
      <c r="J26" s="1565"/>
      <c r="K26" s="1565"/>
      <c r="L26" s="1565"/>
      <c r="M26" s="1565"/>
      <c r="N26" s="1567"/>
      <c r="O26" s="819"/>
    </row>
    <row r="27" spans="1:15" ht="25.5" x14ac:dyDescent="0.2">
      <c r="A27" s="805" t="s">
        <v>635</v>
      </c>
      <c r="B27" s="806" t="s">
        <v>636</v>
      </c>
      <c r="C27" s="1239">
        <v>507601</v>
      </c>
      <c r="D27" s="1265"/>
      <c r="E27" s="1265"/>
      <c r="F27" s="1265"/>
      <c r="G27" s="1265"/>
      <c r="H27" s="1240">
        <f>SUM(C27:G27)</f>
        <v>507601</v>
      </c>
      <c r="I27" s="1257">
        <v>25486091</v>
      </c>
      <c r="J27" s="1265"/>
      <c r="K27" s="1265"/>
      <c r="L27" s="1265"/>
      <c r="M27" s="1265"/>
      <c r="N27" s="1240">
        <f>SUM(I27:M27)</f>
        <v>25486091</v>
      </c>
      <c r="O27" s="819"/>
    </row>
    <row r="28" spans="1:15" ht="25.5" x14ac:dyDescent="0.2">
      <c r="A28" s="807" t="s">
        <v>637</v>
      </c>
      <c r="B28" s="804" t="s">
        <v>390</v>
      </c>
      <c r="C28" s="1245"/>
      <c r="D28" s="1245"/>
      <c r="E28" s="1245"/>
      <c r="F28" s="1245"/>
      <c r="G28" s="1245"/>
      <c r="H28" s="1247">
        <f>SUM(C28:G28)</f>
        <v>0</v>
      </c>
      <c r="I28" s="1246">
        <v>835000</v>
      </c>
      <c r="J28" s="1249"/>
      <c r="K28" s="1249"/>
      <c r="L28" s="1249"/>
      <c r="M28" s="1249"/>
      <c r="N28" s="1247">
        <f>SUM(I28:M28)</f>
        <v>835000</v>
      </c>
      <c r="O28" s="819"/>
    </row>
    <row r="29" spans="1:15" ht="25.5" x14ac:dyDescent="0.2">
      <c r="A29" s="807" t="s">
        <v>638</v>
      </c>
      <c r="B29" s="804" t="s">
        <v>639</v>
      </c>
      <c r="C29" s="1245">
        <v>1000000</v>
      </c>
      <c r="D29" s="1249"/>
      <c r="E29" s="1260"/>
      <c r="F29" s="1249"/>
      <c r="G29" s="1249"/>
      <c r="H29" s="1247">
        <f>SUM(C29:G29)</f>
        <v>1000000</v>
      </c>
      <c r="I29" s="1266"/>
      <c r="J29" s="1245">
        <v>359410</v>
      </c>
      <c r="K29" s="1249"/>
      <c r="L29" s="1249"/>
      <c r="M29" s="1249"/>
      <c r="N29" s="1247">
        <f>SUM(I29:M29)</f>
        <v>359410</v>
      </c>
      <c r="O29" s="819"/>
    </row>
    <row r="30" spans="1:15" ht="26.25" thickBot="1" x14ac:dyDescent="0.25">
      <c r="A30" s="808" t="s">
        <v>756</v>
      </c>
      <c r="B30" s="809" t="s">
        <v>755</v>
      </c>
      <c r="C30" s="1262"/>
      <c r="D30" s="1267"/>
      <c r="E30" s="1268"/>
      <c r="F30" s="1267"/>
      <c r="G30" s="1267"/>
      <c r="H30" s="1247">
        <f>SUM(C30:G30)</f>
        <v>0</v>
      </c>
      <c r="I30" s="1264">
        <v>9423700</v>
      </c>
      <c r="J30" s="1262"/>
      <c r="K30" s="1267"/>
      <c r="L30" s="1267"/>
      <c r="M30" s="1267"/>
      <c r="N30" s="1247">
        <f>SUM(I30:M30)</f>
        <v>9423700</v>
      </c>
      <c r="O30" s="819"/>
    </row>
    <row r="31" spans="1:15" ht="14.25" thickBot="1" x14ac:dyDescent="0.3">
      <c r="A31" s="1568" t="s">
        <v>645</v>
      </c>
      <c r="B31" s="1569"/>
      <c r="C31" s="1570"/>
      <c r="D31" s="1570"/>
      <c r="E31" s="1570"/>
      <c r="F31" s="1570"/>
      <c r="G31" s="1570"/>
      <c r="H31" s="1570"/>
      <c r="I31" s="1570"/>
      <c r="J31" s="1570"/>
      <c r="K31" s="1570"/>
      <c r="L31" s="1570"/>
      <c r="M31" s="1570"/>
      <c r="N31" s="1571"/>
      <c r="O31" s="819"/>
    </row>
    <row r="32" spans="1:15" ht="25.5" x14ac:dyDescent="0.2">
      <c r="A32" s="805" t="s">
        <v>757</v>
      </c>
      <c r="B32" s="810" t="s">
        <v>758</v>
      </c>
      <c r="C32" s="1257">
        <v>17763750</v>
      </c>
      <c r="D32" s="1239">
        <v>21590900</v>
      </c>
      <c r="E32" s="1238"/>
      <c r="F32" s="1239"/>
      <c r="G32" s="1239"/>
      <c r="H32" s="1240">
        <f>SUM(C32:G32)</f>
        <v>39354650</v>
      </c>
      <c r="I32" s="1257">
        <f>49080136+80000+260000+21600+3706131+498268-63914+43799248+306000+160000+123800+1767420</f>
        <v>99738689</v>
      </c>
      <c r="J32" s="1272">
        <f>470243389+460000-99693863-42904652+101513834+188982+415960-1049020+35000</f>
        <v>429209630</v>
      </c>
      <c r="K32" s="1239"/>
      <c r="L32" s="1239"/>
      <c r="M32" s="1239"/>
      <c r="N32" s="1240">
        <f>SUM(I32:M32)</f>
        <v>528948319</v>
      </c>
      <c r="O32" s="819"/>
    </row>
    <row r="33" spans="1:15" x14ac:dyDescent="0.2">
      <c r="A33" s="807" t="s">
        <v>640</v>
      </c>
      <c r="B33" s="811" t="s">
        <v>382</v>
      </c>
      <c r="C33" s="1241"/>
      <c r="D33" s="1242"/>
      <c r="E33" s="1269"/>
      <c r="F33" s="1242"/>
      <c r="G33" s="1242"/>
      <c r="H33" s="1243">
        <f>SUM(C33:G33)</f>
        <v>0</v>
      </c>
      <c r="I33" s="1405">
        <f>31945438+2000000+1270000</f>
        <v>35215438</v>
      </c>
      <c r="J33" s="1242">
        <f>381000+165000000</f>
        <v>165381000</v>
      </c>
      <c r="K33" s="1242"/>
      <c r="L33" s="1242"/>
      <c r="M33" s="1242"/>
      <c r="N33" s="1243">
        <f>SUM(I33:M33)</f>
        <v>200596438</v>
      </c>
      <c r="O33" s="819"/>
    </row>
    <row r="34" spans="1:15" x14ac:dyDescent="0.2">
      <c r="A34" s="807" t="s">
        <v>641</v>
      </c>
      <c r="B34" s="811" t="s">
        <v>642</v>
      </c>
      <c r="C34" s="1270"/>
      <c r="D34" s="1245"/>
      <c r="E34" s="1245"/>
      <c r="F34" s="1245"/>
      <c r="G34" s="1245"/>
      <c r="H34" s="1247">
        <f>SUM(C34:G34)</f>
        <v>0</v>
      </c>
      <c r="I34" s="1246">
        <f>12658308+2436985+44450</f>
        <v>15139743</v>
      </c>
      <c r="J34" s="1245">
        <v>1017270</v>
      </c>
      <c r="K34" s="1245"/>
      <c r="L34" s="1245"/>
      <c r="M34" s="1245"/>
      <c r="N34" s="1243">
        <f>SUM(I34:M34)</f>
        <v>16157013</v>
      </c>
      <c r="O34" s="819"/>
    </row>
    <row r="35" spans="1:15" ht="26.25" thickBot="1" x14ac:dyDescent="0.25">
      <c r="A35" s="808" t="s">
        <v>643</v>
      </c>
      <c r="B35" s="812" t="s">
        <v>644</v>
      </c>
      <c r="C35" s="1264">
        <f>5890000+4143150</f>
        <v>10033150</v>
      </c>
      <c r="D35" s="1262"/>
      <c r="E35" s="1262">
        <v>7000000</v>
      </c>
      <c r="F35" s="1262"/>
      <c r="G35" s="1262"/>
      <c r="H35" s="1263">
        <f>SUM(C35:G35)</f>
        <v>17033150</v>
      </c>
      <c r="I35" s="1386">
        <f>58668853+4143150+642188-44450-30000+115500</f>
        <v>63495241</v>
      </c>
      <c r="J35" s="1262">
        <f>29960380+4293870-980848-264829</f>
        <v>33008573</v>
      </c>
      <c r="K35" s="1262"/>
      <c r="L35" s="1262"/>
      <c r="M35" s="1262"/>
      <c r="N35" s="1255">
        <f>SUM(I35:M35)</f>
        <v>96503814</v>
      </c>
      <c r="O35" s="819"/>
    </row>
    <row r="36" spans="1:15" ht="15.75" thickBot="1" x14ac:dyDescent="0.3">
      <c r="A36" s="1572" t="s">
        <v>646</v>
      </c>
      <c r="B36" s="1573"/>
      <c r="C36" s="1573"/>
      <c r="D36" s="1573"/>
      <c r="E36" s="1573"/>
      <c r="F36" s="1573"/>
      <c r="G36" s="1573"/>
      <c r="H36" s="1573"/>
      <c r="I36" s="1573"/>
      <c r="J36" s="1573"/>
      <c r="K36" s="1573"/>
      <c r="L36" s="1573"/>
      <c r="M36" s="1573"/>
      <c r="N36" s="1574"/>
      <c r="O36" s="819"/>
    </row>
    <row r="37" spans="1:15" x14ac:dyDescent="0.2">
      <c r="A37" s="1129" t="s">
        <v>792</v>
      </c>
      <c r="B37" s="1130" t="s">
        <v>793</v>
      </c>
      <c r="C37" s="1238">
        <f>22269503+16000000+176300+47601</f>
        <v>38493404</v>
      </c>
      <c r="D37" s="1271"/>
      <c r="E37" s="1271"/>
      <c r="F37" s="1271"/>
      <c r="G37" s="1271"/>
      <c r="H37" s="1240">
        <f t="shared" ref="H37:H43" si="10">SUM(C37:G37)</f>
        <v>38493404</v>
      </c>
      <c r="I37" s="1403">
        <f>22304482+3871338+260000+1056062+39317017+40000+1500000+232500+176300+14267500+30000+47601+30000-920283+50800</f>
        <v>82263317</v>
      </c>
      <c r="J37" s="1239">
        <f>914000+153782518+1673065+196850+196850+106300+920283-50800</f>
        <v>157739066</v>
      </c>
      <c r="K37" s="1272"/>
      <c r="L37" s="1272"/>
      <c r="M37" s="1272"/>
      <c r="N37" s="1240">
        <f t="shared" ref="N37:N43" si="11">SUM(I37:M37)</f>
        <v>240002383</v>
      </c>
      <c r="O37" s="819"/>
    </row>
    <row r="38" spans="1:15" x14ac:dyDescent="0.2">
      <c r="A38" s="955" t="s">
        <v>773</v>
      </c>
      <c r="B38" s="956" t="s">
        <v>774</v>
      </c>
      <c r="C38" s="1269">
        <v>2244020</v>
      </c>
      <c r="D38" s="1273"/>
      <c r="E38" s="1273"/>
      <c r="F38" s="1273"/>
      <c r="G38" s="1273"/>
      <c r="H38" s="1243">
        <f t="shared" ref="H38" si="12">SUM(C38:G38)</f>
        <v>2244020</v>
      </c>
      <c r="I38" s="1274">
        <v>32313615</v>
      </c>
      <c r="J38" s="1242"/>
      <c r="K38" s="1275"/>
      <c r="L38" s="1275"/>
      <c r="M38" s="1275"/>
      <c r="N38" s="1243">
        <f t="shared" ref="N38" si="13">SUM(I38:M38)</f>
        <v>32313615</v>
      </c>
      <c r="O38" s="819"/>
    </row>
    <row r="39" spans="1:15" x14ac:dyDescent="0.2">
      <c r="A39" s="871" t="s">
        <v>647</v>
      </c>
      <c r="B39" s="872" t="s">
        <v>1</v>
      </c>
      <c r="C39" s="1244"/>
      <c r="D39" s="1244"/>
      <c r="E39" s="1244"/>
      <c r="F39" s="1244"/>
      <c r="G39" s="1244"/>
      <c r="H39" s="1247">
        <f>SUM(C39:G39)</f>
        <v>0</v>
      </c>
      <c r="I39" s="1276">
        <v>47177800</v>
      </c>
      <c r="J39" s="1245">
        <f>39476378+10523622</f>
        <v>50000000</v>
      </c>
      <c r="K39" s="1245"/>
      <c r="L39" s="1245"/>
      <c r="M39" s="1245"/>
      <c r="N39" s="1243">
        <f>SUM(I39:M39)</f>
        <v>97177800</v>
      </c>
      <c r="O39" s="819"/>
    </row>
    <row r="40" spans="1:15" x14ac:dyDescent="0.2">
      <c r="A40" s="871" t="s">
        <v>648</v>
      </c>
      <c r="B40" s="872" t="s">
        <v>3</v>
      </c>
      <c r="C40" s="1244"/>
      <c r="D40" s="1245"/>
      <c r="E40" s="1245"/>
      <c r="F40" s="1245"/>
      <c r="G40" s="1245"/>
      <c r="H40" s="1247">
        <f t="shared" si="10"/>
        <v>0</v>
      </c>
      <c r="I40" s="1246">
        <f>3600000+200000+260000+40000+10800+600000</f>
        <v>4710800</v>
      </c>
      <c r="J40" s="1245"/>
      <c r="K40" s="1245"/>
      <c r="L40" s="1245"/>
      <c r="M40" s="1245"/>
      <c r="N40" s="1243">
        <f t="shared" si="11"/>
        <v>4710800</v>
      </c>
      <c r="O40" s="819"/>
    </row>
    <row r="41" spans="1:15" x14ac:dyDescent="0.2">
      <c r="A41" s="871" t="s">
        <v>760</v>
      </c>
      <c r="B41" s="872" t="s">
        <v>759</v>
      </c>
      <c r="C41" s="1244"/>
      <c r="D41" s="1245"/>
      <c r="E41" s="1245"/>
      <c r="F41" s="1245"/>
      <c r="G41" s="1245"/>
      <c r="H41" s="1247">
        <f>SUM(C41:G41)</f>
        <v>0</v>
      </c>
      <c r="I41" s="1246">
        <v>14315587</v>
      </c>
      <c r="J41" s="1245"/>
      <c r="K41" s="1245"/>
      <c r="L41" s="1245"/>
      <c r="M41" s="1245"/>
      <c r="N41" s="1243">
        <f>SUM(I41:M41)</f>
        <v>14315587</v>
      </c>
      <c r="O41" s="819"/>
    </row>
    <row r="42" spans="1:15" x14ac:dyDescent="0.2">
      <c r="A42" s="871" t="s">
        <v>775</v>
      </c>
      <c r="B42" s="872" t="s">
        <v>776</v>
      </c>
      <c r="C42" s="1244"/>
      <c r="D42" s="1260"/>
      <c r="E42" s="1260"/>
      <c r="F42" s="1260"/>
      <c r="G42" s="1260"/>
      <c r="H42" s="1247">
        <f>SUM(C42:G42)</f>
        <v>0</v>
      </c>
      <c r="I42" s="1246">
        <v>5969000</v>
      </c>
      <c r="J42" s="1245">
        <v>127000</v>
      </c>
      <c r="K42" s="1260"/>
      <c r="L42" s="1260"/>
      <c r="M42" s="1260"/>
      <c r="N42" s="1243">
        <f>SUM(I42:M42)</f>
        <v>6096000</v>
      </c>
      <c r="O42" s="819"/>
    </row>
    <row r="43" spans="1:15" ht="26.25" thickBot="1" x14ac:dyDescent="0.25">
      <c r="A43" s="824" t="s">
        <v>649</v>
      </c>
      <c r="B43" s="822" t="s">
        <v>650</v>
      </c>
      <c r="C43" s="1261">
        <v>400000</v>
      </c>
      <c r="D43" s="1262">
        <v>100000</v>
      </c>
      <c r="E43" s="1262"/>
      <c r="F43" s="1262"/>
      <c r="G43" s="1262"/>
      <c r="H43" s="1263">
        <f t="shared" si="10"/>
        <v>500000</v>
      </c>
      <c r="I43" s="1264">
        <v>633985</v>
      </c>
      <c r="J43" s="1262">
        <v>166015</v>
      </c>
      <c r="K43" s="1262"/>
      <c r="L43" s="1262"/>
      <c r="M43" s="1262"/>
      <c r="N43" s="1255">
        <f t="shared" si="11"/>
        <v>800000</v>
      </c>
      <c r="O43" s="819"/>
    </row>
    <row r="44" spans="1:15" ht="14.25" thickBot="1" x14ac:dyDescent="0.3">
      <c r="A44" s="1564" t="s">
        <v>651</v>
      </c>
      <c r="B44" s="1565"/>
      <c r="C44" s="1562"/>
      <c r="D44" s="1562"/>
      <c r="E44" s="1562"/>
      <c r="F44" s="1562"/>
      <c r="G44" s="1562"/>
      <c r="H44" s="1562"/>
      <c r="I44" s="1562"/>
      <c r="J44" s="1562"/>
      <c r="K44" s="1562"/>
      <c r="L44" s="1562"/>
      <c r="M44" s="1562"/>
      <c r="N44" s="1563"/>
      <c r="O44" s="819"/>
    </row>
    <row r="45" spans="1:15" ht="25.5" x14ac:dyDescent="0.2">
      <c r="A45" s="1183" t="s">
        <v>794</v>
      </c>
      <c r="B45" s="1184" t="s">
        <v>795</v>
      </c>
      <c r="C45" s="1277"/>
      <c r="D45" s="1278"/>
      <c r="E45" s="1278"/>
      <c r="F45" s="1278"/>
      <c r="G45" s="1278"/>
      <c r="H45" s="1279">
        <f t="shared" ref="H45:H50" si="14">SUM(C45:G45)</f>
        <v>0</v>
      </c>
      <c r="I45" s="1427">
        <f>6383081-957363+10664415+13500100</f>
        <v>29590233</v>
      </c>
      <c r="J45" s="1278">
        <f>2813609+4100000+1107000</f>
        <v>8020609</v>
      </c>
      <c r="K45" s="1278"/>
      <c r="L45" s="1278"/>
      <c r="M45" s="1278"/>
      <c r="N45" s="1279">
        <f t="shared" ref="N45:N50" si="15">SUM(I45:M45)</f>
        <v>37610842</v>
      </c>
      <c r="O45" s="819"/>
    </row>
    <row r="46" spans="1:15" x14ac:dyDescent="0.2">
      <c r="A46" s="871" t="s">
        <v>1020</v>
      </c>
      <c r="B46" s="872" t="s">
        <v>1021</v>
      </c>
      <c r="C46" s="1244">
        <v>7500000</v>
      </c>
      <c r="D46" s="1260"/>
      <c r="E46" s="1260"/>
      <c r="F46" s="1260"/>
      <c r="G46" s="1260"/>
      <c r="H46" s="1384">
        <f t="shared" si="14"/>
        <v>7500000</v>
      </c>
      <c r="I46" s="1246">
        <v>7507970</v>
      </c>
      <c r="J46" s="1245"/>
      <c r="K46" s="1245"/>
      <c r="L46" s="1245"/>
      <c r="M46" s="1245"/>
      <c r="N46" s="1384">
        <f t="shared" si="15"/>
        <v>7507970</v>
      </c>
      <c r="O46" s="819"/>
    </row>
    <row r="47" spans="1:15" ht="25.5" x14ac:dyDescent="0.2">
      <c r="A47" s="823" t="s">
        <v>973</v>
      </c>
      <c r="B47" s="614" t="s">
        <v>974</v>
      </c>
      <c r="C47" s="1244">
        <v>10000000</v>
      </c>
      <c r="D47" s="1245"/>
      <c r="E47" s="1245"/>
      <c r="F47" s="1245"/>
      <c r="G47" s="1245"/>
      <c r="H47" s="1247">
        <f t="shared" si="14"/>
        <v>10000000</v>
      </c>
      <c r="I47" s="1246">
        <f>2185107-327732</f>
        <v>1857375</v>
      </c>
      <c r="J47" s="1245"/>
      <c r="K47" s="1245"/>
      <c r="L47" s="1245"/>
      <c r="M47" s="1245"/>
      <c r="N47" s="1247">
        <f t="shared" si="15"/>
        <v>1857375</v>
      </c>
      <c r="O47" s="819"/>
    </row>
    <row r="48" spans="1:15" x14ac:dyDescent="0.2">
      <c r="A48" s="957" t="s">
        <v>652</v>
      </c>
      <c r="B48" s="958" t="s">
        <v>577</v>
      </c>
      <c r="C48" s="1280">
        <v>698500</v>
      </c>
      <c r="D48" s="1281"/>
      <c r="E48" s="1281"/>
      <c r="F48" s="1281"/>
      <c r="G48" s="1281"/>
      <c r="H48" s="1243">
        <f t="shared" si="14"/>
        <v>698500</v>
      </c>
      <c r="I48" s="1282">
        <v>6637128</v>
      </c>
      <c r="J48" s="1281"/>
      <c r="K48" s="1281"/>
      <c r="L48" s="1281"/>
      <c r="M48" s="1281"/>
      <c r="N48" s="1243">
        <f t="shared" si="15"/>
        <v>6637128</v>
      </c>
      <c r="O48" s="819"/>
    </row>
    <row r="49" spans="1:15" s="418" customFormat="1" x14ac:dyDescent="0.2">
      <c r="A49" s="823" t="s">
        <v>653</v>
      </c>
      <c r="B49" s="614" t="s">
        <v>383</v>
      </c>
      <c r="C49" s="1283">
        <v>411176</v>
      </c>
      <c r="D49" s="1284"/>
      <c r="E49" s="1284"/>
      <c r="F49" s="1284"/>
      <c r="G49" s="1284"/>
      <c r="H49" s="1247">
        <f t="shared" si="14"/>
        <v>411176</v>
      </c>
      <c r="I49" s="1251">
        <f>42449867+690537</f>
        <v>43140404</v>
      </c>
      <c r="J49" s="1252">
        <v>5911806</v>
      </c>
      <c r="K49" s="1252"/>
      <c r="L49" s="1252"/>
      <c r="M49" s="1252"/>
      <c r="N49" s="1243">
        <f t="shared" si="15"/>
        <v>49052210</v>
      </c>
    </row>
    <row r="50" spans="1:15" s="418" customFormat="1" ht="39" thickBot="1" x14ac:dyDescent="0.25">
      <c r="A50" s="824" t="s">
        <v>654</v>
      </c>
      <c r="B50" s="822" t="s">
        <v>655</v>
      </c>
      <c r="C50" s="1283">
        <v>30768216</v>
      </c>
      <c r="D50" s="1252">
        <v>806423</v>
      </c>
      <c r="E50" s="1284"/>
      <c r="F50" s="1284"/>
      <c r="G50" s="1284"/>
      <c r="H50" s="1285">
        <f t="shared" si="14"/>
        <v>31574639</v>
      </c>
      <c r="I50" s="1251">
        <v>52345692</v>
      </c>
      <c r="J50" s="1284">
        <f>1569049+1</f>
        <v>1569050</v>
      </c>
      <c r="K50" s="1252"/>
      <c r="L50" s="1252"/>
      <c r="M50" s="1252"/>
      <c r="N50" s="1243">
        <f t="shared" si="15"/>
        <v>53914742</v>
      </c>
    </row>
    <row r="51" spans="1:15" s="418" customFormat="1" ht="14.25" thickBot="1" x14ac:dyDescent="0.3">
      <c r="A51" s="1564" t="s">
        <v>783</v>
      </c>
      <c r="B51" s="1565"/>
      <c r="C51" s="1562"/>
      <c r="D51" s="1562"/>
      <c r="E51" s="1562"/>
      <c r="F51" s="1562"/>
      <c r="G51" s="1562"/>
      <c r="H51" s="1562"/>
      <c r="I51" s="1562"/>
      <c r="J51" s="1562"/>
      <c r="K51" s="1562"/>
      <c r="L51" s="1562"/>
      <c r="M51" s="1562"/>
      <c r="N51" s="1563"/>
    </row>
    <row r="52" spans="1:15" s="418" customFormat="1" ht="13.5" thickBot="1" x14ac:dyDescent="0.25">
      <c r="A52" s="615" t="s">
        <v>784</v>
      </c>
      <c r="B52" s="612" t="s">
        <v>785</v>
      </c>
      <c r="C52" s="1280"/>
      <c r="D52" s="1281"/>
      <c r="E52" s="1281"/>
      <c r="F52" s="1281"/>
      <c r="G52" s="1281"/>
      <c r="H52" s="1243">
        <f>SUM(C52:G52)</f>
        <v>0</v>
      </c>
      <c r="I52" s="1282">
        <f>2661800+2631637+1951101-394705+1062168+286785</f>
        <v>8198786</v>
      </c>
      <c r="J52" s="1281">
        <f>220802416+36786462+9805285-853131-849509+1523182+184458</f>
        <v>267399163</v>
      </c>
      <c r="K52" s="1281"/>
      <c r="L52" s="1281"/>
      <c r="M52" s="1281"/>
      <c r="N52" s="1243">
        <f>SUM(I52:M52)</f>
        <v>275597949</v>
      </c>
    </row>
    <row r="53" spans="1:15" ht="14.25" thickBot="1" x14ac:dyDescent="0.3">
      <c r="A53" s="1564" t="s">
        <v>656</v>
      </c>
      <c r="B53" s="1565"/>
      <c r="C53" s="1561"/>
      <c r="D53" s="1561"/>
      <c r="E53" s="1561"/>
      <c r="F53" s="1561"/>
      <c r="G53" s="1561"/>
      <c r="H53" s="1561"/>
      <c r="I53" s="1561"/>
      <c r="J53" s="1561"/>
      <c r="K53" s="1561"/>
      <c r="L53" s="1561"/>
      <c r="M53" s="1561"/>
      <c r="N53" s="1566"/>
      <c r="O53" s="819"/>
    </row>
    <row r="54" spans="1:15" ht="25.5" x14ac:dyDescent="0.2">
      <c r="A54" s="1187">
        <v>101211</v>
      </c>
      <c r="B54" s="1184" t="s">
        <v>975</v>
      </c>
      <c r="C54" s="1277"/>
      <c r="D54" s="1278"/>
      <c r="E54" s="1278"/>
      <c r="F54" s="1278"/>
      <c r="G54" s="1278"/>
      <c r="H54" s="1279">
        <f t="shared" ref="H54:H60" si="16">SUM(C54:G54)</f>
        <v>0</v>
      </c>
      <c r="I54" s="1239">
        <f>4079529-611866</f>
        <v>3467663</v>
      </c>
      <c r="J54" s="1239"/>
      <c r="K54" s="1239"/>
      <c r="L54" s="1239"/>
      <c r="M54" s="1239"/>
      <c r="N54" s="1240">
        <f t="shared" ref="N54:N62" si="17">SUM(I54:M54)</f>
        <v>3467663</v>
      </c>
      <c r="O54" s="819"/>
    </row>
    <row r="55" spans="1:15" ht="25.5" x14ac:dyDescent="0.2">
      <c r="A55" s="1188">
        <v>101222</v>
      </c>
      <c r="B55" s="614" t="s">
        <v>979</v>
      </c>
      <c r="C55" s="1244"/>
      <c r="D55" s="1245">
        <v>9000000</v>
      </c>
      <c r="E55" s="1245"/>
      <c r="F55" s="1245"/>
      <c r="G55" s="1245"/>
      <c r="H55" s="1247">
        <f t="shared" si="16"/>
        <v>9000000</v>
      </c>
      <c r="I55" s="1245"/>
      <c r="J55" s="1245">
        <v>9195000</v>
      </c>
      <c r="K55" s="1245"/>
      <c r="L55" s="1245"/>
      <c r="M55" s="1245"/>
      <c r="N55" s="1247">
        <f t="shared" ref="N55" si="18">SUM(I55:M55)</f>
        <v>9195000</v>
      </c>
      <c r="O55" s="819"/>
    </row>
    <row r="56" spans="1:15" x14ac:dyDescent="0.2">
      <c r="A56" s="1188">
        <v>102023</v>
      </c>
      <c r="B56" s="614" t="s">
        <v>976</v>
      </c>
      <c r="C56" s="1244"/>
      <c r="D56" s="1245"/>
      <c r="E56" s="1245"/>
      <c r="F56" s="1245"/>
      <c r="G56" s="1245"/>
      <c r="H56" s="1247">
        <f t="shared" si="16"/>
        <v>0</v>
      </c>
      <c r="I56" s="1245">
        <f>6563195-984378</f>
        <v>5578817</v>
      </c>
      <c r="J56" s="1245"/>
      <c r="K56" s="1245"/>
      <c r="L56" s="1245"/>
      <c r="M56" s="1245"/>
      <c r="N56" s="1247">
        <f t="shared" si="17"/>
        <v>5578817</v>
      </c>
      <c r="O56" s="819"/>
    </row>
    <row r="57" spans="1:15" x14ac:dyDescent="0.2">
      <c r="A57" s="1185">
        <v>102024</v>
      </c>
      <c r="B57" s="958" t="s">
        <v>977</v>
      </c>
      <c r="C57" s="1280"/>
      <c r="D57" s="1281"/>
      <c r="E57" s="1281"/>
      <c r="F57" s="1281"/>
      <c r="G57" s="1281"/>
      <c r="H57" s="1247">
        <f t="shared" si="16"/>
        <v>0</v>
      </c>
      <c r="I57" s="1245">
        <f>1419754-212941</f>
        <v>1206813</v>
      </c>
      <c r="J57" s="1245"/>
      <c r="K57" s="1245"/>
      <c r="L57" s="1245"/>
      <c r="M57" s="1245"/>
      <c r="N57" s="1247">
        <f t="shared" si="17"/>
        <v>1206813</v>
      </c>
      <c r="O57" s="819"/>
    </row>
    <row r="58" spans="1:15" x14ac:dyDescent="0.2">
      <c r="A58" s="1188" t="s">
        <v>657</v>
      </c>
      <c r="B58" s="614" t="s">
        <v>498</v>
      </c>
      <c r="C58" s="1283"/>
      <c r="D58" s="1284"/>
      <c r="E58" s="1284"/>
      <c r="F58" s="1284"/>
      <c r="G58" s="1284"/>
      <c r="H58" s="1247">
        <f t="shared" si="16"/>
        <v>0</v>
      </c>
      <c r="I58" s="1245">
        <v>300000</v>
      </c>
      <c r="J58" s="1245"/>
      <c r="K58" s="1245"/>
      <c r="L58" s="1245"/>
      <c r="M58" s="1245"/>
      <c r="N58" s="1247">
        <f t="shared" si="17"/>
        <v>300000</v>
      </c>
      <c r="O58" s="819"/>
    </row>
    <row r="59" spans="1:15" ht="25.5" x14ac:dyDescent="0.2">
      <c r="A59" s="1188">
        <v>104031</v>
      </c>
      <c r="B59" s="614" t="s">
        <v>978</v>
      </c>
      <c r="C59" s="1244"/>
      <c r="D59" s="1245"/>
      <c r="E59" s="1250"/>
      <c r="F59" s="1250"/>
      <c r="G59" s="1250"/>
      <c r="H59" s="1247">
        <f t="shared" si="16"/>
        <v>0</v>
      </c>
      <c r="I59" s="1245">
        <f>484352-72645</f>
        <v>411707</v>
      </c>
      <c r="J59" s="1245"/>
      <c r="K59" s="1245"/>
      <c r="L59" s="1245"/>
      <c r="M59" s="1245"/>
      <c r="N59" s="1247">
        <f t="shared" si="17"/>
        <v>411707</v>
      </c>
      <c r="O59" s="819"/>
    </row>
    <row r="60" spans="1:15" x14ac:dyDescent="0.2">
      <c r="A60" s="1189" t="s">
        <v>658</v>
      </c>
      <c r="B60" s="1186" t="s">
        <v>483</v>
      </c>
      <c r="C60" s="1280"/>
      <c r="D60" s="1281"/>
      <c r="E60" s="1281"/>
      <c r="F60" s="1281"/>
      <c r="G60" s="1281"/>
      <c r="H60" s="1247">
        <f t="shared" si="16"/>
        <v>0</v>
      </c>
      <c r="I60" s="1282">
        <v>54125165</v>
      </c>
      <c r="J60" s="1281"/>
      <c r="K60" s="1281"/>
      <c r="L60" s="1281"/>
      <c r="M60" s="1281"/>
      <c r="N60" s="1243">
        <f t="shared" si="17"/>
        <v>54125165</v>
      </c>
      <c r="O60" s="819"/>
    </row>
    <row r="61" spans="1:15" ht="25.5" x14ac:dyDescent="0.2">
      <c r="A61" s="823" t="s">
        <v>659</v>
      </c>
      <c r="B61" s="614" t="s">
        <v>660</v>
      </c>
      <c r="C61" s="1244">
        <v>2840000</v>
      </c>
      <c r="D61" s="1245"/>
      <c r="E61" s="1245"/>
      <c r="F61" s="1245"/>
      <c r="G61" s="1245"/>
      <c r="H61" s="1247">
        <f t="shared" ref="H61:H62" si="19">SUM(C61:G61)</f>
        <v>2840000</v>
      </c>
      <c r="I61" s="1251">
        <f>5211600</f>
        <v>5211600</v>
      </c>
      <c r="J61" s="1252">
        <f>5080000+540000</f>
        <v>5620000</v>
      </c>
      <c r="K61" s="1252"/>
      <c r="L61" s="1252"/>
      <c r="M61" s="1252"/>
      <c r="N61" s="1243">
        <f t="shared" si="17"/>
        <v>10831600</v>
      </c>
      <c r="O61" s="819"/>
    </row>
    <row r="62" spans="1:15" ht="26.25" thickBot="1" x14ac:dyDescent="0.25">
      <c r="A62" s="1190" t="s">
        <v>661</v>
      </c>
      <c r="B62" s="1132" t="s">
        <v>662</v>
      </c>
      <c r="C62" s="1253">
        <v>500000</v>
      </c>
      <c r="D62" s="1254"/>
      <c r="E62" s="1254"/>
      <c r="F62" s="1254"/>
      <c r="G62" s="1254"/>
      <c r="H62" s="1255">
        <f t="shared" si="19"/>
        <v>500000</v>
      </c>
      <c r="I62" s="1386">
        <f>56500000-3000000</f>
        <v>53500000</v>
      </c>
      <c r="J62" s="1262"/>
      <c r="K62" s="1262"/>
      <c r="L62" s="1262"/>
      <c r="M62" s="1262"/>
      <c r="N62" s="1255">
        <f t="shared" si="17"/>
        <v>53500000</v>
      </c>
      <c r="O62" s="819"/>
    </row>
    <row r="63" spans="1:15" ht="14.25" thickBot="1" x14ac:dyDescent="0.3">
      <c r="A63" s="1564" t="s">
        <v>663</v>
      </c>
      <c r="B63" s="1565"/>
      <c r="C63" s="1575"/>
      <c r="D63" s="1575"/>
      <c r="E63" s="1575"/>
      <c r="F63" s="1575"/>
      <c r="G63" s="1575"/>
      <c r="H63" s="1575"/>
      <c r="I63" s="1575"/>
      <c r="J63" s="1575"/>
      <c r="K63" s="1575"/>
      <c r="L63" s="1575"/>
      <c r="M63" s="1575"/>
      <c r="N63" s="1576"/>
      <c r="O63" s="819"/>
    </row>
    <row r="64" spans="1:15" ht="25.5" x14ac:dyDescent="0.2">
      <c r="A64" s="615" t="s">
        <v>664</v>
      </c>
      <c r="B64" s="612" t="s">
        <v>665</v>
      </c>
      <c r="C64" s="1404">
        <f>50000000-50000000</f>
        <v>0</v>
      </c>
      <c r="D64" s="1281"/>
      <c r="E64" s="1281">
        <f>385080000+6520000</f>
        <v>391600000</v>
      </c>
      <c r="F64" s="1281"/>
      <c r="G64" s="1281"/>
      <c r="H64" s="1243">
        <f>SUM(C64:G64)</f>
        <v>391600000</v>
      </c>
      <c r="I64" s="1282"/>
      <c r="J64" s="1281"/>
      <c r="K64" s="1286"/>
      <c r="L64" s="1281"/>
      <c r="M64" s="1281"/>
      <c r="N64" s="1243">
        <f>SUM(I64:M64)</f>
        <v>0</v>
      </c>
      <c r="O64" s="819"/>
    </row>
    <row r="65" spans="1:15" ht="26.25" thickBot="1" x14ac:dyDescent="0.25">
      <c r="A65" s="824" t="s">
        <v>666</v>
      </c>
      <c r="B65" s="822" t="s">
        <v>667</v>
      </c>
      <c r="C65" s="1287"/>
      <c r="D65" s="1252"/>
      <c r="E65" s="1252"/>
      <c r="F65" s="1252">
        <f>861503705+7058824+167000000</f>
        <v>1035562529</v>
      </c>
      <c r="G65" s="1252"/>
      <c r="H65" s="1247">
        <f>SUM(C65:G65)</f>
        <v>1035562529</v>
      </c>
      <c r="I65" s="1251">
        <f>12910676+107725+1676958</f>
        <v>14695359</v>
      </c>
      <c r="J65" s="1256"/>
      <c r="K65" s="1252"/>
      <c r="L65" s="1252">
        <v>874993747</v>
      </c>
      <c r="M65" s="1256">
        <f>109320327+7058824-18622933-96499+951000+4053420-254000-250000-2149544-2206257+13433386-13770424-1099589-2995358-8283760</f>
        <v>85088593</v>
      </c>
      <c r="N65" s="1247">
        <f>SUM(I65:M65)</f>
        <v>974777699</v>
      </c>
      <c r="O65" s="819"/>
    </row>
    <row r="66" spans="1:15" ht="13.5" thickBot="1" x14ac:dyDescent="0.25">
      <c r="A66" s="1558" t="s">
        <v>49</v>
      </c>
      <c r="B66" s="1559"/>
      <c r="C66" s="1288">
        <f t="shared" ref="C66:H66" si="20">SUM(C9:C65)</f>
        <v>2017345693</v>
      </c>
      <c r="D66" s="1288">
        <f t="shared" si="20"/>
        <v>2071979173</v>
      </c>
      <c r="E66" s="1288">
        <f t="shared" si="20"/>
        <v>398600000</v>
      </c>
      <c r="F66" s="1288">
        <f t="shared" si="20"/>
        <v>1035562529</v>
      </c>
      <c r="G66" s="1288">
        <f t="shared" si="20"/>
        <v>847491815</v>
      </c>
      <c r="H66" s="1289">
        <f t="shared" si="20"/>
        <v>6370979210</v>
      </c>
      <c r="I66" s="1288">
        <f t="shared" ref="I66:M66" si="21">SUM(I9:I65)</f>
        <v>1022303223</v>
      </c>
      <c r="J66" s="1288">
        <f t="shared" si="21"/>
        <v>2806718332</v>
      </c>
      <c r="K66" s="1288">
        <f t="shared" si="21"/>
        <v>1581875315</v>
      </c>
      <c r="L66" s="1288">
        <f t="shared" si="21"/>
        <v>874993747</v>
      </c>
      <c r="M66" s="1288">
        <f t="shared" si="21"/>
        <v>85088593</v>
      </c>
      <c r="N66" s="1288">
        <f>SUM(N9:N65)</f>
        <v>6370979210</v>
      </c>
      <c r="O66" s="419">
        <f>N66-H66</f>
        <v>0</v>
      </c>
    </row>
    <row r="67" spans="1:15" ht="13.5" thickBot="1" x14ac:dyDescent="0.25">
      <c r="A67" s="1577" t="s">
        <v>384</v>
      </c>
      <c r="B67" s="1578"/>
      <c r="C67" s="1290"/>
      <c r="D67" s="1291"/>
      <c r="E67" s="1291"/>
      <c r="F67" s="1291"/>
      <c r="G67" s="1291"/>
      <c r="H67" s="1247"/>
      <c r="I67" s="1292"/>
      <c r="J67" s="1245"/>
      <c r="K67" s="1245">
        <f>SUM(K64:K65,K58:K62,K45:K50,K37:K43,K33:K35,K27:K29,K9:K15)</f>
        <v>1581875315</v>
      </c>
      <c r="L67" s="1291"/>
      <c r="M67" s="1291"/>
      <c r="N67" s="1293">
        <f>SUM(I67:M67)</f>
        <v>1581875315</v>
      </c>
      <c r="O67" s="419"/>
    </row>
    <row r="68" spans="1:15" ht="13.5" thickBot="1" x14ac:dyDescent="0.25">
      <c r="A68" s="1558" t="s">
        <v>60</v>
      </c>
      <c r="B68" s="1559"/>
      <c r="C68" s="1294">
        <f>C66-C67</f>
        <v>2017345693</v>
      </c>
      <c r="D68" s="1295">
        <f t="shared" ref="D68:M68" si="22">D66-D67</f>
        <v>2071979173</v>
      </c>
      <c r="E68" s="1295">
        <f t="shared" si="22"/>
        <v>398600000</v>
      </c>
      <c r="F68" s="1295">
        <f t="shared" si="22"/>
        <v>1035562529</v>
      </c>
      <c r="G68" s="1295">
        <f t="shared" si="22"/>
        <v>847491815</v>
      </c>
      <c r="H68" s="1296">
        <f t="shared" si="22"/>
        <v>6370979210</v>
      </c>
      <c r="I68" s="1294">
        <f t="shared" si="22"/>
        <v>1022303223</v>
      </c>
      <c r="J68" s="1295">
        <f t="shared" si="22"/>
        <v>2806718332</v>
      </c>
      <c r="K68" s="1295">
        <f t="shared" si="22"/>
        <v>0</v>
      </c>
      <c r="L68" s="1295">
        <f t="shared" si="22"/>
        <v>874993747</v>
      </c>
      <c r="M68" s="1295">
        <f t="shared" si="22"/>
        <v>85088593</v>
      </c>
      <c r="N68" s="1297">
        <f>N66-N67</f>
        <v>4789103895</v>
      </c>
      <c r="O68" s="419"/>
    </row>
    <row r="69" spans="1:15" x14ac:dyDescent="0.2">
      <c r="B69" s="312"/>
      <c r="C69" s="818">
        <f>C68-C70</f>
        <v>0</v>
      </c>
      <c r="D69" s="818">
        <f t="shared" ref="D69:M69" si="23">D68-D70</f>
        <v>0</v>
      </c>
      <c r="E69" s="818">
        <f t="shared" si="23"/>
        <v>0</v>
      </c>
      <c r="F69" s="818">
        <f t="shared" si="23"/>
        <v>0</v>
      </c>
      <c r="G69" s="818">
        <f t="shared" si="23"/>
        <v>0</v>
      </c>
      <c r="H69" s="818">
        <f t="shared" si="23"/>
        <v>0</v>
      </c>
      <c r="I69" s="818">
        <f t="shared" si="23"/>
        <v>0</v>
      </c>
      <c r="J69" s="818">
        <f t="shared" si="23"/>
        <v>0</v>
      </c>
      <c r="K69" s="818">
        <f>K67-K70</f>
        <v>0</v>
      </c>
      <c r="L69" s="818">
        <f t="shared" si="23"/>
        <v>0</v>
      </c>
      <c r="M69" s="818">
        <f t="shared" si="23"/>
        <v>0</v>
      </c>
      <c r="N69" s="818">
        <f>N66-N70</f>
        <v>0</v>
      </c>
    </row>
    <row r="70" spans="1:15" x14ac:dyDescent="0.2">
      <c r="B70" s="312"/>
      <c r="C70" s="818">
        <f>'9.1. sz. mell.'!C7+'9.1. sz. mell.'!C16+'9.1. sz. mell.'!C37+'9.1. sz. mell.'!C55+'9.1. sz. mell.'!C78</f>
        <v>2017345693</v>
      </c>
      <c r="D70" s="818">
        <f>'9.1. sz. mell.'!C23+'9.1. sz. mell.'!C49+'9.1. sz. mell.'!C60</f>
        <v>2071979173</v>
      </c>
      <c r="E70" s="818">
        <f>'9.1. sz. mell.'!C30</f>
        <v>398600000</v>
      </c>
      <c r="F70" s="818">
        <f>'9.1. sz. mell.'!C66</f>
        <v>1035562529</v>
      </c>
      <c r="G70" s="818">
        <f>'9.1. sz. mell.'!C75</f>
        <v>847491815</v>
      </c>
      <c r="H70" s="618">
        <f>SUM(C70:G70)</f>
        <v>6370979210</v>
      </c>
      <c r="I70" s="818">
        <f>'9.1. sz. mell.'!C93-'9.1. sz. mell.'!C111+'9.1. sz. mell.'!C140</f>
        <v>1022303223</v>
      </c>
      <c r="J70" s="818">
        <f>'9.1. sz. mell.'!C114</f>
        <v>2806718332</v>
      </c>
      <c r="K70" s="315">
        <f>'10.sz.m. int.összesítő'!C16</f>
        <v>1581875315</v>
      </c>
      <c r="L70" s="314">
        <f>'9.1. sz. mell.'!C129</f>
        <v>874993747</v>
      </c>
      <c r="M70" s="314">
        <f>'9.1. sz. mell.'!C111</f>
        <v>85088593</v>
      </c>
      <c r="N70" s="313">
        <f>SUM(I70:M70)</f>
        <v>6370979210</v>
      </c>
    </row>
    <row r="71" spans="1:15" x14ac:dyDescent="0.2">
      <c r="B71" s="312"/>
      <c r="C71" s="818"/>
      <c r="D71" s="818"/>
      <c r="E71" s="818"/>
      <c r="F71" s="818"/>
      <c r="G71" s="818"/>
      <c r="H71" s="618"/>
      <c r="I71" s="317"/>
      <c r="J71" s="818"/>
      <c r="K71" s="316"/>
      <c r="L71" s="818"/>
      <c r="M71" s="818"/>
      <c r="N71" s="313"/>
    </row>
    <row r="72" spans="1:15" x14ac:dyDescent="0.2">
      <c r="B72" s="312"/>
      <c r="C72" s="818"/>
      <c r="D72" s="818"/>
      <c r="E72" s="818"/>
      <c r="F72" s="818"/>
      <c r="G72" s="818"/>
      <c r="H72" s="618"/>
      <c r="I72" s="818"/>
      <c r="J72" s="818"/>
      <c r="K72" s="316"/>
      <c r="L72" s="818"/>
      <c r="M72" s="818"/>
      <c r="N72" s="313"/>
    </row>
    <row r="73" spans="1:15" x14ac:dyDescent="0.2">
      <c r="B73" s="312"/>
      <c r="C73" s="818"/>
      <c r="D73" s="818"/>
      <c r="E73" s="818"/>
      <c r="F73" s="818"/>
      <c r="G73" s="818"/>
      <c r="H73" s="618"/>
      <c r="I73" s="818"/>
      <c r="J73" s="818"/>
      <c r="K73" s="316"/>
      <c r="L73" s="818"/>
      <c r="M73" s="818"/>
      <c r="N73" s="313"/>
    </row>
    <row r="74" spans="1:15" x14ac:dyDescent="0.2">
      <c r="B74" s="312"/>
      <c r="C74" s="818"/>
      <c r="D74" s="818"/>
      <c r="E74" s="818"/>
      <c r="F74" s="818"/>
      <c r="G74" s="818"/>
      <c r="H74" s="618"/>
      <c r="I74" s="818"/>
      <c r="J74" s="818"/>
      <c r="K74" s="316"/>
      <c r="L74" s="818"/>
      <c r="M74" s="818"/>
      <c r="N74" s="313"/>
    </row>
    <row r="75" spans="1:15" x14ac:dyDescent="0.2">
      <c r="B75" s="312"/>
      <c r="C75" s="818"/>
      <c r="D75" s="818"/>
      <c r="E75" s="818"/>
      <c r="F75" s="818"/>
      <c r="G75" s="818"/>
      <c r="H75" s="618"/>
      <c r="I75" s="818"/>
      <c r="J75" s="818"/>
      <c r="K75" s="316"/>
      <c r="L75" s="818"/>
      <c r="M75" s="818"/>
      <c r="N75" s="313"/>
    </row>
  </sheetData>
  <mergeCells count="20">
    <mergeCell ref="A68:B68"/>
    <mergeCell ref="A8:N8"/>
    <mergeCell ref="A16:N16"/>
    <mergeCell ref="A26:N26"/>
    <mergeCell ref="A31:N31"/>
    <mergeCell ref="A36:N36"/>
    <mergeCell ref="A44:N44"/>
    <mergeCell ref="A53:N53"/>
    <mergeCell ref="A63:N63"/>
    <mergeCell ref="A66:B66"/>
    <mergeCell ref="A67:B67"/>
    <mergeCell ref="A51:N51"/>
    <mergeCell ref="A1:N1"/>
    <mergeCell ref="J2:N2"/>
    <mergeCell ref="A3:N3"/>
    <mergeCell ref="A4:N4"/>
    <mergeCell ref="C6:H6"/>
    <mergeCell ref="I6:N6"/>
    <mergeCell ref="A6:A7"/>
    <mergeCell ref="B6:B7"/>
  </mergeCells>
  <printOptions horizontalCentered="1"/>
  <pageMargins left="0.7" right="0.7" top="0.75" bottom="0.75" header="0.3" footer="0.3"/>
  <pageSetup paperSize="9" scale="38" orientation="landscape" r:id="rId1"/>
  <headerFooter alignWithMargins="0"/>
  <rowBreaks count="1" manualBreakCount="1">
    <brk id="35" max="14" man="1"/>
  </rowBreaks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53"/>
  <dimension ref="A1:K52"/>
  <sheetViews>
    <sheetView zoomScaleNormal="100" workbookViewId="0">
      <selection activeCell="E9" sqref="E9"/>
    </sheetView>
  </sheetViews>
  <sheetFormatPr defaultRowHeight="15.75" x14ac:dyDescent="0.25"/>
  <cols>
    <col min="1" max="1" width="9" style="813" customWidth="1"/>
    <col min="2" max="2" width="66.33203125" style="813" bestFit="1" customWidth="1"/>
    <col min="3" max="3" width="15.5" style="814" hidden="1" customWidth="1"/>
    <col min="4" max="6" width="15.5" style="813" customWidth="1"/>
    <col min="7" max="16384" width="9.33203125" style="815"/>
  </cols>
  <sheetData>
    <row r="1" spans="1:6" x14ac:dyDescent="0.25">
      <c r="A1" s="1433" t="str">
        <f>CONCATENATE("8. tájékoztató tábla ",ALAPADATOK!A7," ",ALAPADATOK!B7," ",ALAPADATOK!C7," ",ALAPADATOK!D7," ",ALAPADATOK!E7," ",ALAPADATOK!F7," ",ALAPADATOK!G7," ",ALAPADATOK!H7)</f>
        <v>8. tájékoztató tábla a 19 / 2021. ( XI.29. ) önkormányzati rendelethez</v>
      </c>
      <c r="B1" s="1433"/>
      <c r="C1" s="1433"/>
      <c r="D1" s="1433"/>
      <c r="E1" s="1433"/>
      <c r="F1" s="1433"/>
    </row>
    <row r="3" spans="1:6" ht="35.25" customHeight="1" x14ac:dyDescent="0.25">
      <c r="A3" s="1579" t="s">
        <v>957</v>
      </c>
      <c r="B3" s="1579"/>
      <c r="C3" s="1579"/>
      <c r="D3" s="1579"/>
      <c r="E3" s="1579"/>
      <c r="F3" s="1579"/>
    </row>
    <row r="5" spans="1:6" ht="15.95" customHeight="1" x14ac:dyDescent="0.25">
      <c r="A5" s="1435" t="s">
        <v>13</v>
      </c>
      <c r="B5" s="1435"/>
      <c r="C5" s="1435"/>
      <c r="D5" s="1435"/>
      <c r="E5" s="1435"/>
      <c r="F5" s="815"/>
    </row>
    <row r="6" spans="1:6" ht="15.95" customHeight="1" thickBot="1" x14ac:dyDescent="0.3">
      <c r="A6" s="1434" t="s">
        <v>115</v>
      </c>
      <c r="B6" s="1434"/>
      <c r="D6" s="873"/>
      <c r="E6" s="121"/>
      <c r="F6" s="121" t="s">
        <v>502</v>
      </c>
    </row>
    <row r="7" spans="1:6" ht="38.1" customHeight="1" thickBot="1" x14ac:dyDescent="0.3">
      <c r="A7" s="20" t="s">
        <v>64</v>
      </c>
      <c r="B7" s="405" t="s">
        <v>15</v>
      </c>
      <c r="C7" s="477" t="s">
        <v>566</v>
      </c>
      <c r="D7" s="477" t="s">
        <v>580</v>
      </c>
      <c r="E7" s="477" t="s">
        <v>689</v>
      </c>
      <c r="F7" s="477" t="s">
        <v>962</v>
      </c>
    </row>
    <row r="8" spans="1:6" s="182" customFormat="1" ht="12" customHeight="1" thickBot="1" x14ac:dyDescent="0.25">
      <c r="A8" s="25" t="s">
        <v>391</v>
      </c>
      <c r="B8" s="291" t="s">
        <v>392</v>
      </c>
      <c r="C8" s="478" t="s">
        <v>393</v>
      </c>
      <c r="D8" s="177" t="s">
        <v>393</v>
      </c>
      <c r="E8" s="489" t="s">
        <v>443</v>
      </c>
      <c r="F8" s="489" t="s">
        <v>444</v>
      </c>
    </row>
    <row r="9" spans="1:6" s="183" customFormat="1" ht="12" customHeight="1" thickBot="1" x14ac:dyDescent="0.25">
      <c r="A9" s="17" t="s">
        <v>16</v>
      </c>
      <c r="B9" s="387" t="s">
        <v>567</v>
      </c>
      <c r="C9" s="479">
        <v>1350000000</v>
      </c>
      <c r="D9" s="479">
        <v>1600000000</v>
      </c>
      <c r="E9" s="479">
        <v>1610000000</v>
      </c>
      <c r="F9" s="479">
        <v>1620000000</v>
      </c>
    </row>
    <row r="10" spans="1:6" s="183" customFormat="1" ht="12" customHeight="1" thickBot="1" x14ac:dyDescent="0.25">
      <c r="A10" s="17" t="s">
        <v>17</v>
      </c>
      <c r="B10" s="390" t="s">
        <v>310</v>
      </c>
      <c r="C10" s="479">
        <v>181000000</v>
      </c>
      <c r="D10" s="479">
        <v>350000000</v>
      </c>
      <c r="E10" s="479">
        <v>320000000</v>
      </c>
      <c r="F10" s="479">
        <v>300000000</v>
      </c>
    </row>
    <row r="11" spans="1:6" s="183" customFormat="1" ht="12" customHeight="1" thickBot="1" x14ac:dyDescent="0.25">
      <c r="A11" s="17" t="s">
        <v>18</v>
      </c>
      <c r="B11" s="387" t="s">
        <v>317</v>
      </c>
      <c r="C11" s="479">
        <v>300000000</v>
      </c>
      <c r="D11" s="479">
        <v>190000000</v>
      </c>
      <c r="E11" s="479">
        <v>100000000</v>
      </c>
      <c r="F11" s="479">
        <v>100000000</v>
      </c>
    </row>
    <row r="12" spans="1:6" s="183" customFormat="1" ht="12" customHeight="1" thickBot="1" x14ac:dyDescent="0.25">
      <c r="A12" s="17" t="s">
        <v>125</v>
      </c>
      <c r="B12" s="387" t="s">
        <v>682</v>
      </c>
      <c r="C12" s="480">
        <f>SUM(C17:C19)+C13</f>
        <v>353500000</v>
      </c>
      <c r="D12" s="480">
        <f>D13+D16+D17+D18+D19</f>
        <v>404000000</v>
      </c>
      <c r="E12" s="480">
        <f>E13+E16+E17+E18+E19</f>
        <v>424000000</v>
      </c>
      <c r="F12" s="480">
        <f>F13+F16+F17+F18+F19</f>
        <v>444000000</v>
      </c>
    </row>
    <row r="13" spans="1:6" s="183" customFormat="1" ht="12" customHeight="1" x14ac:dyDescent="0.2">
      <c r="A13" s="12" t="s">
        <v>197</v>
      </c>
      <c r="B13" s="281" t="s">
        <v>681</v>
      </c>
      <c r="C13" s="481">
        <f>SUM(C14:C16)</f>
        <v>310000000</v>
      </c>
      <c r="D13" s="481">
        <f>D14+D15</f>
        <v>390000000</v>
      </c>
      <c r="E13" s="481">
        <f>E14+E15</f>
        <v>410000000</v>
      </c>
      <c r="F13" s="481">
        <f>F14+F15</f>
        <v>430000000</v>
      </c>
    </row>
    <row r="14" spans="1:6" s="183" customFormat="1" ht="12" customHeight="1" x14ac:dyDescent="0.2">
      <c r="A14" s="11" t="s">
        <v>200</v>
      </c>
      <c r="B14" s="282" t="s">
        <v>203</v>
      </c>
      <c r="C14" s="482">
        <v>78000000</v>
      </c>
      <c r="D14" s="482">
        <v>90000000</v>
      </c>
      <c r="E14" s="482">
        <v>90000000</v>
      </c>
      <c r="F14" s="482">
        <v>90000000</v>
      </c>
    </row>
    <row r="15" spans="1:6" s="183" customFormat="1" ht="12" customHeight="1" x14ac:dyDescent="0.2">
      <c r="A15" s="11" t="s">
        <v>201</v>
      </c>
      <c r="B15" s="567" t="s">
        <v>578</v>
      </c>
      <c r="C15" s="482">
        <v>232000000</v>
      </c>
      <c r="D15" s="482">
        <v>300000000</v>
      </c>
      <c r="E15" s="482">
        <v>320000000</v>
      </c>
      <c r="F15" s="482">
        <v>340000000</v>
      </c>
    </row>
    <row r="16" spans="1:6" s="183" customFormat="1" ht="12" customHeight="1" x14ac:dyDescent="0.2">
      <c r="A16" s="11" t="s">
        <v>202</v>
      </c>
      <c r="B16" s="282" t="s">
        <v>479</v>
      </c>
      <c r="C16" s="483"/>
      <c r="D16" s="483"/>
      <c r="E16" s="483"/>
      <c r="F16" s="483"/>
    </row>
    <row r="17" spans="1:11" s="183" customFormat="1" ht="12" customHeight="1" x14ac:dyDescent="0.2">
      <c r="A17" s="11" t="s">
        <v>481</v>
      </c>
      <c r="B17" s="282" t="s">
        <v>204</v>
      </c>
      <c r="C17" s="482">
        <v>28000000</v>
      </c>
      <c r="D17" s="482"/>
      <c r="E17" s="482"/>
      <c r="F17" s="482"/>
    </row>
    <row r="18" spans="1:11" s="183" customFormat="1" ht="12" customHeight="1" x14ac:dyDescent="0.2">
      <c r="A18" s="11" t="s">
        <v>490</v>
      </c>
      <c r="B18" s="282" t="s">
        <v>205</v>
      </c>
      <c r="C18" s="482">
        <v>4500000</v>
      </c>
      <c r="D18" s="482"/>
      <c r="E18" s="482"/>
      <c r="F18" s="482"/>
    </row>
    <row r="19" spans="1:11" s="183" customFormat="1" ht="12" customHeight="1" thickBot="1" x14ac:dyDescent="0.25">
      <c r="A19" s="13" t="s">
        <v>491</v>
      </c>
      <c r="B19" s="283" t="s">
        <v>206</v>
      </c>
      <c r="C19" s="484">
        <v>11000000</v>
      </c>
      <c r="D19" s="484">
        <v>14000000</v>
      </c>
      <c r="E19" s="484">
        <v>14000000</v>
      </c>
      <c r="F19" s="484">
        <v>14000000</v>
      </c>
    </row>
    <row r="20" spans="1:11" s="183" customFormat="1" ht="12" customHeight="1" thickBot="1" x14ac:dyDescent="0.25">
      <c r="A20" s="17" t="s">
        <v>20</v>
      </c>
      <c r="B20" s="387" t="s">
        <v>568</v>
      </c>
      <c r="C20" s="479">
        <v>440000000</v>
      </c>
      <c r="D20" s="479">
        <v>365000000</v>
      </c>
      <c r="E20" s="479">
        <v>365000000</v>
      </c>
      <c r="F20" s="479">
        <v>370000000</v>
      </c>
    </row>
    <row r="21" spans="1:11" s="183" customFormat="1" ht="12" customHeight="1" thickBot="1" x14ac:dyDescent="0.25">
      <c r="A21" s="17" t="s">
        <v>21</v>
      </c>
      <c r="B21" s="387" t="s">
        <v>9</v>
      </c>
      <c r="C21" s="479">
        <v>6000000</v>
      </c>
      <c r="D21" s="479">
        <v>20000000</v>
      </c>
      <c r="E21" s="479">
        <v>10000000</v>
      </c>
      <c r="F21" s="479">
        <v>5000000</v>
      </c>
    </row>
    <row r="22" spans="1:11" s="183" customFormat="1" ht="12" customHeight="1" thickBot="1" x14ac:dyDescent="0.25">
      <c r="A22" s="17" t="s">
        <v>132</v>
      </c>
      <c r="B22" s="387" t="s">
        <v>569</v>
      </c>
      <c r="C22" s="479">
        <v>2000000</v>
      </c>
      <c r="D22" s="479">
        <v>1200000</v>
      </c>
      <c r="E22" s="479">
        <v>1000000</v>
      </c>
      <c r="F22" s="479">
        <v>1000000</v>
      </c>
    </row>
    <row r="23" spans="1:11" s="183" customFormat="1" ht="12" customHeight="1" thickBot="1" x14ac:dyDescent="0.25">
      <c r="A23" s="17" t="s">
        <v>23</v>
      </c>
      <c r="B23" s="390" t="s">
        <v>570</v>
      </c>
      <c r="C23" s="479"/>
      <c r="D23" s="479"/>
      <c r="E23" s="479"/>
      <c r="F23" s="479"/>
    </row>
    <row r="24" spans="1:11" s="183" customFormat="1" ht="12" customHeight="1" thickBot="1" x14ac:dyDescent="0.25">
      <c r="A24" s="17" t="s">
        <v>24</v>
      </c>
      <c r="B24" s="387" t="s">
        <v>239</v>
      </c>
      <c r="C24" s="480">
        <f>+C9+C10+C11+C12+C20+C21+C22+C23</f>
        <v>2632500000</v>
      </c>
      <c r="D24" s="480">
        <f>SUM(D9:D12)+SUM(D20:D23)</f>
        <v>2930200000</v>
      </c>
      <c r="E24" s="480">
        <f>SUM(E9:E12)+SUM(E20:E23)</f>
        <v>2830000000</v>
      </c>
      <c r="F24" s="480">
        <f>SUM(F9:F12)+SUM(F20:F23)</f>
        <v>2840000000</v>
      </c>
      <c r="H24" s="619"/>
      <c r="I24" s="619"/>
      <c r="J24" s="619"/>
      <c r="K24" s="619"/>
    </row>
    <row r="25" spans="1:11" s="183" customFormat="1" ht="12" customHeight="1" thickBot="1" x14ac:dyDescent="0.25">
      <c r="A25" s="17" t="s">
        <v>25</v>
      </c>
      <c r="B25" s="387" t="s">
        <v>571</v>
      </c>
      <c r="C25" s="820">
        <v>400000000</v>
      </c>
      <c r="D25" s="820">
        <v>1800000000</v>
      </c>
      <c r="E25" s="820">
        <v>1800000000</v>
      </c>
      <c r="F25" s="820">
        <v>1800000000</v>
      </c>
      <c r="H25" s="619"/>
      <c r="I25" s="619"/>
      <c r="J25" s="619"/>
      <c r="K25" s="619"/>
    </row>
    <row r="26" spans="1:11" s="183" customFormat="1" ht="12" customHeight="1" thickBot="1" x14ac:dyDescent="0.25">
      <c r="A26" s="17" t="s">
        <v>26</v>
      </c>
      <c r="B26" s="387" t="s">
        <v>572</v>
      </c>
      <c r="C26" s="480">
        <f>+C24+C25</f>
        <v>3032500000</v>
      </c>
      <c r="D26" s="480">
        <f>D24+D25</f>
        <v>4730200000</v>
      </c>
      <c r="E26" s="480">
        <f>E24+E25</f>
        <v>4630000000</v>
      </c>
      <c r="F26" s="480">
        <f>F24+F25</f>
        <v>4640000000</v>
      </c>
      <c r="H26" s="619"/>
      <c r="I26" s="619"/>
      <c r="J26" s="619"/>
      <c r="K26" s="619"/>
    </row>
    <row r="27" spans="1:11" s="183" customFormat="1" ht="12" customHeight="1" x14ac:dyDescent="0.2">
      <c r="A27" s="273"/>
      <c r="B27" s="274"/>
      <c r="C27" s="485"/>
      <c r="D27" s="486"/>
      <c r="E27" s="487"/>
      <c r="F27" s="487"/>
      <c r="H27" s="619"/>
      <c r="I27" s="619"/>
      <c r="J27" s="620"/>
      <c r="K27" s="619"/>
    </row>
    <row r="28" spans="1:11" s="183" customFormat="1" ht="12" customHeight="1" x14ac:dyDescent="0.2">
      <c r="A28" s="1435" t="s">
        <v>44</v>
      </c>
      <c r="B28" s="1435"/>
      <c r="C28" s="1435"/>
      <c r="D28" s="1435"/>
      <c r="E28" s="1435"/>
      <c r="H28" s="619"/>
      <c r="I28" s="619"/>
      <c r="J28" s="619"/>
      <c r="K28" s="619"/>
    </row>
    <row r="29" spans="1:11" s="183" customFormat="1" ht="12" customHeight="1" thickBot="1" x14ac:dyDescent="0.25">
      <c r="A29" s="1436" t="s">
        <v>116</v>
      </c>
      <c r="B29" s="1436"/>
      <c r="C29" s="814"/>
      <c r="D29" s="873"/>
      <c r="E29" s="121"/>
      <c r="F29" s="121" t="str">
        <f>F6</f>
        <v>Forintban!</v>
      </c>
      <c r="H29" s="619"/>
      <c r="I29" s="619"/>
      <c r="J29" s="619"/>
      <c r="K29" s="619"/>
    </row>
    <row r="30" spans="1:11" s="183" customFormat="1" ht="24" customHeight="1" thickBot="1" x14ac:dyDescent="0.25">
      <c r="A30" s="20" t="s">
        <v>14</v>
      </c>
      <c r="B30" s="21" t="s">
        <v>45</v>
      </c>
      <c r="C30" s="21" t="str">
        <f>+C7</f>
        <v>2019. évi</v>
      </c>
      <c r="D30" s="21" t="str">
        <f>+D7</f>
        <v>2022. évi</v>
      </c>
      <c r="E30" s="488" t="str">
        <f>+E7</f>
        <v>2023. évi</v>
      </c>
      <c r="F30" s="488" t="str">
        <f>+F7</f>
        <v>2024. évi</v>
      </c>
      <c r="H30" s="619"/>
      <c r="I30" s="619"/>
      <c r="J30" s="619"/>
      <c r="K30" s="619"/>
    </row>
    <row r="31" spans="1:11" s="183" customFormat="1" ht="12" customHeight="1" thickBot="1" x14ac:dyDescent="0.25">
      <c r="A31" s="176" t="s">
        <v>391</v>
      </c>
      <c r="B31" s="177" t="s">
        <v>392</v>
      </c>
      <c r="C31" s="177" t="s">
        <v>393</v>
      </c>
      <c r="D31" s="177" t="s">
        <v>393</v>
      </c>
      <c r="E31" s="489" t="s">
        <v>443</v>
      </c>
      <c r="F31" s="489" t="s">
        <v>444</v>
      </c>
    </row>
    <row r="32" spans="1:11" s="183" customFormat="1" ht="15" customHeight="1" thickBot="1" x14ac:dyDescent="0.25">
      <c r="A32" s="17" t="s">
        <v>16</v>
      </c>
      <c r="B32" s="22" t="s">
        <v>573</v>
      </c>
      <c r="C32" s="490">
        <v>2420500000</v>
      </c>
      <c r="D32" s="490">
        <v>2900000000</v>
      </c>
      <c r="E32" s="490">
        <v>2850000000</v>
      </c>
      <c r="F32" s="490">
        <v>2900000000</v>
      </c>
    </row>
    <row r="33" spans="1:7" ht="12" customHeight="1" thickBot="1" x14ac:dyDescent="0.3">
      <c r="A33" s="248" t="s">
        <v>17</v>
      </c>
      <c r="B33" s="491" t="s">
        <v>574</v>
      </c>
      <c r="C33" s="492">
        <f>+C34+C35+C36</f>
        <v>457000000</v>
      </c>
      <c r="D33" s="492">
        <f>D34+D35+D36</f>
        <v>830200000</v>
      </c>
      <c r="E33" s="492">
        <f>E34+E35+E36</f>
        <v>680000000</v>
      </c>
      <c r="F33" s="492">
        <f>F34+F35+F36</f>
        <v>540000000</v>
      </c>
    </row>
    <row r="34" spans="1:7" ht="12" customHeight="1" x14ac:dyDescent="0.25">
      <c r="A34" s="12" t="s">
        <v>92</v>
      </c>
      <c r="B34" s="5" t="s">
        <v>159</v>
      </c>
      <c r="C34" s="493">
        <v>145000000</v>
      </c>
      <c r="D34" s="493">
        <v>500000000</v>
      </c>
      <c r="E34" s="493">
        <v>400000000</v>
      </c>
      <c r="F34" s="493">
        <f>400000000-20000000</f>
        <v>380000000</v>
      </c>
    </row>
    <row r="35" spans="1:7" ht="12" customHeight="1" x14ac:dyDescent="0.25">
      <c r="A35" s="12" t="s">
        <v>93</v>
      </c>
      <c r="B35" s="9" t="s">
        <v>139</v>
      </c>
      <c r="C35" s="494">
        <v>292000000</v>
      </c>
      <c r="D35" s="494">
        <f>100000000-3200000+100000000+123400000</f>
        <v>320200000</v>
      </c>
      <c r="E35" s="494">
        <f>100000000-4300000+77000000+97300000</f>
        <v>270000000</v>
      </c>
      <c r="F35" s="494">
        <f>172500000-22500000</f>
        <v>150000000</v>
      </c>
    </row>
    <row r="36" spans="1:7" ht="12" customHeight="1" thickBot="1" x14ac:dyDescent="0.3">
      <c r="A36" s="12" t="s">
        <v>94</v>
      </c>
      <c r="B36" s="109" t="s">
        <v>161</v>
      </c>
      <c r="C36" s="494">
        <v>20000000</v>
      </c>
      <c r="D36" s="494">
        <v>10000000</v>
      </c>
      <c r="E36" s="494">
        <v>10000000</v>
      </c>
      <c r="F36" s="494">
        <v>10000000</v>
      </c>
    </row>
    <row r="37" spans="1:7" ht="12" customHeight="1" thickBot="1" x14ac:dyDescent="0.3">
      <c r="A37" s="17" t="s">
        <v>18</v>
      </c>
      <c r="B37" s="54" t="s">
        <v>415</v>
      </c>
      <c r="C37" s="495">
        <f>+C32+C33</f>
        <v>2877500000</v>
      </c>
      <c r="D37" s="495">
        <f>D32+D33</f>
        <v>3730200000</v>
      </c>
      <c r="E37" s="495">
        <f>E32+E33</f>
        <v>3530000000</v>
      </c>
      <c r="F37" s="495">
        <f>F32+F33</f>
        <v>3440000000</v>
      </c>
    </row>
    <row r="38" spans="1:7" ht="15" customHeight="1" thickBot="1" x14ac:dyDescent="0.3">
      <c r="A38" s="17" t="s">
        <v>19</v>
      </c>
      <c r="B38" s="54" t="s">
        <v>575</v>
      </c>
      <c r="C38" s="821">
        <v>155000000</v>
      </c>
      <c r="D38" s="821">
        <v>1000000000</v>
      </c>
      <c r="E38" s="821">
        <v>1100000000</v>
      </c>
      <c r="F38" s="821">
        <v>1200000000</v>
      </c>
    </row>
    <row r="39" spans="1:7" s="183" customFormat="1" ht="12.95" customHeight="1" thickBot="1" x14ac:dyDescent="0.25">
      <c r="A39" s="110" t="s">
        <v>20</v>
      </c>
      <c r="B39" s="169" t="s">
        <v>576</v>
      </c>
      <c r="C39" s="496">
        <f>+C37+C38</f>
        <v>3032500000</v>
      </c>
      <c r="D39" s="496">
        <f>D37+D38</f>
        <v>4730200000</v>
      </c>
      <c r="E39" s="496">
        <f>E37+E38</f>
        <v>4630000000</v>
      </c>
      <c r="F39" s="496">
        <f>F37+F38</f>
        <v>4640000000</v>
      </c>
    </row>
    <row r="40" spans="1:7" x14ac:dyDescent="0.25">
      <c r="C40" s="813"/>
      <c r="D40" s="568">
        <f>D26-D39</f>
        <v>0</v>
      </c>
      <c r="E40" s="568">
        <f>E26-E39</f>
        <v>0</v>
      </c>
      <c r="F40" s="568">
        <f>F26-F39</f>
        <v>0</v>
      </c>
    </row>
    <row r="41" spans="1:7" x14ac:dyDescent="0.25">
      <c r="C41" s="813"/>
    </row>
    <row r="42" spans="1:7" x14ac:dyDescent="0.25">
      <c r="C42" s="813"/>
    </row>
    <row r="43" spans="1:7" ht="16.5" customHeight="1" x14ac:dyDescent="0.25">
      <c r="C43" s="813"/>
    </row>
    <row r="44" spans="1:7" x14ac:dyDescent="0.25">
      <c r="C44" s="813"/>
    </row>
    <row r="45" spans="1:7" x14ac:dyDescent="0.25">
      <c r="C45" s="813"/>
    </row>
    <row r="46" spans="1:7" s="813" customFormat="1" x14ac:dyDescent="0.25">
      <c r="G46" s="815"/>
    </row>
    <row r="47" spans="1:7" s="813" customFormat="1" x14ac:dyDescent="0.25">
      <c r="G47" s="815"/>
    </row>
    <row r="48" spans="1:7" s="813" customFormat="1" x14ac:dyDescent="0.25">
      <c r="G48" s="815"/>
    </row>
    <row r="49" spans="7:7" s="813" customFormat="1" x14ac:dyDescent="0.25">
      <c r="G49" s="815"/>
    </row>
    <row r="50" spans="7:7" s="813" customFormat="1" x14ac:dyDescent="0.25">
      <c r="G50" s="815"/>
    </row>
    <row r="51" spans="7:7" s="813" customFormat="1" x14ac:dyDescent="0.25">
      <c r="G51" s="815"/>
    </row>
    <row r="52" spans="7:7" s="813" customFormat="1" x14ac:dyDescent="0.25">
      <c r="G52" s="815"/>
    </row>
  </sheetData>
  <mergeCells count="6">
    <mergeCell ref="A29:B29"/>
    <mergeCell ref="A1:F1"/>
    <mergeCell ref="A3:F3"/>
    <mergeCell ref="A5:E5"/>
    <mergeCell ref="A6:B6"/>
    <mergeCell ref="A28:E28"/>
  </mergeCells>
  <pageMargins left="0.7" right="0.7" top="0.75" bottom="0.75" header="0.3" footer="0.3"/>
  <pageSetup paperSize="9" scale="74" orientation="portrait" r:id="rId1"/>
  <headerFooter alignWithMargins="0"/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54"/>
  <dimension ref="A1:G31"/>
  <sheetViews>
    <sheetView topLeftCell="D7" zoomScale="130" zoomScaleNormal="130" zoomScaleSheetLayoutView="100" workbookViewId="0">
      <selection activeCell="E16" sqref="E16"/>
    </sheetView>
  </sheetViews>
  <sheetFormatPr defaultColWidth="10.6640625" defaultRowHeight="12.75" x14ac:dyDescent="0.2"/>
  <cols>
    <col min="1" max="2" width="9.33203125" style="587" hidden="1" customWidth="1"/>
    <col min="3" max="3" width="58.1640625" style="587" hidden="1" customWidth="1"/>
    <col min="4" max="4" width="70.1640625" style="587" customWidth="1"/>
    <col min="5" max="5" width="14.33203125" style="587" customWidth="1"/>
    <col min="6" max="6" width="9.6640625" style="587" customWidth="1"/>
    <col min="7" max="7" width="10.6640625" style="587" customWidth="1"/>
    <col min="8" max="16384" width="10.6640625" style="587"/>
  </cols>
  <sheetData>
    <row r="1" spans="4:7" x14ac:dyDescent="0.2">
      <c r="D1" s="1580" t="str">
        <f>CONCATENATE("31. melléklet ",ALAPADATOK!A7," ",ALAPADATOK!B7," ",ALAPADATOK!C7," ",ALAPADATOK!D7," ",ALAPADATOK!E7," ",ALAPADATOK!F7," ",ALAPADATOK!G7," ",ALAPADATOK!H7)</f>
        <v>31. melléklet a 19 / 2021. ( XI.29. ) önkormányzati rendelethez</v>
      </c>
      <c r="E1" s="1580"/>
      <c r="F1" s="298"/>
      <c r="G1" s="298"/>
    </row>
    <row r="2" spans="4:7" x14ac:dyDescent="0.2">
      <c r="D2" s="298"/>
      <c r="E2" s="1222"/>
      <c r="F2" s="1222"/>
      <c r="G2" s="298"/>
    </row>
    <row r="3" spans="4:7" x14ac:dyDescent="0.2">
      <c r="D3" s="298"/>
      <c r="E3" s="298"/>
      <c r="F3" s="298"/>
      <c r="G3" s="298"/>
    </row>
    <row r="4" spans="4:7" ht="19.5" x14ac:dyDescent="0.35">
      <c r="D4" s="1581" t="s">
        <v>592</v>
      </c>
      <c r="E4" s="1581"/>
      <c r="F4" s="299"/>
      <c r="G4" s="299"/>
    </row>
    <row r="5" spans="4:7" ht="19.5" x14ac:dyDescent="0.35">
      <c r="D5" s="1581"/>
      <c r="E5" s="1581"/>
      <c r="F5" s="299"/>
      <c r="G5" s="299"/>
    </row>
    <row r="6" spans="4:7" x14ac:dyDescent="0.2">
      <c r="D6" s="298"/>
      <c r="E6" s="588"/>
      <c r="F6" s="298"/>
      <c r="G6" s="298"/>
    </row>
    <row r="8" spans="4:7" ht="13.5" thickBot="1" x14ac:dyDescent="0.25"/>
    <row r="9" spans="4:7" s="1374" customFormat="1" ht="21.75" thickBot="1" x14ac:dyDescent="0.25">
      <c r="D9" s="1375" t="s">
        <v>2</v>
      </c>
      <c r="E9" s="1376" t="s">
        <v>692</v>
      </c>
    </row>
    <row r="10" spans="4:7" x14ac:dyDescent="0.2">
      <c r="D10" s="1353" t="s">
        <v>989</v>
      </c>
      <c r="E10" s="1357">
        <v>0</v>
      </c>
    </row>
    <row r="11" spans="4:7" hidden="1" x14ac:dyDescent="0.2">
      <c r="D11" s="1353" t="s">
        <v>971</v>
      </c>
      <c r="E11" s="1357">
        <v>20.5</v>
      </c>
    </row>
    <row r="12" spans="4:7" hidden="1" x14ac:dyDescent="0.2">
      <c r="D12" s="1208" t="s">
        <v>691</v>
      </c>
      <c r="E12" s="1209">
        <v>0</v>
      </c>
    </row>
    <row r="13" spans="4:7" x14ac:dyDescent="0.2">
      <c r="D13" s="1208" t="s">
        <v>970</v>
      </c>
      <c r="E13" s="1209">
        <v>53</v>
      </c>
    </row>
    <row r="14" spans="4:7" s="300" customFormat="1" x14ac:dyDescent="0.2">
      <c r="D14" s="1358" t="s">
        <v>981</v>
      </c>
      <c r="E14" s="1209">
        <v>19.75</v>
      </c>
    </row>
    <row r="15" spans="4:7" s="300" customFormat="1" hidden="1" x14ac:dyDescent="0.2">
      <c r="D15" s="1208" t="s">
        <v>691</v>
      </c>
      <c r="E15" s="1209">
        <v>0</v>
      </c>
    </row>
    <row r="16" spans="4:7" s="300" customFormat="1" x14ac:dyDescent="0.2">
      <c r="D16" s="1208" t="s">
        <v>589</v>
      </c>
      <c r="E16" s="801">
        <v>21</v>
      </c>
    </row>
    <row r="17" spans="4:5" s="300" customFormat="1" hidden="1" x14ac:dyDescent="0.2">
      <c r="D17" s="1208" t="s">
        <v>691</v>
      </c>
      <c r="E17" s="1209">
        <v>0</v>
      </c>
    </row>
    <row r="18" spans="4:5" s="300" customFormat="1" x14ac:dyDescent="0.2">
      <c r="D18" s="1208" t="s">
        <v>990</v>
      </c>
      <c r="E18" s="801">
        <v>152</v>
      </c>
    </row>
    <row r="19" spans="4:5" s="300" customFormat="1" hidden="1" x14ac:dyDescent="0.2">
      <c r="D19" s="1208" t="s">
        <v>969</v>
      </c>
      <c r="E19" s="801">
        <v>146</v>
      </c>
    </row>
    <row r="20" spans="4:5" s="300" customFormat="1" hidden="1" x14ac:dyDescent="0.2">
      <c r="D20" s="1208" t="s">
        <v>954</v>
      </c>
      <c r="E20" s="801">
        <v>0</v>
      </c>
    </row>
    <row r="21" spans="4:5" s="300" customFormat="1" x14ac:dyDescent="0.2">
      <c r="D21" s="646" t="s">
        <v>955</v>
      </c>
      <c r="E21" s="801">
        <v>50</v>
      </c>
    </row>
    <row r="22" spans="4:5" s="647" customFormat="1" x14ac:dyDescent="0.2">
      <c r="D22" s="1354" t="s">
        <v>956</v>
      </c>
      <c r="E22" s="1355">
        <v>2</v>
      </c>
    </row>
    <row r="23" spans="4:5" s="647" customFormat="1" x14ac:dyDescent="0.2">
      <c r="D23" s="1356" t="s">
        <v>991</v>
      </c>
      <c r="E23" s="1355">
        <v>52.38</v>
      </c>
    </row>
    <row r="24" spans="4:5" s="647" customFormat="1" hidden="1" x14ac:dyDescent="0.2">
      <c r="D24" s="1356" t="s">
        <v>972</v>
      </c>
      <c r="E24" s="1359">
        <v>46.38</v>
      </c>
    </row>
    <row r="25" spans="4:5" ht="13.5" thickBot="1" x14ac:dyDescent="0.25">
      <c r="D25" s="1208" t="s">
        <v>993</v>
      </c>
      <c r="E25" s="1360">
        <v>33</v>
      </c>
    </row>
    <row r="26" spans="4:5" ht="13.5" thickBot="1" x14ac:dyDescent="0.25">
      <c r="D26" s="589" t="s">
        <v>590</v>
      </c>
      <c r="E26" s="1167">
        <f>E11+E13+E14+E16+E19+E21+E22+E24+E25</f>
        <v>391.63</v>
      </c>
    </row>
    <row r="27" spans="4:5" ht="13.5" thickBot="1" x14ac:dyDescent="0.25">
      <c r="D27" s="589" t="s">
        <v>992</v>
      </c>
      <c r="E27" s="1167">
        <f>E10+E13+E14+E16+E18+E21+E22+E23+E25</f>
        <v>383.13</v>
      </c>
    </row>
    <row r="28" spans="4:5" ht="13.5" thickBot="1" x14ac:dyDescent="0.25">
      <c r="D28" s="1168" t="s">
        <v>591</v>
      </c>
      <c r="E28" s="1167">
        <f>E26-E12-E15-E17-E20-E21-E22-E25</f>
        <v>306.63</v>
      </c>
    </row>
    <row r="29" spans="4:5" ht="13.5" thickBot="1" x14ac:dyDescent="0.25">
      <c r="D29" s="1168" t="s">
        <v>994</v>
      </c>
      <c r="E29" s="1167">
        <f>E27-E25-E22-E21</f>
        <v>298.13</v>
      </c>
    </row>
    <row r="30" spans="4:5" ht="13.5" thickBot="1" x14ac:dyDescent="0.25">
      <c r="D30" s="1361" t="s">
        <v>156</v>
      </c>
      <c r="E30" s="1362">
        <v>6</v>
      </c>
    </row>
    <row r="31" spans="4:5" ht="13.5" thickBot="1" x14ac:dyDescent="0.25">
      <c r="D31" s="589" t="s">
        <v>690</v>
      </c>
      <c r="E31" s="1167">
        <f>E28+E30</f>
        <v>312.63</v>
      </c>
    </row>
  </sheetData>
  <mergeCells count="2">
    <mergeCell ref="D1:E1"/>
    <mergeCell ref="D4:E5"/>
  </mergeCells>
  <printOptions horizontalCentered="1"/>
  <pageMargins left="0.7" right="0.7" top="0.75" bottom="0.75" header="0.3" footer="0.3"/>
  <pageSetup paperSize="9" orientation="portrait" verticalDpi="180" r:id="rId1"/>
  <headerFooter alignWithMargins="0"/>
  <colBreaks count="1" manualBreakCount="1">
    <brk id="5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6"/>
  <dimension ref="A1:F166"/>
  <sheetViews>
    <sheetView zoomScale="115" zoomScaleNormal="115" zoomScaleSheetLayoutView="100" workbookViewId="0">
      <selection activeCell="E9" sqref="E9"/>
    </sheetView>
  </sheetViews>
  <sheetFormatPr defaultRowHeight="15.75" x14ac:dyDescent="0.25"/>
  <cols>
    <col min="1" max="1" width="9.5" style="170" customWidth="1"/>
    <col min="2" max="2" width="91.6640625" style="170" customWidth="1"/>
    <col min="3" max="3" width="21.6640625" style="171" customWidth="1"/>
    <col min="4" max="9" width="0" style="181" hidden="1" customWidth="1"/>
    <col min="10" max="16384" width="9.33203125" style="181"/>
  </cols>
  <sheetData>
    <row r="1" spans="1:3" s="671" customFormat="1" x14ac:dyDescent="0.25">
      <c r="A1" s="1433" t="str">
        <f>CONCATENATE("1.5. melléklet"," ",ALAPADATOK!A7," ",ALAPADATOK!B7," ",ALAPADATOK!C7," ",ALAPADATOK!D7," ",ALAPADATOK!E7," ",ALAPADATOK!F7," ",ALAPADATOK!G7," ",ALAPADATOK!H7)</f>
        <v>1.5. melléklet a 19 / 2021. ( XI.29. ) önkormányzati rendelethez</v>
      </c>
      <c r="B1" s="1433"/>
      <c r="C1" s="1433"/>
    </row>
    <row r="2" spans="1:3" s="815" customFormat="1" x14ac:dyDescent="0.25">
      <c r="A2" s="692"/>
      <c r="B2" s="692"/>
      <c r="C2" s="692"/>
    </row>
    <row r="3" spans="1:3" s="671" customFormat="1" x14ac:dyDescent="0.25">
      <c r="A3" s="1432" t="str">
        <f>CONCATENATE(ALAPADATOK!A3)</f>
        <v>Tiszavasvári Város Önkormányzat</v>
      </c>
      <c r="B3" s="1432"/>
      <c r="C3" s="1432"/>
    </row>
    <row r="4" spans="1:3" s="671" customFormat="1" x14ac:dyDescent="0.25">
      <c r="A4" s="1431" t="str">
        <f>CONCATENATE(ALAPADATOK!D7," ÉVI KÖLTSÉGVETÉS")</f>
        <v>2021. ÉVI KÖLTSÉGVETÉS</v>
      </c>
      <c r="B4" s="1431"/>
      <c r="C4" s="1431"/>
    </row>
    <row r="5" spans="1:3" s="671" customFormat="1" x14ac:dyDescent="0.25">
      <c r="A5" s="1431" t="s">
        <v>717</v>
      </c>
      <c r="B5" s="1431"/>
      <c r="C5" s="1431"/>
    </row>
    <row r="6" spans="1:3" s="671" customFormat="1" x14ac:dyDescent="0.25">
      <c r="A6" s="670"/>
      <c r="B6" s="670"/>
      <c r="C6" s="171" t="s">
        <v>959</v>
      </c>
    </row>
    <row r="7" spans="1:3" ht="15.95" customHeight="1" x14ac:dyDescent="0.25">
      <c r="A7" s="1435" t="s">
        <v>13</v>
      </c>
      <c r="B7" s="1435"/>
      <c r="C7" s="1435"/>
    </row>
    <row r="8" spans="1:3" ht="15.95" customHeight="1" thickBot="1" x14ac:dyDescent="0.3">
      <c r="A8" s="1434" t="s">
        <v>115</v>
      </c>
      <c r="B8" s="1434"/>
      <c r="C8" s="121" t="s">
        <v>494</v>
      </c>
    </row>
    <row r="9" spans="1:3" ht="38.1" customHeight="1" thickBot="1" x14ac:dyDescent="0.3">
      <c r="A9" s="20" t="s">
        <v>64</v>
      </c>
      <c r="B9" s="21" t="s">
        <v>15</v>
      </c>
      <c r="C9" s="29" t="s">
        <v>796</v>
      </c>
    </row>
    <row r="10" spans="1:3" s="182" customFormat="1" ht="12" customHeight="1" thickBot="1" x14ac:dyDescent="0.25">
      <c r="A10" s="176" t="s">
        <v>391</v>
      </c>
      <c r="B10" s="177" t="s">
        <v>392</v>
      </c>
      <c r="C10" s="178" t="s">
        <v>393</v>
      </c>
    </row>
    <row r="11" spans="1:3" s="183" customFormat="1" ht="12" customHeight="1" thickBot="1" x14ac:dyDescent="0.25">
      <c r="A11" s="17" t="s">
        <v>16</v>
      </c>
      <c r="B11" s="18" t="s">
        <v>181</v>
      </c>
      <c r="C11" s="112">
        <f>+C12+C13+C16+C17+C18+C19</f>
        <v>0</v>
      </c>
    </row>
    <row r="12" spans="1:3" s="183" customFormat="1" ht="12" customHeight="1" x14ac:dyDescent="0.2">
      <c r="A12" s="12" t="s">
        <v>86</v>
      </c>
      <c r="B12" s="184" t="s">
        <v>182</v>
      </c>
      <c r="C12" s="114"/>
    </row>
    <row r="13" spans="1:3" s="183" customFormat="1" ht="12" customHeight="1" x14ac:dyDescent="0.2">
      <c r="A13" s="11" t="s">
        <v>87</v>
      </c>
      <c r="B13" s="185" t="s">
        <v>183</v>
      </c>
      <c r="C13" s="113"/>
    </row>
    <row r="14" spans="1:3" s="183" customFormat="1" ht="12" customHeight="1" x14ac:dyDescent="0.2">
      <c r="A14" s="11" t="s">
        <v>88</v>
      </c>
      <c r="B14" s="185" t="s">
        <v>766</v>
      </c>
      <c r="C14" s="113"/>
    </row>
    <row r="15" spans="1:3" s="183" customFormat="1" ht="12" customHeight="1" x14ac:dyDescent="0.2">
      <c r="A15" s="11" t="s">
        <v>764</v>
      </c>
      <c r="B15" s="185" t="s">
        <v>767</v>
      </c>
      <c r="C15" s="113"/>
    </row>
    <row r="16" spans="1:3" s="183" customFormat="1" ht="12" customHeight="1" x14ac:dyDescent="0.2">
      <c r="A16" s="11" t="s">
        <v>765</v>
      </c>
      <c r="B16" s="185" t="s">
        <v>768</v>
      </c>
      <c r="C16" s="113"/>
    </row>
    <row r="17" spans="1:3" s="183" customFormat="1" ht="12" customHeight="1" x14ac:dyDescent="0.2">
      <c r="A17" s="11" t="s">
        <v>89</v>
      </c>
      <c r="B17" s="185" t="s">
        <v>185</v>
      </c>
      <c r="C17" s="113"/>
    </row>
    <row r="18" spans="1:3" s="183" customFormat="1" ht="12" customHeight="1" x14ac:dyDescent="0.2">
      <c r="A18" s="11" t="s">
        <v>112</v>
      </c>
      <c r="B18" s="108" t="s">
        <v>394</v>
      </c>
      <c r="C18" s="113"/>
    </row>
    <row r="19" spans="1:3" s="183" customFormat="1" ht="12" customHeight="1" thickBot="1" x14ac:dyDescent="0.25">
      <c r="A19" s="13" t="s">
        <v>90</v>
      </c>
      <c r="B19" s="109" t="s">
        <v>395</v>
      </c>
      <c r="C19" s="113"/>
    </row>
    <row r="20" spans="1:3" s="183" customFormat="1" ht="12" customHeight="1" thickBot="1" x14ac:dyDescent="0.25">
      <c r="A20" s="17" t="s">
        <v>17</v>
      </c>
      <c r="B20" s="107" t="s">
        <v>186</v>
      </c>
      <c r="C20" s="112">
        <f>+C21+C22+C23+C24+C25</f>
        <v>0</v>
      </c>
    </row>
    <row r="21" spans="1:3" s="183" customFormat="1" ht="12" customHeight="1" x14ac:dyDescent="0.2">
      <c r="A21" s="12" t="s">
        <v>92</v>
      </c>
      <c r="B21" s="184" t="s">
        <v>187</v>
      </c>
      <c r="C21" s="114"/>
    </row>
    <row r="22" spans="1:3" s="183" customFormat="1" ht="12" customHeight="1" x14ac:dyDescent="0.2">
      <c r="A22" s="11" t="s">
        <v>93</v>
      </c>
      <c r="B22" s="185" t="s">
        <v>188</v>
      </c>
      <c r="C22" s="113"/>
    </row>
    <row r="23" spans="1:3" s="183" customFormat="1" ht="12" customHeight="1" x14ac:dyDescent="0.2">
      <c r="A23" s="11" t="s">
        <v>94</v>
      </c>
      <c r="B23" s="185" t="s">
        <v>354</v>
      </c>
      <c r="C23" s="113"/>
    </row>
    <row r="24" spans="1:3" s="183" customFormat="1" ht="12" customHeight="1" x14ac:dyDescent="0.2">
      <c r="A24" s="11" t="s">
        <v>95</v>
      </c>
      <c r="B24" s="185" t="s">
        <v>355</v>
      </c>
      <c r="C24" s="113"/>
    </row>
    <row r="25" spans="1:3" s="183" customFormat="1" ht="12" customHeight="1" x14ac:dyDescent="0.2">
      <c r="A25" s="11" t="s">
        <v>96</v>
      </c>
      <c r="B25" s="185" t="s">
        <v>189</v>
      </c>
      <c r="C25" s="113"/>
    </row>
    <row r="26" spans="1:3" s="183" customFormat="1" ht="12" customHeight="1" thickBot="1" x14ac:dyDescent="0.25">
      <c r="A26" s="13" t="s">
        <v>105</v>
      </c>
      <c r="B26" s="109" t="s">
        <v>190</v>
      </c>
      <c r="C26" s="115"/>
    </row>
    <row r="27" spans="1:3" s="183" customFormat="1" ht="12" customHeight="1" thickBot="1" x14ac:dyDescent="0.25">
      <c r="A27" s="17" t="s">
        <v>18</v>
      </c>
      <c r="B27" s="18" t="s">
        <v>191</v>
      </c>
      <c r="C27" s="112">
        <f>+C28+C29+C30+C31+C32</f>
        <v>0</v>
      </c>
    </row>
    <row r="28" spans="1:3" s="183" customFormat="1" ht="12" customHeight="1" x14ac:dyDescent="0.2">
      <c r="A28" s="12" t="s">
        <v>75</v>
      </c>
      <c r="B28" s="184" t="s">
        <v>192</v>
      </c>
      <c r="C28" s="114"/>
    </row>
    <row r="29" spans="1:3" s="183" customFormat="1" ht="12" customHeight="1" x14ac:dyDescent="0.2">
      <c r="A29" s="11" t="s">
        <v>76</v>
      </c>
      <c r="B29" s="185" t="s">
        <v>193</v>
      </c>
      <c r="C29" s="113"/>
    </row>
    <row r="30" spans="1:3" s="183" customFormat="1" ht="12" customHeight="1" x14ac:dyDescent="0.2">
      <c r="A30" s="11" t="s">
        <v>77</v>
      </c>
      <c r="B30" s="185" t="s">
        <v>356</v>
      </c>
      <c r="C30" s="113"/>
    </row>
    <row r="31" spans="1:3" s="183" customFormat="1" ht="12" customHeight="1" x14ac:dyDescent="0.2">
      <c r="A31" s="11" t="s">
        <v>78</v>
      </c>
      <c r="B31" s="185" t="s">
        <v>357</v>
      </c>
      <c r="C31" s="113"/>
    </row>
    <row r="32" spans="1:3" s="183" customFormat="1" ht="12" customHeight="1" x14ac:dyDescent="0.2">
      <c r="A32" s="11" t="s">
        <v>123</v>
      </c>
      <c r="B32" s="185" t="s">
        <v>194</v>
      </c>
      <c r="C32" s="113"/>
    </row>
    <row r="33" spans="1:3" s="183" customFormat="1" ht="12" customHeight="1" thickBot="1" x14ac:dyDescent="0.25">
      <c r="A33" s="13" t="s">
        <v>124</v>
      </c>
      <c r="B33" s="186" t="s">
        <v>195</v>
      </c>
      <c r="C33" s="115"/>
    </row>
    <row r="34" spans="1:3" s="183" customFormat="1" ht="12" customHeight="1" thickBot="1" x14ac:dyDescent="0.25">
      <c r="A34" s="17" t="s">
        <v>125</v>
      </c>
      <c r="B34" s="18" t="s">
        <v>196</v>
      </c>
      <c r="C34" s="117">
        <f>+C35+C39+C40</f>
        <v>0</v>
      </c>
    </row>
    <row r="35" spans="1:3" s="183" customFormat="1" ht="12" customHeight="1" x14ac:dyDescent="0.2">
      <c r="A35" s="12" t="s">
        <v>197</v>
      </c>
      <c r="B35" s="184" t="s">
        <v>579</v>
      </c>
      <c r="C35" s="179">
        <f>C36+C37</f>
        <v>0</v>
      </c>
    </row>
    <row r="36" spans="1:3" s="183" customFormat="1" ht="12" customHeight="1" x14ac:dyDescent="0.2">
      <c r="A36" s="11" t="s">
        <v>198</v>
      </c>
      <c r="B36" s="185" t="s">
        <v>203</v>
      </c>
      <c r="C36" s="113"/>
    </row>
    <row r="37" spans="1:3" s="183" customFormat="1" ht="12" customHeight="1" x14ac:dyDescent="0.2">
      <c r="A37" s="11" t="s">
        <v>199</v>
      </c>
      <c r="B37" s="242" t="s">
        <v>578</v>
      </c>
      <c r="C37" s="113"/>
    </row>
    <row r="38" spans="1:3" s="183" customFormat="1" ht="12" customHeight="1" x14ac:dyDescent="0.2">
      <c r="A38" s="11" t="s">
        <v>200</v>
      </c>
      <c r="B38" s="185" t="s">
        <v>479</v>
      </c>
      <c r="C38" s="113"/>
    </row>
    <row r="39" spans="1:3" s="183" customFormat="1" ht="12" customHeight="1" x14ac:dyDescent="0.2">
      <c r="A39" s="11" t="s">
        <v>202</v>
      </c>
      <c r="B39" s="185" t="s">
        <v>205</v>
      </c>
      <c r="C39" s="113"/>
    </row>
    <row r="40" spans="1:3" s="183" customFormat="1" ht="12" customHeight="1" thickBot="1" x14ac:dyDescent="0.25">
      <c r="A40" s="13" t="s">
        <v>481</v>
      </c>
      <c r="B40" s="186" t="s">
        <v>206</v>
      </c>
      <c r="C40" s="115"/>
    </row>
    <row r="41" spans="1:3" s="183" customFormat="1" ht="12" customHeight="1" thickBot="1" x14ac:dyDescent="0.25">
      <c r="A41" s="17" t="s">
        <v>20</v>
      </c>
      <c r="B41" s="18" t="s">
        <v>396</v>
      </c>
      <c r="C41" s="112">
        <f>SUM(C42:C52)</f>
        <v>0</v>
      </c>
    </row>
    <row r="42" spans="1:3" s="183" customFormat="1" ht="12" customHeight="1" x14ac:dyDescent="0.2">
      <c r="A42" s="12" t="s">
        <v>79</v>
      </c>
      <c r="B42" s="184" t="s">
        <v>209</v>
      </c>
      <c r="C42" s="114"/>
    </row>
    <row r="43" spans="1:3" s="183" customFormat="1" ht="12" customHeight="1" x14ac:dyDescent="0.2">
      <c r="A43" s="11" t="s">
        <v>80</v>
      </c>
      <c r="B43" s="185" t="s">
        <v>210</v>
      </c>
      <c r="C43" s="116"/>
    </row>
    <row r="44" spans="1:3" s="183" customFormat="1" ht="12" customHeight="1" x14ac:dyDescent="0.2">
      <c r="A44" s="11" t="s">
        <v>81</v>
      </c>
      <c r="B44" s="185" t="s">
        <v>211</v>
      </c>
      <c r="C44" s="116"/>
    </row>
    <row r="45" spans="1:3" s="183" customFormat="1" ht="12" customHeight="1" x14ac:dyDescent="0.2">
      <c r="A45" s="11" t="s">
        <v>127</v>
      </c>
      <c r="B45" s="185" t="s">
        <v>212</v>
      </c>
      <c r="C45" s="116"/>
    </row>
    <row r="46" spans="1:3" s="183" customFormat="1" ht="12" customHeight="1" x14ac:dyDescent="0.2">
      <c r="A46" s="11" t="s">
        <v>128</v>
      </c>
      <c r="B46" s="185" t="s">
        <v>213</v>
      </c>
      <c r="C46" s="116"/>
    </row>
    <row r="47" spans="1:3" s="183" customFormat="1" ht="12" customHeight="1" x14ac:dyDescent="0.2">
      <c r="A47" s="11" t="s">
        <v>129</v>
      </c>
      <c r="B47" s="185" t="s">
        <v>214</v>
      </c>
      <c r="C47" s="116"/>
    </row>
    <row r="48" spans="1:3" s="183" customFormat="1" ht="12" customHeight="1" x14ac:dyDescent="0.2">
      <c r="A48" s="11" t="s">
        <v>130</v>
      </c>
      <c r="B48" s="185" t="s">
        <v>215</v>
      </c>
      <c r="C48" s="116"/>
    </row>
    <row r="49" spans="1:3" s="183" customFormat="1" ht="12" customHeight="1" x14ac:dyDescent="0.2">
      <c r="A49" s="11" t="s">
        <v>131</v>
      </c>
      <c r="B49" s="185" t="s">
        <v>484</v>
      </c>
      <c r="C49" s="116"/>
    </row>
    <row r="50" spans="1:3" s="183" customFormat="1" ht="12" customHeight="1" x14ac:dyDescent="0.2">
      <c r="A50" s="11" t="s">
        <v>207</v>
      </c>
      <c r="B50" s="185" t="s">
        <v>217</v>
      </c>
      <c r="C50" s="116"/>
    </row>
    <row r="51" spans="1:3" s="183" customFormat="1" ht="12" customHeight="1" x14ac:dyDescent="0.2">
      <c r="A51" s="13" t="s">
        <v>208</v>
      </c>
      <c r="B51" s="186" t="s">
        <v>397</v>
      </c>
      <c r="C51" s="173"/>
    </row>
    <row r="52" spans="1:3" s="183" customFormat="1" ht="12" customHeight="1" thickBot="1" x14ac:dyDescent="0.25">
      <c r="A52" s="13" t="s">
        <v>398</v>
      </c>
      <c r="B52" s="109" t="s">
        <v>218</v>
      </c>
      <c r="C52" s="173"/>
    </row>
    <row r="53" spans="1:3" s="183" customFormat="1" ht="12" customHeight="1" thickBot="1" x14ac:dyDescent="0.25">
      <c r="A53" s="17" t="s">
        <v>21</v>
      </c>
      <c r="B53" s="18" t="s">
        <v>219</v>
      </c>
      <c r="C53" s="112">
        <f>SUM(C54:C58)</f>
        <v>0</v>
      </c>
    </row>
    <row r="54" spans="1:3" s="183" customFormat="1" ht="12" customHeight="1" x14ac:dyDescent="0.2">
      <c r="A54" s="12" t="s">
        <v>82</v>
      </c>
      <c r="B54" s="184" t="s">
        <v>223</v>
      </c>
      <c r="C54" s="222"/>
    </row>
    <row r="55" spans="1:3" s="183" customFormat="1" ht="12" customHeight="1" x14ac:dyDescent="0.2">
      <c r="A55" s="11" t="s">
        <v>83</v>
      </c>
      <c r="B55" s="185" t="s">
        <v>224</v>
      </c>
      <c r="C55" s="116"/>
    </row>
    <row r="56" spans="1:3" s="183" customFormat="1" ht="12" customHeight="1" x14ac:dyDescent="0.2">
      <c r="A56" s="11" t="s">
        <v>220</v>
      </c>
      <c r="B56" s="185" t="s">
        <v>225</v>
      </c>
      <c r="C56" s="116"/>
    </row>
    <row r="57" spans="1:3" s="183" customFormat="1" ht="12" customHeight="1" x14ac:dyDescent="0.2">
      <c r="A57" s="11" t="s">
        <v>221</v>
      </c>
      <c r="B57" s="185" t="s">
        <v>226</v>
      </c>
      <c r="C57" s="116"/>
    </row>
    <row r="58" spans="1:3" s="183" customFormat="1" ht="12" customHeight="1" thickBot="1" x14ac:dyDescent="0.25">
      <c r="A58" s="13" t="s">
        <v>222</v>
      </c>
      <c r="B58" s="109" t="s">
        <v>227</v>
      </c>
      <c r="C58" s="173"/>
    </row>
    <row r="59" spans="1:3" s="183" customFormat="1" ht="12" customHeight="1" thickBot="1" x14ac:dyDescent="0.25">
      <c r="A59" s="17" t="s">
        <v>132</v>
      </c>
      <c r="B59" s="18" t="s">
        <v>228</v>
      </c>
      <c r="C59" s="112">
        <f>SUM(C60:C62)</f>
        <v>0</v>
      </c>
    </row>
    <row r="60" spans="1:3" s="183" customFormat="1" ht="12" customHeight="1" x14ac:dyDescent="0.2">
      <c r="A60" s="12" t="s">
        <v>84</v>
      </c>
      <c r="B60" s="184" t="s">
        <v>229</v>
      </c>
      <c r="C60" s="114"/>
    </row>
    <row r="61" spans="1:3" s="183" customFormat="1" ht="12" customHeight="1" x14ac:dyDescent="0.2">
      <c r="A61" s="11" t="s">
        <v>85</v>
      </c>
      <c r="B61" s="185" t="s">
        <v>358</v>
      </c>
      <c r="C61" s="113"/>
    </row>
    <row r="62" spans="1:3" s="183" customFormat="1" ht="12" customHeight="1" x14ac:dyDescent="0.2">
      <c r="A62" s="11" t="s">
        <v>232</v>
      </c>
      <c r="B62" s="185" t="s">
        <v>230</v>
      </c>
      <c r="C62" s="113"/>
    </row>
    <row r="63" spans="1:3" s="183" customFormat="1" ht="12" customHeight="1" thickBot="1" x14ac:dyDescent="0.25">
      <c r="A63" s="13" t="s">
        <v>233</v>
      </c>
      <c r="B63" s="109" t="s">
        <v>231</v>
      </c>
      <c r="C63" s="115"/>
    </row>
    <row r="64" spans="1:3" s="183" customFormat="1" ht="12" customHeight="1" thickBot="1" x14ac:dyDescent="0.25">
      <c r="A64" s="17" t="s">
        <v>23</v>
      </c>
      <c r="B64" s="107" t="s">
        <v>234</v>
      </c>
      <c r="C64" s="112">
        <f>SUM(C65:C67)</f>
        <v>0</v>
      </c>
    </row>
    <row r="65" spans="1:3" s="183" customFormat="1" ht="12" customHeight="1" x14ac:dyDescent="0.2">
      <c r="A65" s="12" t="s">
        <v>133</v>
      </c>
      <c r="B65" s="184" t="s">
        <v>236</v>
      </c>
      <c r="C65" s="116"/>
    </row>
    <row r="66" spans="1:3" s="183" customFormat="1" ht="12" customHeight="1" x14ac:dyDescent="0.2">
      <c r="A66" s="11" t="s">
        <v>134</v>
      </c>
      <c r="B66" s="185" t="s">
        <v>359</v>
      </c>
      <c r="C66" s="116"/>
    </row>
    <row r="67" spans="1:3" s="183" customFormat="1" ht="12" customHeight="1" x14ac:dyDescent="0.2">
      <c r="A67" s="11" t="s">
        <v>160</v>
      </c>
      <c r="B67" s="185" t="s">
        <v>237</v>
      </c>
      <c r="C67" s="116"/>
    </row>
    <row r="68" spans="1:3" s="183" customFormat="1" ht="12" customHeight="1" thickBot="1" x14ac:dyDescent="0.25">
      <c r="A68" s="13" t="s">
        <v>235</v>
      </c>
      <c r="B68" s="109" t="s">
        <v>238</v>
      </c>
      <c r="C68" s="116"/>
    </row>
    <row r="69" spans="1:3" s="183" customFormat="1" ht="12" customHeight="1" thickBot="1" x14ac:dyDescent="0.25">
      <c r="A69" s="243" t="s">
        <v>399</v>
      </c>
      <c r="B69" s="18" t="s">
        <v>239</v>
      </c>
      <c r="C69" s="117">
        <f>+C11+C20+C27+C34+C41+C53+C59+C64</f>
        <v>0</v>
      </c>
    </row>
    <row r="70" spans="1:3" s="183" customFormat="1" ht="12" customHeight="1" thickBot="1" x14ac:dyDescent="0.25">
      <c r="A70" s="244" t="s">
        <v>240</v>
      </c>
      <c r="B70" s="107" t="s">
        <v>241</v>
      </c>
      <c r="C70" s="112">
        <f>SUM(C71:C73)</f>
        <v>0</v>
      </c>
    </row>
    <row r="71" spans="1:3" s="183" customFormat="1" ht="12" customHeight="1" x14ac:dyDescent="0.2">
      <c r="A71" s="12" t="s">
        <v>272</v>
      </c>
      <c r="B71" s="184" t="s">
        <v>242</v>
      </c>
      <c r="C71" s="116"/>
    </row>
    <row r="72" spans="1:3" s="183" customFormat="1" ht="12" customHeight="1" x14ac:dyDescent="0.2">
      <c r="A72" s="11" t="s">
        <v>281</v>
      </c>
      <c r="B72" s="185" t="s">
        <v>243</v>
      </c>
      <c r="C72" s="116"/>
    </row>
    <row r="73" spans="1:3" s="183" customFormat="1" ht="12" customHeight="1" thickBot="1" x14ac:dyDescent="0.25">
      <c r="A73" s="13" t="s">
        <v>282</v>
      </c>
      <c r="B73" s="245" t="s">
        <v>400</v>
      </c>
      <c r="C73" s="116"/>
    </row>
    <row r="74" spans="1:3" s="183" customFormat="1" ht="12" customHeight="1" thickBot="1" x14ac:dyDescent="0.25">
      <c r="A74" s="244" t="s">
        <v>245</v>
      </c>
      <c r="B74" s="107" t="s">
        <v>246</v>
      </c>
      <c r="C74" s="112">
        <f>SUM(C75:C78)</f>
        <v>0</v>
      </c>
    </row>
    <row r="75" spans="1:3" s="183" customFormat="1" ht="12" customHeight="1" x14ac:dyDescent="0.2">
      <c r="A75" s="12" t="s">
        <v>113</v>
      </c>
      <c r="B75" s="184" t="s">
        <v>247</v>
      </c>
      <c r="C75" s="116"/>
    </row>
    <row r="76" spans="1:3" s="183" customFormat="1" ht="12" customHeight="1" x14ac:dyDescent="0.2">
      <c r="A76" s="11" t="s">
        <v>114</v>
      </c>
      <c r="B76" s="185" t="s">
        <v>807</v>
      </c>
      <c r="C76" s="116"/>
    </row>
    <row r="77" spans="1:3" s="183" customFormat="1" ht="12" customHeight="1" x14ac:dyDescent="0.2">
      <c r="A77" s="11" t="s">
        <v>273</v>
      </c>
      <c r="B77" s="185" t="s">
        <v>249</v>
      </c>
      <c r="C77" s="116"/>
    </row>
    <row r="78" spans="1:3" s="183" customFormat="1" ht="12" customHeight="1" thickBot="1" x14ac:dyDescent="0.25">
      <c r="A78" s="13" t="s">
        <v>274</v>
      </c>
      <c r="B78" s="109" t="s">
        <v>808</v>
      </c>
      <c r="C78" s="116"/>
    </row>
    <row r="79" spans="1:3" s="183" customFormat="1" ht="12" customHeight="1" thickBot="1" x14ac:dyDescent="0.25">
      <c r="A79" s="244" t="s">
        <v>251</v>
      </c>
      <c r="B79" s="107" t="s">
        <v>252</v>
      </c>
      <c r="C79" s="112">
        <f>SUM(C80:C81)</f>
        <v>0</v>
      </c>
    </row>
    <row r="80" spans="1:3" s="183" customFormat="1" ht="12" customHeight="1" x14ac:dyDescent="0.2">
      <c r="A80" s="12" t="s">
        <v>275</v>
      </c>
      <c r="B80" s="184" t="s">
        <v>253</v>
      </c>
      <c r="C80" s="116"/>
    </row>
    <row r="81" spans="1:3" s="183" customFormat="1" ht="12" customHeight="1" thickBot="1" x14ac:dyDescent="0.25">
      <c r="A81" s="13" t="s">
        <v>276</v>
      </c>
      <c r="B81" s="109" t="s">
        <v>254</v>
      </c>
      <c r="C81" s="116"/>
    </row>
    <row r="82" spans="1:3" s="183" customFormat="1" ht="12" customHeight="1" thickBot="1" x14ac:dyDescent="0.25">
      <c r="A82" s="244" t="s">
        <v>255</v>
      </c>
      <c r="B82" s="107" t="s">
        <v>256</v>
      </c>
      <c r="C82" s="112">
        <f>SUM(C83:C85)</f>
        <v>0</v>
      </c>
    </row>
    <row r="83" spans="1:3" s="183" customFormat="1" ht="12" customHeight="1" x14ac:dyDescent="0.2">
      <c r="A83" s="12" t="s">
        <v>277</v>
      </c>
      <c r="B83" s="184" t="s">
        <v>257</v>
      </c>
      <c r="C83" s="116"/>
    </row>
    <row r="84" spans="1:3" s="183" customFormat="1" ht="12" customHeight="1" x14ac:dyDescent="0.2">
      <c r="A84" s="11" t="s">
        <v>278</v>
      </c>
      <c r="B84" s="185" t="s">
        <v>258</v>
      </c>
      <c r="C84" s="116"/>
    </row>
    <row r="85" spans="1:3" s="183" customFormat="1" ht="12" customHeight="1" thickBot="1" x14ac:dyDescent="0.25">
      <c r="A85" s="13" t="s">
        <v>279</v>
      </c>
      <c r="B85" s="109" t="s">
        <v>809</v>
      </c>
      <c r="C85" s="116"/>
    </row>
    <row r="86" spans="1:3" s="183" customFormat="1" ht="12" customHeight="1" thickBot="1" x14ac:dyDescent="0.25">
      <c r="A86" s="244" t="s">
        <v>260</v>
      </c>
      <c r="B86" s="107" t="s">
        <v>280</v>
      </c>
      <c r="C86" s="112">
        <f>SUM(C87:C90)</f>
        <v>0</v>
      </c>
    </row>
    <row r="87" spans="1:3" s="183" customFormat="1" ht="12" customHeight="1" x14ac:dyDescent="0.2">
      <c r="A87" s="188" t="s">
        <v>261</v>
      </c>
      <c r="B87" s="184" t="s">
        <v>262</v>
      </c>
      <c r="C87" s="116"/>
    </row>
    <row r="88" spans="1:3" s="183" customFormat="1" ht="12" customHeight="1" x14ac:dyDescent="0.2">
      <c r="A88" s="189" t="s">
        <v>263</v>
      </c>
      <c r="B88" s="185" t="s">
        <v>264</v>
      </c>
      <c r="C88" s="116"/>
    </row>
    <row r="89" spans="1:3" s="183" customFormat="1" ht="12" customHeight="1" x14ac:dyDescent="0.2">
      <c r="A89" s="189" t="s">
        <v>265</v>
      </c>
      <c r="B89" s="185" t="s">
        <v>266</v>
      </c>
      <c r="C89" s="116"/>
    </row>
    <row r="90" spans="1:3" s="183" customFormat="1" ht="12" customHeight="1" thickBot="1" x14ac:dyDescent="0.25">
      <c r="A90" s="190" t="s">
        <v>267</v>
      </c>
      <c r="B90" s="109" t="s">
        <v>268</v>
      </c>
      <c r="C90" s="116"/>
    </row>
    <row r="91" spans="1:3" s="183" customFormat="1" ht="12" customHeight="1" thickBot="1" x14ac:dyDescent="0.25">
      <c r="A91" s="244" t="s">
        <v>269</v>
      </c>
      <c r="B91" s="107" t="s">
        <v>401</v>
      </c>
      <c r="C91" s="223"/>
    </row>
    <row r="92" spans="1:3" s="183" customFormat="1" ht="13.5" customHeight="1" thickBot="1" x14ac:dyDescent="0.25">
      <c r="A92" s="244" t="s">
        <v>271</v>
      </c>
      <c r="B92" s="107" t="s">
        <v>270</v>
      </c>
      <c r="C92" s="223"/>
    </row>
    <row r="93" spans="1:3" s="183" customFormat="1" ht="15.75" customHeight="1" thickBot="1" x14ac:dyDescent="0.25">
      <c r="A93" s="244" t="s">
        <v>283</v>
      </c>
      <c r="B93" s="191" t="s">
        <v>402</v>
      </c>
      <c r="C93" s="117">
        <f>+C70+C74+C79+C82+C86+C92+C91</f>
        <v>0</v>
      </c>
    </row>
    <row r="94" spans="1:3" s="183" customFormat="1" ht="16.5" customHeight="1" thickBot="1" x14ac:dyDescent="0.25">
      <c r="A94" s="246" t="s">
        <v>403</v>
      </c>
      <c r="B94" s="192" t="s">
        <v>404</v>
      </c>
      <c r="C94" s="117">
        <f>+C69+C93</f>
        <v>0</v>
      </c>
    </row>
    <row r="95" spans="1:3" s="183" customFormat="1" ht="83.25" customHeight="1" x14ac:dyDescent="0.2">
      <c r="A95" s="2"/>
      <c r="B95" s="3"/>
      <c r="C95" s="118"/>
    </row>
    <row r="96" spans="1:3" ht="16.5" customHeight="1" x14ac:dyDescent="0.25">
      <c r="A96" s="1435" t="s">
        <v>44</v>
      </c>
      <c r="B96" s="1435"/>
      <c r="C96" s="1435"/>
    </row>
    <row r="97" spans="1:3" s="193" customFormat="1" ht="16.5" customHeight="1" thickBot="1" x14ac:dyDescent="0.3">
      <c r="A97" s="1436" t="s">
        <v>116</v>
      </c>
      <c r="B97" s="1436"/>
      <c r="C97" s="56" t="s">
        <v>494</v>
      </c>
    </row>
    <row r="98" spans="1:3" ht="38.1" customHeight="1" thickBot="1" x14ac:dyDescent="0.3">
      <c r="A98" s="20" t="s">
        <v>64</v>
      </c>
      <c r="B98" s="21" t="s">
        <v>45</v>
      </c>
      <c r="C98" s="29" t="str">
        <f>+C9</f>
        <v>2021. évi előirányzat</v>
      </c>
    </row>
    <row r="99" spans="1:3" s="182" customFormat="1" ht="12" customHeight="1" thickBot="1" x14ac:dyDescent="0.25">
      <c r="A99" s="25" t="s">
        <v>391</v>
      </c>
      <c r="B99" s="26" t="s">
        <v>392</v>
      </c>
      <c r="C99" s="27" t="s">
        <v>393</v>
      </c>
    </row>
    <row r="100" spans="1:3" ht="12" customHeight="1" thickBot="1" x14ac:dyDescent="0.3">
      <c r="A100" s="19" t="s">
        <v>16</v>
      </c>
      <c r="B100" s="23" t="s">
        <v>442</v>
      </c>
      <c r="C100" s="111">
        <f>C101+C102+C103+C104+C105+C118</f>
        <v>0</v>
      </c>
    </row>
    <row r="101" spans="1:3" ht="12" customHeight="1" x14ac:dyDescent="0.25">
      <c r="A101" s="14" t="s">
        <v>86</v>
      </c>
      <c r="B101" s="7" t="s">
        <v>46</v>
      </c>
      <c r="C101" s="261"/>
    </row>
    <row r="102" spans="1:3" ht="12" customHeight="1" x14ac:dyDescent="0.25">
      <c r="A102" s="11" t="s">
        <v>87</v>
      </c>
      <c r="B102" s="5" t="s">
        <v>135</v>
      </c>
      <c r="C102" s="116"/>
    </row>
    <row r="103" spans="1:3" ht="12" customHeight="1" x14ac:dyDescent="0.25">
      <c r="A103" s="11" t="s">
        <v>88</v>
      </c>
      <c r="B103" s="5" t="s">
        <v>111</v>
      </c>
      <c r="C103" s="173"/>
    </row>
    <row r="104" spans="1:3" ht="12" customHeight="1" x14ac:dyDescent="0.25">
      <c r="A104" s="11" t="s">
        <v>89</v>
      </c>
      <c r="B104" s="8" t="s">
        <v>136</v>
      </c>
      <c r="C104" s="173"/>
    </row>
    <row r="105" spans="1:3" ht="12" customHeight="1" x14ac:dyDescent="0.25">
      <c r="A105" s="11" t="s">
        <v>100</v>
      </c>
      <c r="B105" s="16" t="s">
        <v>137</v>
      </c>
      <c r="C105" s="116">
        <f>SUM(C106:C117)</f>
        <v>0</v>
      </c>
    </row>
    <row r="106" spans="1:3" ht="12" customHeight="1" x14ac:dyDescent="0.25">
      <c r="A106" s="11" t="s">
        <v>90</v>
      </c>
      <c r="B106" s="5" t="s">
        <v>405</v>
      </c>
      <c r="C106" s="259"/>
    </row>
    <row r="107" spans="1:3" ht="12" customHeight="1" x14ac:dyDescent="0.25">
      <c r="A107" s="11" t="s">
        <v>91</v>
      </c>
      <c r="B107" s="60" t="s">
        <v>406</v>
      </c>
      <c r="C107" s="259"/>
    </row>
    <row r="108" spans="1:3" ht="12" customHeight="1" x14ac:dyDescent="0.25">
      <c r="A108" s="11" t="s">
        <v>101</v>
      </c>
      <c r="B108" s="60" t="s">
        <v>407</v>
      </c>
      <c r="C108" s="259"/>
    </row>
    <row r="109" spans="1:3" ht="12" customHeight="1" x14ac:dyDescent="0.25">
      <c r="A109" s="11" t="s">
        <v>102</v>
      </c>
      <c r="B109" s="58" t="s">
        <v>286</v>
      </c>
      <c r="C109" s="259"/>
    </row>
    <row r="110" spans="1:3" ht="12" customHeight="1" x14ac:dyDescent="0.25">
      <c r="A110" s="11" t="s">
        <v>103</v>
      </c>
      <c r="B110" s="59" t="s">
        <v>287</v>
      </c>
      <c r="C110" s="259"/>
    </row>
    <row r="111" spans="1:3" ht="12" customHeight="1" x14ac:dyDescent="0.25">
      <c r="A111" s="11" t="s">
        <v>104</v>
      </c>
      <c r="B111" s="59" t="s">
        <v>288</v>
      </c>
      <c r="C111" s="259"/>
    </row>
    <row r="112" spans="1:3" ht="12" customHeight="1" x14ac:dyDescent="0.25">
      <c r="A112" s="11" t="s">
        <v>106</v>
      </c>
      <c r="B112" s="58" t="s">
        <v>289</v>
      </c>
      <c r="C112" s="259"/>
    </row>
    <row r="113" spans="1:3" ht="12" customHeight="1" x14ac:dyDescent="0.25">
      <c r="A113" s="11" t="s">
        <v>138</v>
      </c>
      <c r="B113" s="58" t="s">
        <v>290</v>
      </c>
      <c r="C113" s="259"/>
    </row>
    <row r="114" spans="1:3" ht="12" customHeight="1" x14ac:dyDescent="0.25">
      <c r="A114" s="11" t="s">
        <v>284</v>
      </c>
      <c r="B114" s="59" t="s">
        <v>291</v>
      </c>
      <c r="C114" s="259"/>
    </row>
    <row r="115" spans="1:3" ht="12" customHeight="1" x14ac:dyDescent="0.25">
      <c r="A115" s="10" t="s">
        <v>285</v>
      </c>
      <c r="B115" s="60" t="s">
        <v>292</v>
      </c>
      <c r="C115" s="259"/>
    </row>
    <row r="116" spans="1:3" ht="12" customHeight="1" x14ac:dyDescent="0.25">
      <c r="A116" s="11" t="s">
        <v>408</v>
      </c>
      <c r="B116" s="60" t="s">
        <v>293</v>
      </c>
      <c r="C116" s="259"/>
    </row>
    <row r="117" spans="1:3" ht="12" customHeight="1" x14ac:dyDescent="0.25">
      <c r="A117" s="13" t="s">
        <v>409</v>
      </c>
      <c r="B117" s="60" t="s">
        <v>294</v>
      </c>
      <c r="C117" s="256"/>
    </row>
    <row r="118" spans="1:3" ht="12" customHeight="1" x14ac:dyDescent="0.25">
      <c r="A118" s="11" t="s">
        <v>410</v>
      </c>
      <c r="B118" s="8" t="s">
        <v>47</v>
      </c>
      <c r="C118" s="116">
        <f>C119+C120</f>
        <v>0</v>
      </c>
    </row>
    <row r="119" spans="1:3" ht="12" customHeight="1" x14ac:dyDescent="0.25">
      <c r="A119" s="11" t="s">
        <v>411</v>
      </c>
      <c r="B119" s="5" t="s">
        <v>412</v>
      </c>
      <c r="C119" s="113"/>
    </row>
    <row r="120" spans="1:3" ht="12" customHeight="1" thickBot="1" x14ac:dyDescent="0.3">
      <c r="A120" s="15" t="s">
        <v>413</v>
      </c>
      <c r="B120" s="247" t="s">
        <v>414</v>
      </c>
      <c r="C120" s="119"/>
    </row>
    <row r="121" spans="1:3" ht="12" customHeight="1" thickBot="1" x14ac:dyDescent="0.3">
      <c r="A121" s="248" t="s">
        <v>17</v>
      </c>
      <c r="B121" s="249" t="s">
        <v>295</v>
      </c>
      <c r="C121" s="250">
        <f>+C122+C124+C126</f>
        <v>0</v>
      </c>
    </row>
    <row r="122" spans="1:3" ht="12" customHeight="1" x14ac:dyDescent="0.25">
      <c r="A122" s="12" t="s">
        <v>92</v>
      </c>
      <c r="B122" s="5" t="s">
        <v>159</v>
      </c>
      <c r="C122" s="222"/>
    </row>
    <row r="123" spans="1:3" ht="12" customHeight="1" x14ac:dyDescent="0.25">
      <c r="A123" s="12" t="s">
        <v>93</v>
      </c>
      <c r="B123" s="9" t="s">
        <v>299</v>
      </c>
      <c r="C123" s="222"/>
    </row>
    <row r="124" spans="1:3" ht="12" customHeight="1" x14ac:dyDescent="0.25">
      <c r="A124" s="12" t="s">
        <v>94</v>
      </c>
      <c r="B124" s="9" t="s">
        <v>139</v>
      </c>
      <c r="C124" s="116"/>
    </row>
    <row r="125" spans="1:3" ht="12" customHeight="1" x14ac:dyDescent="0.25">
      <c r="A125" s="12" t="s">
        <v>95</v>
      </c>
      <c r="B125" s="9" t="s">
        <v>300</v>
      </c>
      <c r="C125" s="256"/>
    </row>
    <row r="126" spans="1:3" ht="12" customHeight="1" x14ac:dyDescent="0.25">
      <c r="A126" s="12" t="s">
        <v>96</v>
      </c>
      <c r="B126" s="109" t="s">
        <v>161</v>
      </c>
      <c r="C126" s="256">
        <f>SUM(C127:C134)</f>
        <v>0</v>
      </c>
    </row>
    <row r="127" spans="1:3" ht="12" customHeight="1" x14ac:dyDescent="0.25">
      <c r="A127" s="12" t="s">
        <v>105</v>
      </c>
      <c r="B127" s="108" t="s">
        <v>360</v>
      </c>
      <c r="C127" s="256"/>
    </row>
    <row r="128" spans="1:3" ht="12" customHeight="1" x14ac:dyDescent="0.25">
      <c r="A128" s="12" t="s">
        <v>107</v>
      </c>
      <c r="B128" s="180" t="s">
        <v>305</v>
      </c>
      <c r="C128" s="256"/>
    </row>
    <row r="129" spans="1:3" x14ac:dyDescent="0.25">
      <c r="A129" s="12" t="s">
        <v>140</v>
      </c>
      <c r="B129" s="59" t="s">
        <v>288</v>
      </c>
      <c r="C129" s="256"/>
    </row>
    <row r="130" spans="1:3" ht="12" customHeight="1" x14ac:dyDescent="0.25">
      <c r="A130" s="12" t="s">
        <v>141</v>
      </c>
      <c r="B130" s="59" t="s">
        <v>304</v>
      </c>
      <c r="C130" s="256"/>
    </row>
    <row r="131" spans="1:3" ht="12" customHeight="1" x14ac:dyDescent="0.25">
      <c r="A131" s="12" t="s">
        <v>142</v>
      </c>
      <c r="B131" s="59" t="s">
        <v>303</v>
      </c>
      <c r="C131" s="256"/>
    </row>
    <row r="132" spans="1:3" ht="12" customHeight="1" x14ac:dyDescent="0.25">
      <c r="A132" s="12" t="s">
        <v>296</v>
      </c>
      <c r="B132" s="59" t="s">
        <v>291</v>
      </c>
      <c r="C132" s="256"/>
    </row>
    <row r="133" spans="1:3" ht="12" customHeight="1" x14ac:dyDescent="0.25">
      <c r="A133" s="12" t="s">
        <v>297</v>
      </c>
      <c r="B133" s="59" t="s">
        <v>302</v>
      </c>
      <c r="C133" s="256"/>
    </row>
    <row r="134" spans="1:3" ht="16.5" thickBot="1" x14ac:dyDescent="0.3">
      <c r="A134" s="10" t="s">
        <v>298</v>
      </c>
      <c r="B134" s="59" t="s">
        <v>301</v>
      </c>
      <c r="C134" s="259"/>
    </row>
    <row r="135" spans="1:3" ht="12" customHeight="1" thickBot="1" x14ac:dyDescent="0.3">
      <c r="A135" s="17" t="s">
        <v>18</v>
      </c>
      <c r="B135" s="54" t="s">
        <v>415</v>
      </c>
      <c r="C135" s="112">
        <f>+C100+C121</f>
        <v>0</v>
      </c>
    </row>
    <row r="136" spans="1:3" ht="12" customHeight="1" thickBot="1" x14ac:dyDescent="0.3">
      <c r="A136" s="17" t="s">
        <v>19</v>
      </c>
      <c r="B136" s="54" t="s">
        <v>416</v>
      </c>
      <c r="C136" s="112">
        <f>+C137+C138+C139</f>
        <v>0</v>
      </c>
    </row>
    <row r="137" spans="1:3" ht="12" customHeight="1" x14ac:dyDescent="0.25">
      <c r="A137" s="12" t="s">
        <v>197</v>
      </c>
      <c r="B137" s="9" t="s">
        <v>417</v>
      </c>
      <c r="C137" s="101"/>
    </row>
    <row r="138" spans="1:3" ht="12" customHeight="1" x14ac:dyDescent="0.25">
      <c r="A138" s="12" t="s">
        <v>200</v>
      </c>
      <c r="B138" s="9" t="s">
        <v>418</v>
      </c>
      <c r="C138" s="101"/>
    </row>
    <row r="139" spans="1:3" ht="12" customHeight="1" thickBot="1" x14ac:dyDescent="0.3">
      <c r="A139" s="10" t="s">
        <v>201</v>
      </c>
      <c r="B139" s="9" t="s">
        <v>419</v>
      </c>
      <c r="C139" s="101"/>
    </row>
    <row r="140" spans="1:3" ht="12" customHeight="1" thickBot="1" x14ac:dyDescent="0.3">
      <c r="A140" s="17" t="s">
        <v>20</v>
      </c>
      <c r="B140" s="54" t="s">
        <v>420</v>
      </c>
      <c r="C140" s="112">
        <f>SUM(C141:C146)</f>
        <v>0</v>
      </c>
    </row>
    <row r="141" spans="1:3" ht="12" customHeight="1" x14ac:dyDescent="0.25">
      <c r="A141" s="12" t="s">
        <v>79</v>
      </c>
      <c r="B141" s="6" t="s">
        <v>421</v>
      </c>
      <c r="C141" s="101"/>
    </row>
    <row r="142" spans="1:3" ht="12" customHeight="1" x14ac:dyDescent="0.25">
      <c r="A142" s="12" t="s">
        <v>80</v>
      </c>
      <c r="B142" s="6" t="s">
        <v>422</v>
      </c>
      <c r="C142" s="101"/>
    </row>
    <row r="143" spans="1:3" ht="12" customHeight="1" x14ac:dyDescent="0.25">
      <c r="A143" s="12" t="s">
        <v>81</v>
      </c>
      <c r="B143" s="6" t="s">
        <v>423</v>
      </c>
      <c r="C143" s="101"/>
    </row>
    <row r="144" spans="1:3" ht="12" customHeight="1" x14ac:dyDescent="0.25">
      <c r="A144" s="12" t="s">
        <v>127</v>
      </c>
      <c r="B144" s="6" t="s">
        <v>424</v>
      </c>
      <c r="C144" s="101"/>
    </row>
    <row r="145" spans="1:6" ht="12" customHeight="1" x14ac:dyDescent="0.25">
      <c r="A145" s="12" t="s">
        <v>128</v>
      </c>
      <c r="B145" s="6" t="s">
        <v>425</v>
      </c>
      <c r="C145" s="101"/>
    </row>
    <row r="146" spans="1:6" ht="12" customHeight="1" thickBot="1" x14ac:dyDescent="0.3">
      <c r="A146" s="10" t="s">
        <v>129</v>
      </c>
      <c r="B146" s="6" t="s">
        <v>426</v>
      </c>
      <c r="C146" s="101"/>
    </row>
    <row r="147" spans="1:6" ht="12" customHeight="1" thickBot="1" x14ac:dyDescent="0.3">
      <c r="A147" s="17" t="s">
        <v>21</v>
      </c>
      <c r="B147" s="54" t="s">
        <v>427</v>
      </c>
      <c r="C147" s="117">
        <f>+C148+C149+C150+C151</f>
        <v>0</v>
      </c>
    </row>
    <row r="148" spans="1:6" ht="12" customHeight="1" x14ac:dyDescent="0.25">
      <c r="A148" s="12" t="s">
        <v>82</v>
      </c>
      <c r="B148" s="6" t="s">
        <v>306</v>
      </c>
      <c r="C148" s="101"/>
    </row>
    <row r="149" spans="1:6" ht="12" customHeight="1" x14ac:dyDescent="0.25">
      <c r="A149" s="12" t="s">
        <v>83</v>
      </c>
      <c r="B149" s="6" t="s">
        <v>307</v>
      </c>
      <c r="C149" s="101"/>
    </row>
    <row r="150" spans="1:6" ht="12" customHeight="1" x14ac:dyDescent="0.25">
      <c r="A150" s="12" t="s">
        <v>220</v>
      </c>
      <c r="B150" s="6" t="s">
        <v>428</v>
      </c>
      <c r="C150" s="101"/>
    </row>
    <row r="151" spans="1:6" ht="12" customHeight="1" thickBot="1" x14ac:dyDescent="0.3">
      <c r="A151" s="10" t="s">
        <v>221</v>
      </c>
      <c r="B151" s="4" t="s">
        <v>325</v>
      </c>
      <c r="C151" s="101"/>
    </row>
    <row r="152" spans="1:6" ht="12" customHeight="1" thickBot="1" x14ac:dyDescent="0.3">
      <c r="A152" s="17" t="s">
        <v>22</v>
      </c>
      <c r="B152" s="54" t="s">
        <v>429</v>
      </c>
      <c r="C152" s="120">
        <f>SUM(C153:C157)</f>
        <v>0</v>
      </c>
    </row>
    <row r="153" spans="1:6" ht="12" customHeight="1" x14ac:dyDescent="0.25">
      <c r="A153" s="12" t="s">
        <v>84</v>
      </c>
      <c r="B153" s="6" t="s">
        <v>430</v>
      </c>
      <c r="C153" s="101"/>
    </row>
    <row r="154" spans="1:6" ht="12" customHeight="1" x14ac:dyDescent="0.25">
      <c r="A154" s="12" t="s">
        <v>85</v>
      </c>
      <c r="B154" s="6" t="s">
        <v>431</v>
      </c>
      <c r="C154" s="101"/>
    </row>
    <row r="155" spans="1:6" ht="12" customHeight="1" x14ac:dyDescent="0.25">
      <c r="A155" s="12" t="s">
        <v>232</v>
      </c>
      <c r="B155" s="6" t="s">
        <v>432</v>
      </c>
      <c r="C155" s="101"/>
    </row>
    <row r="156" spans="1:6" ht="12" customHeight="1" x14ac:dyDescent="0.25">
      <c r="A156" s="12" t="s">
        <v>233</v>
      </c>
      <c r="B156" s="6" t="s">
        <v>433</v>
      </c>
      <c r="C156" s="101"/>
    </row>
    <row r="157" spans="1:6" ht="12" customHeight="1" thickBot="1" x14ac:dyDescent="0.3">
      <c r="A157" s="12" t="s">
        <v>434</v>
      </c>
      <c r="B157" s="6" t="s">
        <v>435</v>
      </c>
      <c r="C157" s="101"/>
    </row>
    <row r="158" spans="1:6" ht="12" customHeight="1" thickBot="1" x14ac:dyDescent="0.3">
      <c r="A158" s="17" t="s">
        <v>23</v>
      </c>
      <c r="B158" s="54" t="s">
        <v>436</v>
      </c>
      <c r="C158" s="251"/>
    </row>
    <row r="159" spans="1:6" ht="12" customHeight="1" thickBot="1" x14ac:dyDescent="0.3">
      <c r="A159" s="17" t="s">
        <v>24</v>
      </c>
      <c r="B159" s="54" t="s">
        <v>437</v>
      </c>
      <c r="C159" s="251"/>
    </row>
    <row r="160" spans="1:6" ht="15" customHeight="1" thickBot="1" x14ac:dyDescent="0.3">
      <c r="A160" s="17" t="s">
        <v>25</v>
      </c>
      <c r="B160" s="54" t="s">
        <v>438</v>
      </c>
      <c r="C160" s="194">
        <f>+C136+C140+C147+C152+C158+C159</f>
        <v>0</v>
      </c>
      <c r="D160" s="195"/>
      <c r="E160" s="195"/>
      <c r="F160" s="195"/>
    </row>
    <row r="161" spans="1:3" s="183" customFormat="1" ht="12.95" customHeight="1" thickBot="1" x14ac:dyDescent="0.25">
      <c r="A161" s="110" t="s">
        <v>26</v>
      </c>
      <c r="B161" s="169" t="s">
        <v>439</v>
      </c>
      <c r="C161" s="194">
        <f>+C135+C160</f>
        <v>0</v>
      </c>
    </row>
    <row r="162" spans="1:3" ht="7.5" customHeight="1" x14ac:dyDescent="0.25"/>
    <row r="163" spans="1:3" x14ac:dyDescent="0.25">
      <c r="A163" s="1431" t="s">
        <v>308</v>
      </c>
      <c r="B163" s="1431"/>
      <c r="C163" s="1431"/>
    </row>
    <row r="164" spans="1:3" ht="15" customHeight="1" thickBot="1" x14ac:dyDescent="0.3">
      <c r="A164" s="1434" t="s">
        <v>117</v>
      </c>
      <c r="B164" s="1434"/>
      <c r="C164" s="121" t="s">
        <v>494</v>
      </c>
    </row>
    <row r="165" spans="1:3" ht="13.5" customHeight="1" thickBot="1" x14ac:dyDescent="0.3">
      <c r="A165" s="17">
        <v>1</v>
      </c>
      <c r="B165" s="22" t="s">
        <v>440</v>
      </c>
      <c r="C165" s="112">
        <f>+C69-C135</f>
        <v>0</v>
      </c>
    </row>
    <row r="166" spans="1:3" ht="32.25" customHeight="1" thickBot="1" x14ac:dyDescent="0.3">
      <c r="A166" s="17" t="s">
        <v>17</v>
      </c>
      <c r="B166" s="22" t="s">
        <v>441</v>
      </c>
      <c r="C166" s="112">
        <f>+C93-C160</f>
        <v>0</v>
      </c>
    </row>
  </sheetData>
  <mergeCells count="10">
    <mergeCell ref="A1:C1"/>
    <mergeCell ref="A3:C3"/>
    <mergeCell ref="A4:C4"/>
    <mergeCell ref="A5:C5"/>
    <mergeCell ref="A164:B164"/>
    <mergeCell ref="A7:C7"/>
    <mergeCell ref="A8:B8"/>
    <mergeCell ref="A96:C96"/>
    <mergeCell ref="A97:B97"/>
    <mergeCell ref="A163:C163"/>
  </mergeCells>
  <printOptions horizontalCentered="1"/>
  <pageMargins left="0.6692913385826772" right="0.6692913385826772" top="0.86614173228346458" bottom="0.86614173228346458" header="0" footer="0"/>
  <pageSetup paperSize="9" scale="74" fitToHeight="2" orientation="portrait" r:id="rId1"/>
  <headerFooter alignWithMargins="0"/>
  <rowBreaks count="2" manualBreakCount="2">
    <brk id="73" max="2" man="1"/>
    <brk id="95" max="2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7">
    <pageSetUpPr fitToPage="1"/>
  </sheetPr>
  <dimension ref="A1:F34"/>
  <sheetViews>
    <sheetView zoomScale="115" zoomScaleNormal="115" zoomScaleSheetLayoutView="100" workbookViewId="0">
      <selection activeCell="G33" sqref="G33"/>
    </sheetView>
  </sheetViews>
  <sheetFormatPr defaultRowHeight="12.75" x14ac:dyDescent="0.2"/>
  <cols>
    <col min="1" max="1" width="6.83203125" style="31" customWidth="1"/>
    <col min="2" max="2" width="55.1640625" style="69" customWidth="1"/>
    <col min="3" max="3" width="16" style="31" bestFit="1" customWidth="1"/>
    <col min="4" max="4" width="55.1640625" style="31" customWidth="1"/>
    <col min="5" max="5" width="16.33203125" style="31" customWidth="1"/>
    <col min="6" max="6" width="4.83203125" style="31" customWidth="1"/>
    <col min="7" max="9" width="9.33203125" style="31" customWidth="1"/>
    <col min="10" max="16384" width="9.33203125" style="31"/>
  </cols>
  <sheetData>
    <row r="1" spans="1:6" ht="39.75" customHeight="1" thickBot="1" x14ac:dyDescent="0.25">
      <c r="A1" s="1442" t="s">
        <v>120</v>
      </c>
      <c r="B1" s="1442"/>
      <c r="C1" s="1442"/>
      <c r="D1" s="1442"/>
      <c r="E1" s="1442"/>
      <c r="F1" s="1438" t="str">
        <f>CONCATENATE("4. melléklet ",ALAPADATOK!A7," ",ALAPADATOK!B7," ",ALAPADATOK!C7," ",ALAPADATOK!D7," ",ALAPADATOK!E7," ",ALAPADATOK!F7," ",ALAPADATOK!G7," ",ALAPADATOK!H7)</f>
        <v>4. melléklet a 19 / 2021. ( XI.29. ) önkormányzati rendelethez</v>
      </c>
    </row>
    <row r="2" spans="1:6" s="676" customFormat="1" ht="39.75" hidden="1" customHeight="1" thickBot="1" x14ac:dyDescent="0.25">
      <c r="A2" s="1303"/>
      <c r="B2" s="1298"/>
      <c r="C2" s="1298"/>
      <c r="D2" s="1298"/>
      <c r="E2" s="1298"/>
      <c r="F2" s="1438"/>
    </row>
    <row r="3" spans="1:6" ht="18" customHeight="1" thickBot="1" x14ac:dyDescent="0.25">
      <c r="A3" s="1439" t="s">
        <v>64</v>
      </c>
      <c r="B3" s="511" t="s">
        <v>52</v>
      </c>
      <c r="C3" s="512"/>
      <c r="D3" s="511" t="s">
        <v>53</v>
      </c>
      <c r="E3" s="513"/>
      <c r="F3" s="1438"/>
    </row>
    <row r="4" spans="1:6" s="128" customFormat="1" ht="35.25" customHeight="1" thickBot="1" x14ac:dyDescent="0.25">
      <c r="A4" s="1440"/>
      <c r="B4" s="514" t="s">
        <v>58</v>
      </c>
      <c r="C4" s="515" t="s">
        <v>798</v>
      </c>
      <c r="D4" s="514" t="s">
        <v>58</v>
      </c>
      <c r="E4" s="516" t="str">
        <f>+C4</f>
        <v>2021.évi előirányzat</v>
      </c>
      <c r="F4" s="1438"/>
    </row>
    <row r="5" spans="1:6" s="133" customFormat="1" ht="12" customHeight="1" thickBot="1" x14ac:dyDescent="0.25">
      <c r="A5" s="129" t="s">
        <v>391</v>
      </c>
      <c r="B5" s="130" t="s">
        <v>392</v>
      </c>
      <c r="C5" s="131" t="s">
        <v>393</v>
      </c>
      <c r="D5" s="130" t="s">
        <v>443</v>
      </c>
      <c r="E5" s="132" t="s">
        <v>444</v>
      </c>
      <c r="F5" s="1438"/>
    </row>
    <row r="6" spans="1:6" ht="12.95" customHeight="1" x14ac:dyDescent="0.2">
      <c r="A6" s="517" t="s">
        <v>16</v>
      </c>
      <c r="B6" s="150" t="s">
        <v>309</v>
      </c>
      <c r="C6" s="500">
        <f>'1.1.sz.mell. '!C11</f>
        <v>1652495968</v>
      </c>
      <c r="D6" s="150" t="s">
        <v>59</v>
      </c>
      <c r="E6" s="34">
        <f>'1.1.sz.mell. '!C100</f>
        <v>1262842511</v>
      </c>
      <c r="F6" s="1438"/>
    </row>
    <row r="7" spans="1:6" ht="12.95" customHeight="1" x14ac:dyDescent="0.2">
      <c r="A7" s="518" t="s">
        <v>17</v>
      </c>
      <c r="B7" s="140" t="s">
        <v>310</v>
      </c>
      <c r="C7" s="35">
        <f>'1.1.sz.mell. '!C20</f>
        <v>358216768</v>
      </c>
      <c r="D7" s="140" t="s">
        <v>135</v>
      </c>
      <c r="E7" s="34">
        <f>'1.1.sz.mell. '!C101</f>
        <v>213754567</v>
      </c>
      <c r="F7" s="1438"/>
    </row>
    <row r="8" spans="1:6" ht="12.95" customHeight="1" x14ac:dyDescent="0.2">
      <c r="A8" s="518" t="s">
        <v>18</v>
      </c>
      <c r="B8" s="140" t="s">
        <v>330</v>
      </c>
      <c r="C8" s="35">
        <f>'1.1.sz.mell. '!C26</f>
        <v>131495850</v>
      </c>
      <c r="D8" s="140" t="s">
        <v>164</v>
      </c>
      <c r="E8" s="34">
        <f>'1.1.sz.mell. '!C102</f>
        <v>1183379085</v>
      </c>
      <c r="F8" s="1438"/>
    </row>
    <row r="9" spans="1:6" ht="12.95" customHeight="1" x14ac:dyDescent="0.2">
      <c r="A9" s="518" t="s">
        <v>19</v>
      </c>
      <c r="B9" s="140" t="s">
        <v>126</v>
      </c>
      <c r="C9" s="35">
        <f>'1.1.sz.mell. '!C34</f>
        <v>398600000</v>
      </c>
      <c r="D9" s="140" t="s">
        <v>136</v>
      </c>
      <c r="E9" s="36">
        <f>'1.1.sz.mell. '!C103</f>
        <v>53500000</v>
      </c>
      <c r="F9" s="1438"/>
    </row>
    <row r="10" spans="1:6" ht="12.95" customHeight="1" x14ac:dyDescent="0.2">
      <c r="A10" s="518" t="s">
        <v>20</v>
      </c>
      <c r="B10" s="519" t="s">
        <v>353</v>
      </c>
      <c r="C10" s="35">
        <f>'1.1.sz.mell. '!C41</f>
        <v>367517639</v>
      </c>
      <c r="D10" s="140" t="s">
        <v>137</v>
      </c>
      <c r="E10" s="36">
        <f>'1.1.sz.mell. '!C104</f>
        <v>252838130</v>
      </c>
      <c r="F10" s="1438"/>
    </row>
    <row r="11" spans="1:6" ht="12.95" customHeight="1" x14ac:dyDescent="0.2">
      <c r="A11" s="518" t="s">
        <v>21</v>
      </c>
      <c r="B11" s="140" t="s">
        <v>311</v>
      </c>
      <c r="C11" s="262">
        <f>'1.1.sz.mell. '!C59</f>
        <v>11607028</v>
      </c>
      <c r="D11" s="140" t="s">
        <v>47</v>
      </c>
      <c r="E11" s="854">
        <f>'1.1.sz.mell. '!C117-'2.2.sz.mell .'!E17</f>
        <v>6951906</v>
      </c>
      <c r="F11" s="1438"/>
    </row>
    <row r="12" spans="1:6" ht="12.95" customHeight="1" x14ac:dyDescent="0.2">
      <c r="A12" s="518" t="s">
        <v>22</v>
      </c>
      <c r="B12" s="140" t="s">
        <v>445</v>
      </c>
      <c r="C12" s="35">
        <f>'1.1.sz.mell. '!C63</f>
        <v>0</v>
      </c>
      <c r="D12" s="287"/>
      <c r="E12" s="36"/>
      <c r="F12" s="1438"/>
    </row>
    <row r="13" spans="1:6" ht="12.95" customHeight="1" x14ac:dyDescent="0.2">
      <c r="A13" s="518" t="s">
        <v>23</v>
      </c>
      <c r="B13" s="287">
        <v>769794</v>
      </c>
      <c r="C13" s="35"/>
      <c r="D13" s="287"/>
      <c r="E13" s="36"/>
      <c r="F13" s="1438"/>
    </row>
    <row r="14" spans="1:6" ht="12.95" customHeight="1" x14ac:dyDescent="0.2">
      <c r="A14" s="518" t="s">
        <v>24</v>
      </c>
      <c r="B14" s="196"/>
      <c r="C14" s="262"/>
      <c r="D14" s="287"/>
      <c r="E14" s="36"/>
      <c r="F14" s="1438"/>
    </row>
    <row r="15" spans="1:6" ht="12.95" customHeight="1" x14ac:dyDescent="0.2">
      <c r="A15" s="518" t="s">
        <v>25</v>
      </c>
      <c r="B15" s="287"/>
      <c r="C15" s="35"/>
      <c r="D15" s="287"/>
      <c r="E15" s="36"/>
      <c r="F15" s="1438"/>
    </row>
    <row r="16" spans="1:6" ht="12.95" customHeight="1" x14ac:dyDescent="0.2">
      <c r="A16" s="518" t="s">
        <v>26</v>
      </c>
      <c r="B16" s="287"/>
      <c r="C16" s="35"/>
      <c r="D16" s="287"/>
      <c r="E16" s="36"/>
      <c r="F16" s="1438"/>
    </row>
    <row r="17" spans="1:6" ht="12.95" customHeight="1" thickBot="1" x14ac:dyDescent="0.25">
      <c r="A17" s="518" t="s">
        <v>27</v>
      </c>
      <c r="B17" s="520"/>
      <c r="C17" s="380"/>
      <c r="D17" s="287"/>
      <c r="E17" s="414"/>
      <c r="F17" s="1438"/>
    </row>
    <row r="18" spans="1:6" ht="15.95" customHeight="1" thickBot="1" x14ac:dyDescent="0.25">
      <c r="A18" s="138" t="s">
        <v>28</v>
      </c>
      <c r="B18" s="55" t="s">
        <v>446</v>
      </c>
      <c r="C18" s="122">
        <f>SUM(C6:C17)-C8</f>
        <v>2788437403</v>
      </c>
      <c r="D18" s="55" t="s">
        <v>316</v>
      </c>
      <c r="E18" s="126">
        <f>SUM(E6:E17)</f>
        <v>2973266199</v>
      </c>
      <c r="F18" s="1438"/>
    </row>
    <row r="19" spans="1:6" ht="12.95" customHeight="1" x14ac:dyDescent="0.2">
      <c r="A19" s="521" t="s">
        <v>29</v>
      </c>
      <c r="B19" s="139" t="s">
        <v>313</v>
      </c>
      <c r="C19" s="225">
        <f>SUM(C20:C23)</f>
        <v>46860776</v>
      </c>
      <c r="D19" s="140" t="s">
        <v>143</v>
      </c>
      <c r="E19" s="127"/>
      <c r="F19" s="1438"/>
    </row>
    <row r="20" spans="1:6" ht="12.95" customHeight="1" x14ac:dyDescent="0.2">
      <c r="A20" s="518" t="s">
        <v>30</v>
      </c>
      <c r="B20" s="140" t="s">
        <v>157</v>
      </c>
      <c r="C20" s="35">
        <f>'1.1.sz.mell. '!C80-'2.2.sz.mell .'!C20</f>
        <v>46860776</v>
      </c>
      <c r="D20" s="140" t="s">
        <v>315</v>
      </c>
      <c r="E20" s="36">
        <f>'1.1.sz.mell. '!C137</f>
        <v>850000000</v>
      </c>
      <c r="F20" s="1438"/>
    </row>
    <row r="21" spans="1:6" ht="12.95" customHeight="1" x14ac:dyDescent="0.2">
      <c r="A21" s="518" t="s">
        <v>31</v>
      </c>
      <c r="B21" s="140" t="s">
        <v>158</v>
      </c>
      <c r="C21" s="35"/>
      <c r="D21" s="140" t="s">
        <v>118</v>
      </c>
      <c r="E21" s="36"/>
      <c r="F21" s="1438"/>
    </row>
    <row r="22" spans="1:6" ht="12.95" customHeight="1" x14ac:dyDescent="0.2">
      <c r="A22" s="518" t="s">
        <v>32</v>
      </c>
      <c r="B22" s="140" t="s">
        <v>162</v>
      </c>
      <c r="C22" s="35"/>
      <c r="D22" s="140" t="s">
        <v>119</v>
      </c>
      <c r="E22" s="36"/>
      <c r="F22" s="1438"/>
    </row>
    <row r="23" spans="1:6" ht="12.95" customHeight="1" x14ac:dyDescent="0.2">
      <c r="A23" s="518" t="s">
        <v>33</v>
      </c>
      <c r="B23" s="140" t="s">
        <v>163</v>
      </c>
      <c r="C23" s="35"/>
      <c r="D23" s="139" t="s">
        <v>165</v>
      </c>
      <c r="E23" s="36"/>
      <c r="F23" s="1438"/>
    </row>
    <row r="24" spans="1:6" ht="12.95" customHeight="1" x14ac:dyDescent="0.2">
      <c r="A24" s="518" t="s">
        <v>34</v>
      </c>
      <c r="B24" s="140" t="s">
        <v>314</v>
      </c>
      <c r="C24" s="141">
        <f>SUM(C25:C26)</f>
        <v>850000000</v>
      </c>
      <c r="D24" s="140" t="s">
        <v>144</v>
      </c>
      <c r="E24" s="36"/>
      <c r="F24" s="1438"/>
    </row>
    <row r="25" spans="1:6" ht="12.95" customHeight="1" x14ac:dyDescent="0.2">
      <c r="A25" s="521" t="s">
        <v>35</v>
      </c>
      <c r="B25" s="139" t="s">
        <v>312</v>
      </c>
      <c r="C25" s="123">
        <f>'1.1.sz.mell. '!C72</f>
        <v>850000000</v>
      </c>
      <c r="D25" s="150" t="s">
        <v>428</v>
      </c>
      <c r="E25" s="127"/>
      <c r="F25" s="1438"/>
    </row>
    <row r="26" spans="1:6" ht="12.95" customHeight="1" x14ac:dyDescent="0.2">
      <c r="A26" s="518" t="s">
        <v>36</v>
      </c>
      <c r="B26" s="140" t="s">
        <v>447</v>
      </c>
      <c r="C26" s="35"/>
      <c r="D26" s="140" t="s">
        <v>436</v>
      </c>
      <c r="E26" s="36"/>
      <c r="F26" s="1438"/>
    </row>
    <row r="27" spans="1:6" ht="12.95" customHeight="1" x14ac:dyDescent="0.2">
      <c r="A27" s="518" t="s">
        <v>37</v>
      </c>
      <c r="B27" s="847" t="s">
        <v>257</v>
      </c>
      <c r="C27" s="35">
        <f>'1.1.sz.mell. '!C83</f>
        <v>48966750</v>
      </c>
      <c r="D27" s="140" t="s">
        <v>437</v>
      </c>
      <c r="E27" s="36"/>
      <c r="F27" s="1438"/>
    </row>
    <row r="28" spans="1:6" ht="12.95" customHeight="1" thickBot="1" x14ac:dyDescent="0.25">
      <c r="A28" s="521" t="s">
        <v>38</v>
      </c>
      <c r="B28" s="139" t="s">
        <v>270</v>
      </c>
      <c r="C28" s="123"/>
      <c r="D28" s="522" t="s">
        <v>487</v>
      </c>
      <c r="E28" s="127">
        <f>'1.1.sz.mell. '!C148</f>
        <v>48966750</v>
      </c>
      <c r="F28" s="1438"/>
    </row>
    <row r="29" spans="1:6" ht="21.75" customHeight="1" thickBot="1" x14ac:dyDescent="0.25">
      <c r="A29" s="138" t="s">
        <v>39</v>
      </c>
      <c r="B29" s="55" t="s">
        <v>448</v>
      </c>
      <c r="C29" s="122">
        <f>+C19+C24+C27+C28</f>
        <v>945827526</v>
      </c>
      <c r="D29" s="55" t="s">
        <v>449</v>
      </c>
      <c r="E29" s="126">
        <f>SUM(E19:E28)</f>
        <v>898966750</v>
      </c>
      <c r="F29" s="1438"/>
    </row>
    <row r="30" spans="1:6" ht="13.5" thickBot="1" x14ac:dyDescent="0.25">
      <c r="A30" s="138" t="s">
        <v>40</v>
      </c>
      <c r="B30" s="142" t="s">
        <v>450</v>
      </c>
      <c r="C30" s="292">
        <f>+C18+C29</f>
        <v>3734264929</v>
      </c>
      <c r="D30" s="142" t="s">
        <v>451</v>
      </c>
      <c r="E30" s="292">
        <f>E29+E18</f>
        <v>3872232949</v>
      </c>
      <c r="F30" s="1438"/>
    </row>
    <row r="31" spans="1:6" ht="13.5" thickBot="1" x14ac:dyDescent="0.25">
      <c r="A31" s="138" t="s">
        <v>41</v>
      </c>
      <c r="B31" s="142" t="s">
        <v>121</v>
      </c>
      <c r="C31" s="292">
        <f>IF(C18-E18&lt;0,E18-C18,"-")</f>
        <v>184828796</v>
      </c>
      <c r="D31" s="142" t="s">
        <v>122</v>
      </c>
      <c r="E31" s="292" t="str">
        <f>IF(C18-E18&gt;0,C18-E18,"-")</f>
        <v>-</v>
      </c>
      <c r="F31" s="1438"/>
    </row>
    <row r="32" spans="1:6" s="676" customFormat="1" ht="13.5" thickBot="1" x14ac:dyDescent="0.25">
      <c r="A32" s="138" t="s">
        <v>42</v>
      </c>
      <c r="B32" s="142" t="s">
        <v>777</v>
      </c>
      <c r="C32" s="292" t="str">
        <f>IF(C29-E29&lt;0,E29-C29,"-")</f>
        <v>-</v>
      </c>
      <c r="D32" s="142" t="s">
        <v>778</v>
      </c>
      <c r="E32" s="292">
        <f>IF(C29-E29&gt;0,C29-E29,"-")</f>
        <v>46860776</v>
      </c>
      <c r="F32" s="1438"/>
    </row>
    <row r="33" spans="1:6" ht="13.5" thickBot="1" x14ac:dyDescent="0.25">
      <c r="A33" s="138" t="s">
        <v>43</v>
      </c>
      <c r="B33" s="142" t="s">
        <v>166</v>
      </c>
      <c r="C33" s="143">
        <f>IF(C30-E30&lt;0,E30-C30,"-")</f>
        <v>137968020</v>
      </c>
      <c r="D33" s="142" t="s">
        <v>167</v>
      </c>
      <c r="E33" s="292" t="str">
        <f>IF(C30-E30&gt;0,C30-E30,"-")</f>
        <v>-</v>
      </c>
      <c r="F33" s="1438"/>
    </row>
    <row r="34" spans="1:6" ht="18.75" x14ac:dyDescent="0.2">
      <c r="B34" s="1441"/>
      <c r="C34" s="1441"/>
      <c r="D34" s="1441"/>
    </row>
  </sheetData>
  <mergeCells count="4">
    <mergeCell ref="F1:F33"/>
    <mergeCell ref="A3:A4"/>
    <mergeCell ref="B34:D34"/>
    <mergeCell ref="A1:E1"/>
  </mergeCells>
  <printOptions horizontalCentered="1"/>
  <pageMargins left="0.7" right="0.7" top="0.75" bottom="0.75" header="0.3" footer="0.3"/>
  <pageSetup paperSize="9" scale="95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9">
    <pageSetUpPr fitToPage="1"/>
  </sheetPr>
  <dimension ref="A1:F41"/>
  <sheetViews>
    <sheetView zoomScaleSheetLayoutView="115" workbookViewId="0">
      <selection activeCell="E17" sqref="E17"/>
    </sheetView>
  </sheetViews>
  <sheetFormatPr defaultRowHeight="12.75" x14ac:dyDescent="0.2"/>
  <cols>
    <col min="1" max="1" width="6.83203125" style="31" customWidth="1"/>
    <col min="2" max="2" width="55.1640625" style="69" customWidth="1"/>
    <col min="3" max="3" width="16.33203125" style="31" customWidth="1"/>
    <col min="4" max="4" width="55.1640625" style="31" customWidth="1"/>
    <col min="5" max="5" width="16.33203125" style="31" customWidth="1"/>
    <col min="6" max="6" width="4.83203125" style="31" customWidth="1"/>
    <col min="7" max="9" width="9.33203125" style="31" customWidth="1"/>
    <col min="10" max="16384" width="9.33203125" style="31"/>
  </cols>
  <sheetData>
    <row r="1" spans="1:6" s="676" customFormat="1" x14ac:dyDescent="0.2">
      <c r="B1" s="69"/>
    </row>
    <row r="2" spans="1:6" ht="37.5" customHeight="1" thickBot="1" x14ac:dyDescent="0.25">
      <c r="A2" s="1443" t="s">
        <v>511</v>
      </c>
      <c r="B2" s="1443"/>
      <c r="C2" s="1443"/>
      <c r="D2" s="1443"/>
      <c r="E2" s="1443"/>
      <c r="F2" s="1438" t="str">
        <f>CONCATENATE("5. melléklet ",ALAPADATOK!A7," ",ALAPADATOK!B7," ",ALAPADATOK!C7," ",ALAPADATOK!D7," ",ALAPADATOK!E7," ",ALAPADATOK!F7," ",ALAPADATOK!G7," ",ALAPADATOK!H7)</f>
        <v>5. melléklet a 19 / 2021. ( XI.29. ) önkormányzati rendelethez</v>
      </c>
    </row>
    <row r="3" spans="1:6" s="676" customFormat="1" ht="37.5" hidden="1" customHeight="1" thickBot="1" x14ac:dyDescent="0.25">
      <c r="A3" s="1363"/>
      <c r="B3" s="1308"/>
      <c r="C3" s="1308"/>
      <c r="D3" s="1308"/>
      <c r="E3" s="1308"/>
      <c r="F3" s="1438"/>
    </row>
    <row r="4" spans="1:6" ht="13.5" customHeight="1" thickBot="1" x14ac:dyDescent="0.25">
      <c r="A4" s="1439" t="s">
        <v>64</v>
      </c>
      <c r="B4" s="70" t="s">
        <v>52</v>
      </c>
      <c r="C4" s="1312"/>
      <c r="D4" s="70" t="s">
        <v>53</v>
      </c>
      <c r="E4" s="1313"/>
      <c r="F4" s="1438"/>
    </row>
    <row r="5" spans="1:6" s="128" customFormat="1" ht="24.75" thickBot="1" x14ac:dyDescent="0.25">
      <c r="A5" s="1440"/>
      <c r="B5" s="70" t="s">
        <v>58</v>
      </c>
      <c r="C5" s="29" t="s">
        <v>796</v>
      </c>
      <c r="D5" s="70" t="s">
        <v>58</v>
      </c>
      <c r="E5" s="29" t="s">
        <v>796</v>
      </c>
      <c r="F5" s="1438"/>
    </row>
    <row r="6" spans="1:6" s="128" customFormat="1" ht="13.5" thickBot="1" x14ac:dyDescent="0.25">
      <c r="A6" s="129" t="s">
        <v>391</v>
      </c>
      <c r="B6" s="130" t="s">
        <v>392</v>
      </c>
      <c r="C6" s="131" t="s">
        <v>393</v>
      </c>
      <c r="D6" s="130" t="s">
        <v>443</v>
      </c>
      <c r="E6" s="132" t="s">
        <v>444</v>
      </c>
      <c r="F6" s="1438"/>
    </row>
    <row r="7" spans="1:6" ht="12.95" customHeight="1" x14ac:dyDescent="0.2">
      <c r="A7" s="134" t="s">
        <v>16</v>
      </c>
      <c r="B7" s="135" t="s">
        <v>317</v>
      </c>
      <c r="C7" s="500">
        <f>'1.1.sz.mell. '!C27</f>
        <v>2080082998</v>
      </c>
      <c r="D7" s="150" t="s">
        <v>159</v>
      </c>
      <c r="E7" s="853">
        <f>'1.1.sz.mell. '!C121</f>
        <v>954373578</v>
      </c>
      <c r="F7" s="1438"/>
    </row>
    <row r="8" spans="1:6" ht="12.75" customHeight="1" x14ac:dyDescent="0.2">
      <c r="A8" s="136" t="s">
        <v>17</v>
      </c>
      <c r="B8" s="137" t="s">
        <v>318</v>
      </c>
      <c r="C8" s="35">
        <f>'1.1.sz.mell. '!C33</f>
        <v>80423773</v>
      </c>
      <c r="D8" s="847" t="s">
        <v>323</v>
      </c>
      <c r="E8" s="866">
        <f>'1.1.sz.mell. '!C122</f>
        <v>259141516</v>
      </c>
      <c r="F8" s="1438"/>
    </row>
    <row r="9" spans="1:6" ht="12.95" customHeight="1" x14ac:dyDescent="0.2">
      <c r="A9" s="136" t="s">
        <v>18</v>
      </c>
      <c r="B9" s="137" t="s">
        <v>9</v>
      </c>
      <c r="C9" s="35">
        <f>'1.1.sz.mell. '!C53</f>
        <v>63000000</v>
      </c>
      <c r="D9" s="847" t="s">
        <v>139</v>
      </c>
      <c r="E9" s="866">
        <f>'1.1.sz.mell. '!C123</f>
        <v>1937133552</v>
      </c>
      <c r="F9" s="1438"/>
    </row>
    <row r="10" spans="1:6" ht="12.95" customHeight="1" x14ac:dyDescent="0.2">
      <c r="A10" s="136" t="s">
        <v>19</v>
      </c>
      <c r="B10" s="137" t="s">
        <v>319</v>
      </c>
      <c r="C10" s="35">
        <f>'1.1.sz.mell. '!C64</f>
        <v>250000</v>
      </c>
      <c r="D10" s="847" t="s">
        <v>324</v>
      </c>
      <c r="E10" s="866">
        <f>'1.1.sz.mell. '!C124</f>
        <v>390701940</v>
      </c>
      <c r="F10" s="1438"/>
    </row>
    <row r="11" spans="1:6" ht="12.75" customHeight="1" x14ac:dyDescent="0.2">
      <c r="A11" s="136" t="s">
        <v>20</v>
      </c>
      <c r="B11" s="137" t="s">
        <v>320</v>
      </c>
      <c r="C11" s="35"/>
      <c r="D11" s="847" t="s">
        <v>161</v>
      </c>
      <c r="E11" s="854">
        <f>'1.1.sz.mell. '!C125</f>
        <v>5911806</v>
      </c>
      <c r="F11" s="1438"/>
    </row>
    <row r="12" spans="1:6" ht="12.95" customHeight="1" x14ac:dyDescent="0.2">
      <c r="A12" s="136" t="s">
        <v>21</v>
      </c>
      <c r="B12" s="137" t="s">
        <v>321</v>
      </c>
      <c r="C12" s="262"/>
      <c r="D12" s="252"/>
      <c r="E12" s="854"/>
      <c r="F12" s="1438"/>
    </row>
    <row r="13" spans="1:6" ht="12.95" customHeight="1" x14ac:dyDescent="0.2">
      <c r="A13" s="136" t="s">
        <v>22</v>
      </c>
      <c r="B13" s="30"/>
      <c r="C13" s="35"/>
      <c r="D13" s="252"/>
      <c r="E13" s="854"/>
      <c r="F13" s="1438"/>
    </row>
    <row r="14" spans="1:6" ht="12.95" customHeight="1" x14ac:dyDescent="0.2">
      <c r="A14" s="136" t="s">
        <v>23</v>
      </c>
      <c r="B14" s="30"/>
      <c r="C14" s="35"/>
      <c r="D14" s="252"/>
      <c r="E14" s="854"/>
      <c r="F14" s="1438"/>
    </row>
    <row r="15" spans="1:6" ht="12.95" customHeight="1" x14ac:dyDescent="0.2">
      <c r="A15" s="136" t="s">
        <v>24</v>
      </c>
      <c r="B15" s="253"/>
      <c r="C15" s="262"/>
      <c r="D15" s="252"/>
      <c r="E15" s="854"/>
      <c r="F15" s="1438"/>
    </row>
    <row r="16" spans="1:6" x14ac:dyDescent="0.2">
      <c r="A16" s="136" t="s">
        <v>25</v>
      </c>
      <c r="B16" s="30"/>
      <c r="C16" s="262"/>
      <c r="D16" s="252"/>
      <c r="E16" s="854"/>
      <c r="F16" s="1438"/>
    </row>
    <row r="17" spans="1:6" ht="12.95" customHeight="1" thickBot="1" x14ac:dyDescent="0.25">
      <c r="A17" s="172" t="s">
        <v>26</v>
      </c>
      <c r="B17" s="197"/>
      <c r="C17" s="288"/>
      <c r="D17" s="139" t="s">
        <v>47</v>
      </c>
      <c r="E17" s="127">
        <v>78136687</v>
      </c>
      <c r="F17" s="1438"/>
    </row>
    <row r="18" spans="1:6" ht="15.95" customHeight="1" thickBot="1" x14ac:dyDescent="0.25">
      <c r="A18" s="138" t="s">
        <v>27</v>
      </c>
      <c r="B18" s="55" t="s">
        <v>331</v>
      </c>
      <c r="C18" s="122">
        <f>+C7+C9+C10+C12+C13+C14+C15+C16+C17</f>
        <v>2143332998</v>
      </c>
      <c r="D18" s="55" t="s">
        <v>332</v>
      </c>
      <c r="E18" s="856">
        <f>+E7+E9+E11+E12+E13+E14+E15+E16+E17</f>
        <v>2975555623</v>
      </c>
      <c r="F18" s="1438"/>
    </row>
    <row r="19" spans="1:6" ht="12.95" customHeight="1" x14ac:dyDescent="0.2">
      <c r="A19" s="134" t="s">
        <v>28</v>
      </c>
      <c r="B19" s="146" t="s">
        <v>179</v>
      </c>
      <c r="C19" s="153">
        <f>+C20+C21+C22+C23+C24</f>
        <v>809621863</v>
      </c>
      <c r="D19" s="847" t="s">
        <v>143</v>
      </c>
      <c r="E19" s="853"/>
      <c r="F19" s="1438"/>
    </row>
    <row r="20" spans="1:6" ht="12.95" customHeight="1" x14ac:dyDescent="0.2">
      <c r="A20" s="136" t="s">
        <v>29</v>
      </c>
      <c r="B20" s="147" t="s">
        <v>168</v>
      </c>
      <c r="C20" s="35">
        <v>809621863</v>
      </c>
      <c r="D20" s="847" t="s">
        <v>146</v>
      </c>
      <c r="E20" s="854">
        <f>SUM(E21:E22)</f>
        <v>24993747</v>
      </c>
      <c r="F20" s="1438"/>
    </row>
    <row r="21" spans="1:6" ht="12.95" customHeight="1" x14ac:dyDescent="0.2">
      <c r="A21" s="134" t="s">
        <v>30</v>
      </c>
      <c r="B21" s="147" t="s">
        <v>169</v>
      </c>
      <c r="C21" s="35"/>
      <c r="D21" s="591" t="s">
        <v>118</v>
      </c>
      <c r="E21" s="854"/>
      <c r="F21" s="1438"/>
    </row>
    <row r="22" spans="1:6" ht="12.95" customHeight="1" x14ac:dyDescent="0.2">
      <c r="A22" s="136" t="s">
        <v>31</v>
      </c>
      <c r="B22" s="147" t="s">
        <v>170</v>
      </c>
      <c r="C22" s="35"/>
      <c r="D22" s="591" t="s">
        <v>119</v>
      </c>
      <c r="E22" s="854">
        <f>'1.1.sz.mell. '!C136</f>
        <v>24993747</v>
      </c>
      <c r="F22" s="1438"/>
    </row>
    <row r="23" spans="1:6" ht="12.95" customHeight="1" x14ac:dyDescent="0.2">
      <c r="A23" s="134" t="s">
        <v>32</v>
      </c>
      <c r="B23" s="147" t="s">
        <v>171</v>
      </c>
      <c r="C23" s="35"/>
      <c r="D23" s="139" t="s">
        <v>165</v>
      </c>
      <c r="E23" s="854"/>
      <c r="F23" s="1438"/>
    </row>
    <row r="24" spans="1:6" ht="12.95" customHeight="1" x14ac:dyDescent="0.2">
      <c r="A24" s="136" t="s">
        <v>33</v>
      </c>
      <c r="B24" s="148" t="s">
        <v>172</v>
      </c>
      <c r="C24" s="35"/>
      <c r="D24" s="847" t="s">
        <v>147</v>
      </c>
      <c r="E24" s="854"/>
      <c r="F24" s="1438"/>
    </row>
    <row r="25" spans="1:6" ht="12.95" customHeight="1" x14ac:dyDescent="0.2">
      <c r="A25" s="134" t="s">
        <v>34</v>
      </c>
      <c r="B25" s="149" t="s">
        <v>173</v>
      </c>
      <c r="C25" s="381">
        <f>+C26+C27+C28+C29+C30</f>
        <v>185562529</v>
      </c>
      <c r="D25" s="150" t="s">
        <v>145</v>
      </c>
      <c r="E25" s="854"/>
      <c r="F25" s="1438"/>
    </row>
    <row r="26" spans="1:6" ht="12.95" customHeight="1" x14ac:dyDescent="0.2">
      <c r="A26" s="136" t="s">
        <v>35</v>
      </c>
      <c r="B26" s="148" t="s">
        <v>174</v>
      </c>
      <c r="C26" s="35">
        <f>'1.1.sz.mell. '!C71</f>
        <v>185562529</v>
      </c>
      <c r="D26" s="150" t="s">
        <v>325</v>
      </c>
      <c r="E26" s="854"/>
      <c r="F26" s="1438"/>
    </row>
    <row r="27" spans="1:6" ht="12.95" customHeight="1" x14ac:dyDescent="0.2">
      <c r="A27" s="134" t="s">
        <v>36</v>
      </c>
      <c r="B27" s="148" t="s">
        <v>175</v>
      </c>
      <c r="C27" s="35"/>
      <c r="D27" s="145"/>
      <c r="E27" s="854"/>
      <c r="F27" s="1438"/>
    </row>
    <row r="28" spans="1:6" ht="12.95" customHeight="1" x14ac:dyDescent="0.2">
      <c r="A28" s="136" t="s">
        <v>37</v>
      </c>
      <c r="B28" s="147" t="s">
        <v>176</v>
      </c>
      <c r="C28" s="35"/>
      <c r="D28" s="145"/>
      <c r="E28" s="854"/>
      <c r="F28" s="1438"/>
    </row>
    <row r="29" spans="1:6" ht="12.95" customHeight="1" x14ac:dyDescent="0.2">
      <c r="A29" s="134" t="s">
        <v>38</v>
      </c>
      <c r="B29" s="151" t="s">
        <v>177</v>
      </c>
      <c r="C29" s="35"/>
      <c r="D29" s="287"/>
      <c r="E29" s="854"/>
      <c r="F29" s="1438"/>
    </row>
    <row r="30" spans="1:6" ht="12.95" customHeight="1" thickBot="1" x14ac:dyDescent="0.25">
      <c r="A30" s="136" t="s">
        <v>39</v>
      </c>
      <c r="B30" s="152" t="s">
        <v>178</v>
      </c>
      <c r="C30" s="35"/>
      <c r="D30" s="145"/>
      <c r="E30" s="854"/>
      <c r="F30" s="1438"/>
    </row>
    <row r="31" spans="1:6" ht="21.75" customHeight="1" thickBot="1" x14ac:dyDescent="0.25">
      <c r="A31" s="138" t="s">
        <v>40</v>
      </c>
      <c r="B31" s="55" t="s">
        <v>322</v>
      </c>
      <c r="C31" s="122">
        <f>+C19+C25</f>
        <v>995184392</v>
      </c>
      <c r="D31" s="55" t="s">
        <v>326</v>
      </c>
      <c r="E31" s="856">
        <f>SUM(E19:E30)-E21-E22</f>
        <v>24993747</v>
      </c>
      <c r="F31" s="1438"/>
    </row>
    <row r="32" spans="1:6" ht="13.5" thickBot="1" x14ac:dyDescent="0.25">
      <c r="A32" s="138" t="s">
        <v>41</v>
      </c>
      <c r="B32" s="142" t="s">
        <v>327</v>
      </c>
      <c r="C32" s="143">
        <f>+C18+C31</f>
        <v>3138517390</v>
      </c>
      <c r="D32" s="142" t="s">
        <v>328</v>
      </c>
      <c r="E32" s="143">
        <f>+E18+E31</f>
        <v>3000549370</v>
      </c>
      <c r="F32" s="1438"/>
    </row>
    <row r="33" spans="1:6" ht="13.5" thickBot="1" x14ac:dyDescent="0.25">
      <c r="A33" s="138" t="s">
        <v>42</v>
      </c>
      <c r="B33" s="142" t="s">
        <v>121</v>
      </c>
      <c r="C33" s="143">
        <f>IF(C18-E18&lt;0,E18-C18,"-")</f>
        <v>832222625</v>
      </c>
      <c r="D33" s="142" t="s">
        <v>122</v>
      </c>
      <c r="E33" s="143" t="str">
        <f>IF(C18-E18&gt;0,C18-E18,"-")</f>
        <v>-</v>
      </c>
      <c r="F33" s="1438"/>
    </row>
    <row r="34" spans="1:6" s="676" customFormat="1" ht="13.5" thickBot="1" x14ac:dyDescent="0.25">
      <c r="A34" s="138" t="s">
        <v>43</v>
      </c>
      <c r="B34" s="142" t="s">
        <v>777</v>
      </c>
      <c r="C34" s="292" t="str">
        <f>IF(C31-E31&lt;0,E31-C31,"-")</f>
        <v>-</v>
      </c>
      <c r="D34" s="142" t="s">
        <v>778</v>
      </c>
      <c r="E34" s="292">
        <f>IF(C31-E31&gt;0,C31-E31,"-")</f>
        <v>970190645</v>
      </c>
      <c r="F34" s="1438"/>
    </row>
    <row r="35" spans="1:6" ht="13.5" thickBot="1" x14ac:dyDescent="0.25">
      <c r="A35" s="138" t="s">
        <v>779</v>
      </c>
      <c r="B35" s="142" t="s">
        <v>166</v>
      </c>
      <c r="C35" s="143" t="str">
        <f>IF(C32-E32&lt;0,E32-C32,"-")</f>
        <v>-</v>
      </c>
      <c r="D35" s="142" t="s">
        <v>167</v>
      </c>
      <c r="E35" s="143">
        <f>IF(C32-E32&gt;0,C32-E32,"-")</f>
        <v>137968020</v>
      </c>
      <c r="F35" s="1438"/>
    </row>
    <row r="36" spans="1:6" x14ac:dyDescent="0.2">
      <c r="C36" s="340"/>
      <c r="D36" s="340"/>
      <c r="E36" s="340"/>
    </row>
    <row r="37" spans="1:6" x14ac:dyDescent="0.2">
      <c r="C37" s="340"/>
      <c r="D37" s="340"/>
      <c r="E37" s="340"/>
    </row>
    <row r="38" spans="1:6" x14ac:dyDescent="0.2">
      <c r="C38" s="340"/>
      <c r="D38" s="340"/>
      <c r="E38" s="340"/>
    </row>
    <row r="39" spans="1:6" x14ac:dyDescent="0.2">
      <c r="C39" s="340"/>
      <c r="D39" s="340"/>
      <c r="E39" s="340"/>
    </row>
    <row r="40" spans="1:6" x14ac:dyDescent="0.2">
      <c r="C40" s="340"/>
      <c r="D40" s="340"/>
      <c r="E40" s="340"/>
    </row>
    <row r="41" spans="1:6" x14ac:dyDescent="0.2">
      <c r="C41" s="340"/>
      <c r="D41" s="340"/>
      <c r="E41" s="340"/>
    </row>
  </sheetData>
  <mergeCells count="3">
    <mergeCell ref="F2:F35"/>
    <mergeCell ref="A4:A5"/>
    <mergeCell ref="A2:E2"/>
  </mergeCells>
  <printOptions horizontalCentered="1"/>
  <pageMargins left="0.7" right="0.7" top="0.75" bottom="0.75" header="0.3" footer="0.3"/>
  <pageSetup paperSize="9" scale="94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0">
    <tabColor rgb="FF92D050"/>
    <pageSetUpPr fitToPage="1"/>
  </sheetPr>
  <dimension ref="A1:E19"/>
  <sheetViews>
    <sheetView zoomScale="120" zoomScaleNormal="120" workbookViewId="0">
      <selection activeCell="E9" sqref="E9"/>
    </sheetView>
  </sheetViews>
  <sheetFormatPr defaultRowHeight="12.75" x14ac:dyDescent="0.2"/>
  <cols>
    <col min="1" max="1" width="46.33203125" style="675" customWidth="1"/>
    <col min="2" max="2" width="16.83203125" style="675" customWidth="1"/>
    <col min="3" max="3" width="66.1640625" style="675" customWidth="1"/>
    <col min="4" max="4" width="13.83203125" style="675" customWidth="1"/>
    <col min="5" max="5" width="17.6640625" style="675" customWidth="1"/>
    <col min="6" max="16384" width="9.33203125" style="675"/>
  </cols>
  <sheetData>
    <row r="1" spans="1:5" ht="18.75" x14ac:dyDescent="0.3">
      <c r="A1" s="672" t="s">
        <v>719</v>
      </c>
      <c r="E1" s="673" t="s">
        <v>720</v>
      </c>
    </row>
    <row r="3" spans="1:5" x14ac:dyDescent="0.2">
      <c r="A3" s="674"/>
      <c r="B3" s="677"/>
      <c r="C3" s="674"/>
      <c r="D3" s="678"/>
      <c r="E3" s="677"/>
    </row>
    <row r="4" spans="1:5" ht="15.75" x14ac:dyDescent="0.25">
      <c r="A4" s="679" t="s">
        <v>815</v>
      </c>
      <c r="B4" s="680"/>
      <c r="C4" s="681"/>
      <c r="D4" s="678"/>
      <c r="E4" s="677"/>
    </row>
    <row r="5" spans="1:5" x14ac:dyDescent="0.2">
      <c r="A5" s="674"/>
      <c r="B5" s="677"/>
      <c r="C5" s="674"/>
      <c r="D5" s="678"/>
      <c r="E5" s="677"/>
    </row>
    <row r="6" spans="1:5" x14ac:dyDescent="0.2">
      <c r="A6" s="674" t="s">
        <v>721</v>
      </c>
      <c r="B6" s="677">
        <f>'1.1.sz.mell. '!C69</f>
        <v>4931770401</v>
      </c>
      <c r="C6" s="674" t="s">
        <v>722</v>
      </c>
      <c r="D6" s="678">
        <f>'2.1.sz.mell '!C18+'2.2.sz.mell .'!C18</f>
        <v>4931770401</v>
      </c>
      <c r="E6" s="677">
        <f t="shared" ref="E6:E15" si="0">+B6-D6</f>
        <v>0</v>
      </c>
    </row>
    <row r="7" spans="1:5" x14ac:dyDescent="0.2">
      <c r="A7" s="674" t="s">
        <v>723</v>
      </c>
      <c r="B7" s="677">
        <f>'1.1.sz.mell. '!C93</f>
        <v>1941011918</v>
      </c>
      <c r="C7" s="674" t="s">
        <v>724</v>
      </c>
      <c r="D7" s="678">
        <f>'2.1.sz.mell '!C29+'2.2.sz.mell .'!C31</f>
        <v>1941011918</v>
      </c>
      <c r="E7" s="677">
        <f t="shared" si="0"/>
        <v>0</v>
      </c>
    </row>
    <row r="8" spans="1:5" x14ac:dyDescent="0.2">
      <c r="A8" s="674" t="s">
        <v>725</v>
      </c>
      <c r="B8" s="677">
        <f>'1.1.sz.mell. '!C94</f>
        <v>6872782319</v>
      </c>
      <c r="C8" s="674" t="s">
        <v>726</v>
      </c>
      <c r="D8" s="678">
        <f>'2.1.sz.mell '!C30+'2.2.sz.mell .'!C32</f>
        <v>6872782319</v>
      </c>
      <c r="E8" s="677">
        <f t="shared" si="0"/>
        <v>0</v>
      </c>
    </row>
    <row r="9" spans="1:5" x14ac:dyDescent="0.2">
      <c r="A9" s="674"/>
      <c r="B9" s="677"/>
      <c r="C9" s="674"/>
      <c r="D9" s="678"/>
      <c r="E9" s="677"/>
    </row>
    <row r="10" spans="1:5" x14ac:dyDescent="0.2">
      <c r="A10" s="674"/>
      <c r="B10" s="677"/>
      <c r="C10" s="674"/>
      <c r="D10" s="678"/>
      <c r="E10" s="677"/>
    </row>
    <row r="11" spans="1:5" ht="15.75" x14ac:dyDescent="0.25">
      <c r="A11" s="679" t="s">
        <v>814</v>
      </c>
      <c r="B11" s="680"/>
      <c r="C11" s="681"/>
      <c r="D11" s="678"/>
      <c r="E11" s="677"/>
    </row>
    <row r="12" spans="1:5" x14ac:dyDescent="0.2">
      <c r="A12" s="674"/>
      <c r="B12" s="677"/>
      <c r="C12" s="674"/>
      <c r="D12" s="678"/>
      <c r="E12" s="677"/>
    </row>
    <row r="13" spans="1:5" x14ac:dyDescent="0.2">
      <c r="A13" s="674" t="s">
        <v>727</v>
      </c>
      <c r="B13" s="677">
        <f>'1.1.sz.mell. '!C134</f>
        <v>5948821822</v>
      </c>
      <c r="C13" s="674" t="s">
        <v>728</v>
      </c>
      <c r="D13" s="678">
        <f>'2.1.sz.mell '!E18+'2.2.sz.mell .'!E18</f>
        <v>5948821822</v>
      </c>
      <c r="E13" s="677">
        <f t="shared" si="0"/>
        <v>0</v>
      </c>
    </row>
    <row r="14" spans="1:5" x14ac:dyDescent="0.2">
      <c r="A14" s="674" t="s">
        <v>729</v>
      </c>
      <c r="B14" s="677">
        <f>'1.1.sz.mell. '!C159</f>
        <v>923960497</v>
      </c>
      <c r="C14" s="674" t="s">
        <v>730</v>
      </c>
      <c r="D14" s="678">
        <f>'2.1.sz.mell '!E29+'2.2.sz.mell .'!E31</f>
        <v>923960497</v>
      </c>
      <c r="E14" s="677">
        <f t="shared" si="0"/>
        <v>0</v>
      </c>
    </row>
    <row r="15" spans="1:5" x14ac:dyDescent="0.2">
      <c r="A15" s="674" t="s">
        <v>731</v>
      </c>
      <c r="B15" s="677">
        <f>'1.1.sz.mell. '!C160</f>
        <v>6872782319</v>
      </c>
      <c r="C15" s="674" t="s">
        <v>732</v>
      </c>
      <c r="D15" s="678">
        <f>'2.1.sz.mell '!E30+'2.2.sz.mell .'!E32</f>
        <v>6872782319</v>
      </c>
      <c r="E15" s="677">
        <f t="shared" si="0"/>
        <v>0</v>
      </c>
    </row>
    <row r="16" spans="1:5" x14ac:dyDescent="0.2">
      <c r="A16" s="682"/>
      <c r="B16" s="682"/>
      <c r="C16" s="674"/>
      <c r="D16" s="678"/>
      <c r="E16" s="683"/>
    </row>
    <row r="17" spans="1:5" x14ac:dyDescent="0.2">
      <c r="A17" s="682"/>
      <c r="B17" s="682"/>
      <c r="C17" s="682"/>
      <c r="D17" s="682"/>
      <c r="E17" s="682"/>
    </row>
    <row r="18" spans="1:5" x14ac:dyDescent="0.2">
      <c r="A18" s="682"/>
      <c r="B18" s="682"/>
      <c r="C18" s="682"/>
      <c r="D18" s="682"/>
      <c r="E18" s="682"/>
    </row>
    <row r="19" spans="1:5" x14ac:dyDescent="0.2">
      <c r="A19" s="682"/>
      <c r="B19" s="682"/>
      <c r="C19" s="682"/>
      <c r="D19" s="682"/>
      <c r="E19" s="682"/>
    </row>
  </sheetData>
  <conditionalFormatting sqref="E3:E15">
    <cfRule type="cellIs" dxfId="58" priority="1" stopIfTrue="1" operator="notEqual">
      <formula>0</formula>
    </cfRule>
  </conditionalFormatting>
  <pageMargins left="0.79" right="0.56999999999999995" top="0.88" bottom="0.66" header="0.5" footer="0.5"/>
  <pageSetup paperSize="9" scale="91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55</vt:i4>
      </vt:variant>
      <vt:variant>
        <vt:lpstr>Névvel ellátott tartományok</vt:lpstr>
      </vt:variant>
      <vt:variant>
        <vt:i4>38</vt:i4>
      </vt:variant>
    </vt:vector>
  </HeadingPairs>
  <TitlesOfParts>
    <vt:vector size="93" baseType="lpstr">
      <vt:lpstr>ALAPADATOK</vt:lpstr>
      <vt:lpstr>1.1.sz.mell. </vt:lpstr>
      <vt:lpstr>1.2.sz.mell. </vt:lpstr>
      <vt:lpstr>1.3.sz.mell.</vt:lpstr>
      <vt:lpstr>1.4.sz.mell. </vt:lpstr>
      <vt:lpstr>1.5.sz.mell.</vt:lpstr>
      <vt:lpstr>2.1.sz.mell </vt:lpstr>
      <vt:lpstr>2.2.sz.mell .</vt:lpstr>
      <vt:lpstr>KV_ELLENŐRZÉS</vt:lpstr>
      <vt:lpstr>3. sz mell.</vt:lpstr>
      <vt:lpstr>4.sz.mell.</vt:lpstr>
      <vt:lpstr>5.sz.mell.</vt:lpstr>
      <vt:lpstr>6.sz.mell.</vt:lpstr>
      <vt:lpstr>7.sz.mell.</vt:lpstr>
      <vt:lpstr>8. sz. mell.</vt:lpstr>
      <vt:lpstr>8.1. sz. mell.</vt:lpstr>
      <vt:lpstr>8.2. sz. mell.</vt:lpstr>
      <vt:lpstr>8.3. sz. mell.</vt:lpstr>
      <vt:lpstr>8.4. sz. mell.</vt:lpstr>
      <vt:lpstr>8.5. sz. mell.</vt:lpstr>
      <vt:lpstr>8.6. sz. mell.</vt:lpstr>
      <vt:lpstr>9.1. sz. mell.</vt:lpstr>
      <vt:lpstr>9.1.1. sz. mell. </vt:lpstr>
      <vt:lpstr>9.1.2. sz. mell.</vt:lpstr>
      <vt:lpstr>9.2. sz. mell. </vt:lpstr>
      <vt:lpstr>9.2.1. sz. mell</vt:lpstr>
      <vt:lpstr>9.2.2. sz.  mell</vt:lpstr>
      <vt:lpstr>9.2.3. sz. mell.</vt:lpstr>
      <vt:lpstr>9.3. sz. mell</vt:lpstr>
      <vt:lpstr>9.3.1. sz. mell EOI</vt:lpstr>
      <vt:lpstr>9.3.2.sz.mell EOI</vt:lpstr>
      <vt:lpstr>9.4. sz. mell EKIK</vt:lpstr>
      <vt:lpstr>9.4.1. sz. mell EKIK</vt:lpstr>
      <vt:lpstr>9.4.2. sz. mell EKIK</vt:lpstr>
      <vt:lpstr>9.5. sz. mell VK</vt:lpstr>
      <vt:lpstr>9.5.1. sz. mell VK </vt:lpstr>
      <vt:lpstr>9.5.2. sz. mell VK</vt:lpstr>
      <vt:lpstr>9.6. sz. mell Kornisné Kp.</vt:lpstr>
      <vt:lpstr>9.6.1. sz. mell Kornisné Kp. </vt:lpstr>
      <vt:lpstr>9.6.2. sz. mell Kornisné Kp.</vt:lpstr>
      <vt:lpstr>9.6.3. sz. mell Kornisné Kp </vt:lpstr>
      <vt:lpstr>9.7. sz. mell TIB  </vt:lpstr>
      <vt:lpstr>9.7.1. sz. mell TIB  </vt:lpstr>
      <vt:lpstr>9.7.2. sz. mell TIB</vt:lpstr>
      <vt:lpstr>10.sz.m. int.összesítő</vt:lpstr>
      <vt:lpstr>11.sz.m. tartalék</vt:lpstr>
      <vt:lpstr>1.sz tájékoztató t </vt:lpstr>
      <vt:lpstr>2. sz tájékoztató t</vt:lpstr>
      <vt:lpstr>3. sz tájékoztató t.</vt:lpstr>
      <vt:lpstr>4.sz tájékoztató t </vt:lpstr>
      <vt:lpstr>5.sz. tájékoztató</vt:lpstr>
      <vt:lpstr>6.sz tájékoztató t </vt:lpstr>
      <vt:lpstr>7.sz táj. feladatos Önk. </vt:lpstr>
      <vt:lpstr>8.sz tájéloztató</vt:lpstr>
      <vt:lpstr>9.sz tájékoztató</vt:lpstr>
      <vt:lpstr>'1.1.sz.mell. '!Print_Area</vt:lpstr>
      <vt:lpstr>'1.2.sz.mell. '!Print_Area</vt:lpstr>
      <vt:lpstr>'1.3.sz.mell.'!Print_Area</vt:lpstr>
      <vt:lpstr>'1.4.sz.mell. '!Print_Area</vt:lpstr>
      <vt:lpstr>'1.5.sz.mell.'!Print_Area</vt:lpstr>
      <vt:lpstr>'1.sz tájékoztató t '!Print_Area</vt:lpstr>
      <vt:lpstr>'2.1.sz.mell '!Print_Area</vt:lpstr>
      <vt:lpstr>'5.sz. tájékoztató'!Print_Area</vt:lpstr>
      <vt:lpstr>'6.sz.mell.'!Print_Area</vt:lpstr>
      <vt:lpstr>'7.sz táj. feladatos Önk. '!Print_Area</vt:lpstr>
      <vt:lpstr>'7.sz.mell.'!Print_Area</vt:lpstr>
      <vt:lpstr>'8.2. sz. mell.'!Print_Area</vt:lpstr>
      <vt:lpstr>'9.1. sz. mell.'!Print_Area</vt:lpstr>
      <vt:lpstr>'9.1.1. sz. mell. '!Print_Area</vt:lpstr>
      <vt:lpstr>'9.2. sz. mell. '!Print_Area</vt:lpstr>
      <vt:lpstr>'9.7.2. sz. mell TIB'!Print_Area</vt:lpstr>
      <vt:lpstr>'9.sz tájékoztató'!Print_Area</vt:lpstr>
      <vt:lpstr>'9.1. sz. mell.'!Print_Titles</vt:lpstr>
      <vt:lpstr>'9.1.1. sz. mell. '!Print_Titles</vt:lpstr>
      <vt:lpstr>'9.1.2. sz. mell.'!Print_Titles</vt:lpstr>
      <vt:lpstr>'9.2. sz. mell. '!Print_Titles</vt:lpstr>
      <vt:lpstr>'9.2.1. sz. mell'!Print_Titles</vt:lpstr>
      <vt:lpstr>'9.2.2. sz.  mell'!Print_Titles</vt:lpstr>
      <vt:lpstr>'9.2.3. sz. mell.'!Print_Titles</vt:lpstr>
      <vt:lpstr>'9.3. sz. mell'!Print_Titles</vt:lpstr>
      <vt:lpstr>'9.3.1. sz. mell EOI'!Print_Titles</vt:lpstr>
      <vt:lpstr>'9.4. sz. mell EKIK'!Print_Titles</vt:lpstr>
      <vt:lpstr>'9.4.1. sz. mell EKIK'!Print_Titles</vt:lpstr>
      <vt:lpstr>'9.4.2. sz. mell EKIK'!Print_Titles</vt:lpstr>
      <vt:lpstr>'9.5. sz. mell VK'!Print_Titles</vt:lpstr>
      <vt:lpstr>'9.5.1. sz. mell VK '!Print_Titles</vt:lpstr>
      <vt:lpstr>'9.5.2. sz. mell VK'!Print_Titles</vt:lpstr>
      <vt:lpstr>'9.6. sz. mell Kornisné Kp.'!Print_Titles</vt:lpstr>
      <vt:lpstr>'9.6.1. sz. mell Kornisné Kp. '!Print_Titles</vt:lpstr>
      <vt:lpstr>'9.6.2. sz. mell Kornisné Kp.'!Print_Titles</vt:lpstr>
      <vt:lpstr>'9.6.3. sz. mell Kornisné Kp '!Print_Titles</vt:lpstr>
      <vt:lpstr>'9.7. sz. mell TIB  '!Print_Titles</vt:lpstr>
      <vt:lpstr>'9.7.1. sz. mell TIB  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Makranczi László</dc:creator>
  <cp:lastModifiedBy>Girus András</cp:lastModifiedBy>
  <cp:lastPrinted>2021-11-25T14:41:04Z</cp:lastPrinted>
  <dcterms:created xsi:type="dcterms:W3CDTF">1999-10-30T10:30:45Z</dcterms:created>
  <dcterms:modified xsi:type="dcterms:W3CDTF">2021-11-30T11:10:48Z</dcterms:modified>
</cp:coreProperties>
</file>