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0" windowHeight="1425" tabRatio="705" firstSheet="28" activeTab="33"/>
  </bookViews>
  <sheets>
    <sheet name="1.sz.mell." sheetId="119" r:id="rId1"/>
    <sheet name="2.1.sz.mell  " sheetId="120" r:id="rId2"/>
    <sheet name="2.2.sz.mell  " sheetId="121" r:id="rId3"/>
    <sheet name="3.1.sz.mell." sheetId="122" r:id="rId4"/>
    <sheet name="3.2sz.mell." sheetId="214" r:id="rId5"/>
    <sheet name="4.sz.mell." sheetId="123" r:id="rId6"/>
    <sheet name="5.1sz. mell." sheetId="220" r:id="rId7"/>
    <sheet name="5.2sz. mell." sheetId="221" r:id="rId8"/>
    <sheet name="5.3sz. mell." sheetId="222" r:id="rId9"/>
    <sheet name="5.4sz. mell." sheetId="223" r:id="rId10"/>
    <sheet name="5.5sz. mell." sheetId="224" r:id="rId11"/>
    <sheet name="5.6sz. mell." sheetId="225" r:id="rId12"/>
    <sheet name="5.7sz. mell." sheetId="226" r:id="rId13"/>
    <sheet name="6. sz. mell" sheetId="125" r:id="rId14"/>
    <sheet name="7.1. sz. mell" sheetId="126" r:id="rId15"/>
    <sheet name=" 7.2.sz.mell." sheetId="215" r:id="rId16"/>
    <sheet name="7.3. sz. mell." sheetId="216" r:id="rId17"/>
    <sheet name="7.4. sz. mell." sheetId="217" r:id="rId18"/>
    <sheet name="7.5. sz. mell." sheetId="218" r:id="rId19"/>
    <sheet name="7.6. sz. mell. " sheetId="219" r:id="rId20"/>
    <sheet name="8. sz. mell" sheetId="208" r:id="rId21"/>
    <sheet name="1. tájékoztató tábla" sheetId="227" r:id="rId22"/>
    <sheet name="2. tájékoztató tábla" sheetId="228" r:id="rId23"/>
    <sheet name="3. tájékoztató tábla" sheetId="138" r:id="rId24"/>
    <sheet name="4. tájékoztató tábla " sheetId="207" r:id="rId25"/>
    <sheet name="5.1. tájékoztató tábla" sheetId="229" r:id="rId26"/>
    <sheet name="5.2. tájékoztató tábla" sheetId="198" r:id="rId27"/>
    <sheet name="5.3. tájékoztató tábla" sheetId="199" r:id="rId28"/>
    <sheet name="5.4. tájékoztató tábla" sheetId="143" r:id="rId29"/>
    <sheet name="6. tájékoztató tábla" sheetId="203" r:id="rId30"/>
    <sheet name="7. tájékoztató tábla" sheetId="204" r:id="rId31"/>
    <sheet name="8. tájékoztató tábla" sheetId="146" r:id="rId32"/>
    <sheet name="9. tájékoztató" sheetId="172" r:id="rId33"/>
    <sheet name="10. tájékoztató tábla " sheetId="173" r:id="rId34"/>
  </sheets>
  <definedNames>
    <definedName name="_ftn1" localSheetId="27">'5.3. tájékoztató tábla'!$A$29</definedName>
    <definedName name="_ftnref1" localSheetId="27">'5.3. tájékoztató tábla'!$A$20</definedName>
    <definedName name="_xlnm.Print_Titles" localSheetId="15">' 7.2.sz.mell.'!$1:$6</definedName>
    <definedName name="_xlnm.Print_Titles" localSheetId="25">'5.1. tájékoztató tábla'!$3:$7</definedName>
    <definedName name="_xlnm.Print_Titles" localSheetId="13">'6. sz. mell'!$1:$6</definedName>
    <definedName name="_xlnm.Print_Titles" localSheetId="14">'7.1. sz. mell'!$1:$6</definedName>
    <definedName name="_xlnm.Print_Titles" localSheetId="16">'7.3. sz. mell.'!$1:$6</definedName>
    <definedName name="_xlnm.Print_Titles" localSheetId="17">'7.4. sz. mell.'!$1:$6</definedName>
    <definedName name="_xlnm.Print_Titles" localSheetId="18">'7.5. sz. mell.'!$1:$6</definedName>
    <definedName name="_xlnm.Print_Titles" localSheetId="19">'7.6. sz. mell. '!$1:$6</definedName>
    <definedName name="_xlnm.Print_Area" localSheetId="0">'1.sz.mell.'!$A$1:$E$149</definedName>
    <definedName name="_xlnm.Print_Area" localSheetId="1">'2.1.sz.mell  '!$A$1:$J$33</definedName>
    <definedName name="_xlnm.Print_Area" localSheetId="25">'5.1. tájékoztató tábla'!$A$1:$E$75</definedName>
    <definedName name="_xlnm.Print_Area" localSheetId="32">'9. tájékoztató'!$A$1:$E$146</definedName>
  </definedNames>
  <calcPr calcId="145621"/>
</workbook>
</file>

<file path=xl/calcChain.xml><?xml version="1.0" encoding="utf-8"?>
<calcChain xmlns="http://schemas.openxmlformats.org/spreadsheetml/2006/main">
  <c r="D11" i="199" l="1"/>
  <c r="C20" i="199"/>
  <c r="E68" i="229"/>
  <c r="D68" i="229"/>
  <c r="C68" i="229"/>
  <c r="E64" i="229"/>
  <c r="D64" i="229"/>
  <c r="C64" i="229"/>
  <c r="E60" i="229"/>
  <c r="D60" i="229"/>
  <c r="C60" i="229"/>
  <c r="E55" i="229"/>
  <c r="D55" i="229"/>
  <c r="C55" i="229"/>
  <c r="C70" i="229" s="1"/>
  <c r="D52" i="229"/>
  <c r="D70" i="229" s="1"/>
  <c r="C52" i="229"/>
  <c r="E46" i="229"/>
  <c r="D46" i="229"/>
  <c r="C46" i="229"/>
  <c r="E41" i="229"/>
  <c r="D41" i="229"/>
  <c r="C41" i="229"/>
  <c r="E36" i="229"/>
  <c r="E35" i="229" s="1"/>
  <c r="E30" i="229"/>
  <c r="D30" i="229"/>
  <c r="C30" i="229"/>
  <c r="E25" i="229"/>
  <c r="E20" i="229"/>
  <c r="D20" i="229"/>
  <c r="C20" i="229"/>
  <c r="E15" i="229"/>
  <c r="E10" i="229"/>
  <c r="E9" i="229" s="1"/>
  <c r="E52" i="229" s="1"/>
  <c r="E70" i="229" s="1"/>
  <c r="D27" i="227" l="1"/>
  <c r="J15" i="227"/>
  <c r="E15" i="227"/>
  <c r="F15" i="227"/>
  <c r="G15" i="227"/>
  <c r="H15" i="227"/>
  <c r="I15" i="227"/>
  <c r="D15" i="227"/>
  <c r="D17" i="227"/>
  <c r="F22" i="227"/>
  <c r="J20" i="227"/>
  <c r="J19" i="227"/>
  <c r="J18" i="227"/>
  <c r="F18" i="227"/>
  <c r="H18" i="228" l="1"/>
  <c r="G18" i="228"/>
  <c r="F18" i="228"/>
  <c r="E18" i="228"/>
  <c r="D18" i="228"/>
  <c r="C18" i="228"/>
  <c r="I17" i="228"/>
  <c r="H17" i="228"/>
  <c r="I16" i="228"/>
  <c r="I18" i="228" s="1"/>
  <c r="H16" i="228"/>
  <c r="G14" i="228"/>
  <c r="G19" i="228" s="1"/>
  <c r="F14" i="228"/>
  <c r="F19" i="228" s="1"/>
  <c r="E14" i="228"/>
  <c r="E19" i="228" s="1"/>
  <c r="D14" i="228"/>
  <c r="D19" i="228" s="1"/>
  <c r="C14" i="228"/>
  <c r="C19" i="228" s="1"/>
  <c r="H12" i="228"/>
  <c r="I12" i="228" s="1"/>
  <c r="H11" i="228"/>
  <c r="I11" i="228" s="1"/>
  <c r="H10" i="228"/>
  <c r="I10" i="228" s="1"/>
  <c r="H9" i="228"/>
  <c r="I9" i="228" s="1"/>
  <c r="H8" i="228"/>
  <c r="I8" i="228" s="1"/>
  <c r="H7" i="228"/>
  <c r="H14" i="228" s="1"/>
  <c r="H19" i="228" s="1"/>
  <c r="J26" i="227"/>
  <c r="I25" i="227"/>
  <c r="H25" i="227"/>
  <c r="G25" i="227"/>
  <c r="F25" i="227"/>
  <c r="J25" i="227" s="1"/>
  <c r="E25" i="227"/>
  <c r="D25" i="227"/>
  <c r="J24" i="227"/>
  <c r="I23" i="227"/>
  <c r="H23" i="227"/>
  <c r="G23" i="227"/>
  <c r="F23" i="227"/>
  <c r="J23" i="227" s="1"/>
  <c r="E23" i="227"/>
  <c r="D23" i="227"/>
  <c r="J14" i="227"/>
  <c r="J13" i="227"/>
  <c r="J12" i="227"/>
  <c r="J11" i="227"/>
  <c r="J10" i="227"/>
  <c r="J9" i="227"/>
  <c r="J8" i="227"/>
  <c r="J7" i="227"/>
  <c r="J27" i="227" s="1"/>
  <c r="I7" i="227"/>
  <c r="I27" i="227" s="1"/>
  <c r="H7" i="227"/>
  <c r="H27" i="227" s="1"/>
  <c r="G7" i="227"/>
  <c r="G27" i="227" s="1"/>
  <c r="F7" i="227"/>
  <c r="F27" i="227" s="1"/>
  <c r="E7" i="227"/>
  <c r="E27" i="227" s="1"/>
  <c r="D7" i="227"/>
  <c r="J6" i="227"/>
  <c r="I7" i="228" l="1"/>
  <c r="I14" i="228" s="1"/>
  <c r="I19" i="228" s="1"/>
  <c r="M32" i="226"/>
  <c r="L32" i="226"/>
  <c r="K32" i="226"/>
  <c r="K24" i="226"/>
  <c r="J24" i="226"/>
  <c r="I24" i="226"/>
  <c r="H24" i="226"/>
  <c r="G24" i="226"/>
  <c r="F24" i="226"/>
  <c r="E24" i="226"/>
  <c r="D24" i="226"/>
  <c r="M23" i="226"/>
  <c r="L23" i="226"/>
  <c r="L22" i="226"/>
  <c r="C22" i="226"/>
  <c r="M22" i="226" s="1"/>
  <c r="B22" i="226"/>
  <c r="L21" i="226"/>
  <c r="C21" i="226"/>
  <c r="M21" i="226" s="1"/>
  <c r="B21" i="226"/>
  <c r="L20" i="226"/>
  <c r="C20" i="226"/>
  <c r="M20" i="226" s="1"/>
  <c r="B20" i="226"/>
  <c r="L19" i="226"/>
  <c r="C19" i="226"/>
  <c r="M19" i="226" s="1"/>
  <c r="B19" i="226"/>
  <c r="L18" i="226"/>
  <c r="L24" i="226" s="1"/>
  <c r="C18" i="226"/>
  <c r="C24" i="226" s="1"/>
  <c r="M24" i="226" s="1"/>
  <c r="B18" i="226"/>
  <c r="B24" i="226" s="1"/>
  <c r="K15" i="226"/>
  <c r="J15" i="226"/>
  <c r="I15" i="226"/>
  <c r="H15" i="226"/>
  <c r="G15" i="226"/>
  <c r="F15" i="226"/>
  <c r="E15" i="226"/>
  <c r="D15" i="226"/>
  <c r="M14" i="226"/>
  <c r="L14" i="226"/>
  <c r="M13" i="226"/>
  <c r="L13" i="226"/>
  <c r="M12" i="226"/>
  <c r="L12" i="226"/>
  <c r="M11" i="226"/>
  <c r="L11" i="226"/>
  <c r="L10" i="226"/>
  <c r="C10" i="226"/>
  <c r="C15" i="226" s="1"/>
  <c r="B10" i="226"/>
  <c r="B15" i="226" s="1"/>
  <c r="M9" i="226"/>
  <c r="L9" i="226"/>
  <c r="M8" i="226"/>
  <c r="L8" i="226"/>
  <c r="L15" i="226" s="1"/>
  <c r="K6" i="226"/>
  <c r="J6" i="226"/>
  <c r="M32" i="225"/>
  <c r="L32" i="225"/>
  <c r="K32" i="225"/>
  <c r="K24" i="225"/>
  <c r="J24" i="225"/>
  <c r="I24" i="225"/>
  <c r="H24" i="225"/>
  <c r="G24" i="225"/>
  <c r="F24" i="225"/>
  <c r="E24" i="225"/>
  <c r="D24" i="225"/>
  <c r="C24" i="225"/>
  <c r="M24" i="225" s="1"/>
  <c r="B24" i="225"/>
  <c r="M23" i="225"/>
  <c r="L23" i="225"/>
  <c r="M22" i="225"/>
  <c r="L22" i="225"/>
  <c r="M18" i="225"/>
  <c r="L18" i="225"/>
  <c r="L24" i="225" s="1"/>
  <c r="K15" i="225"/>
  <c r="J15" i="225"/>
  <c r="I15" i="225"/>
  <c r="H15" i="225"/>
  <c r="G15" i="225"/>
  <c r="F15" i="225"/>
  <c r="E15" i="225"/>
  <c r="D15" i="225"/>
  <c r="C15" i="225"/>
  <c r="M15" i="225" s="1"/>
  <c r="B15" i="225"/>
  <c r="M14" i="225"/>
  <c r="L14" i="225"/>
  <c r="M13" i="225"/>
  <c r="L13" i="225"/>
  <c r="M12" i="225"/>
  <c r="L12" i="225"/>
  <c r="M9" i="225"/>
  <c r="L9" i="225"/>
  <c r="M8" i="225"/>
  <c r="L8" i="225"/>
  <c r="L15" i="225" s="1"/>
  <c r="K6" i="225"/>
  <c r="J6" i="225"/>
  <c r="M32" i="224"/>
  <c r="L32" i="224"/>
  <c r="K32" i="224"/>
  <c r="K24" i="224"/>
  <c r="J24" i="224"/>
  <c r="I24" i="224"/>
  <c r="H24" i="224"/>
  <c r="G24" i="224"/>
  <c r="F24" i="224"/>
  <c r="E24" i="224"/>
  <c r="D24" i="224"/>
  <c r="C24" i="224"/>
  <c r="B24" i="224"/>
  <c r="M23" i="224"/>
  <c r="L23" i="224"/>
  <c r="M22" i="224"/>
  <c r="L22" i="224"/>
  <c r="L18" i="224"/>
  <c r="M18" i="224" s="1"/>
  <c r="K15" i="224"/>
  <c r="J15" i="224"/>
  <c r="I15" i="224"/>
  <c r="H15" i="224"/>
  <c r="G15" i="224"/>
  <c r="F15" i="224"/>
  <c r="E15" i="224"/>
  <c r="D15" i="224"/>
  <c r="C15" i="224"/>
  <c r="M15" i="224" s="1"/>
  <c r="B15" i="224"/>
  <c r="M14" i="224"/>
  <c r="L14" i="224"/>
  <c r="M13" i="224"/>
  <c r="L13" i="224"/>
  <c r="M12" i="224"/>
  <c r="L12" i="224"/>
  <c r="M9" i="224"/>
  <c r="L9" i="224"/>
  <c r="M8" i="224"/>
  <c r="L8" i="224"/>
  <c r="L15" i="224" s="1"/>
  <c r="K6" i="224"/>
  <c r="J6" i="224"/>
  <c r="M32" i="223"/>
  <c r="L32" i="223"/>
  <c r="K32" i="223"/>
  <c r="K24" i="223"/>
  <c r="J24" i="223"/>
  <c r="I24" i="223"/>
  <c r="H24" i="223"/>
  <c r="G24" i="223"/>
  <c r="F24" i="223"/>
  <c r="E24" i="223"/>
  <c r="D24" i="223"/>
  <c r="C24" i="223"/>
  <c r="B24" i="223"/>
  <c r="M23" i="223"/>
  <c r="L23" i="223"/>
  <c r="M22" i="223"/>
  <c r="L22" i="223"/>
  <c r="M18" i="223"/>
  <c r="L18" i="223"/>
  <c r="L24" i="223" s="1"/>
  <c r="K15" i="223"/>
  <c r="J15" i="223"/>
  <c r="I15" i="223"/>
  <c r="H15" i="223"/>
  <c r="G15" i="223"/>
  <c r="F15" i="223"/>
  <c r="E15" i="223"/>
  <c r="D15" i="223"/>
  <c r="C15" i="223"/>
  <c r="B15" i="223"/>
  <c r="M14" i="223"/>
  <c r="L14" i="223"/>
  <c r="M13" i="223"/>
  <c r="L13" i="223"/>
  <c r="M12" i="223"/>
  <c r="L12" i="223"/>
  <c r="M9" i="223"/>
  <c r="L9" i="223"/>
  <c r="M8" i="223"/>
  <c r="L8" i="223"/>
  <c r="L15" i="223" s="1"/>
  <c r="K6" i="223"/>
  <c r="J6" i="223"/>
  <c r="M32" i="222"/>
  <c r="L32" i="222"/>
  <c r="K32" i="222"/>
  <c r="K24" i="222"/>
  <c r="J24" i="222"/>
  <c r="I24" i="222"/>
  <c r="H24" i="222"/>
  <c r="G24" i="222"/>
  <c r="F24" i="222"/>
  <c r="E24" i="222"/>
  <c r="D24" i="222"/>
  <c r="C24" i="222"/>
  <c r="M24" i="222" s="1"/>
  <c r="B24" i="222"/>
  <c r="M23" i="222"/>
  <c r="L23" i="222"/>
  <c r="M22" i="222"/>
  <c r="L22" i="222"/>
  <c r="M18" i="222"/>
  <c r="L18" i="222"/>
  <c r="L24" i="222" s="1"/>
  <c r="K15" i="222"/>
  <c r="J15" i="222"/>
  <c r="I15" i="222"/>
  <c r="H15" i="222"/>
  <c r="G15" i="222"/>
  <c r="F15" i="222"/>
  <c r="E15" i="222"/>
  <c r="D15" i="222"/>
  <c r="C15" i="222"/>
  <c r="M15" i="222" s="1"/>
  <c r="B15" i="222"/>
  <c r="M14" i="222"/>
  <c r="L14" i="222"/>
  <c r="M13" i="222"/>
  <c r="L13" i="222"/>
  <c r="M12" i="222"/>
  <c r="L12" i="222"/>
  <c r="M9" i="222"/>
  <c r="L9" i="222"/>
  <c r="M8" i="222"/>
  <c r="L8" i="222"/>
  <c r="L15" i="222" s="1"/>
  <c r="K6" i="222"/>
  <c r="J6" i="222"/>
  <c r="M32" i="221"/>
  <c r="L32" i="221"/>
  <c r="K32" i="221"/>
  <c r="K24" i="221"/>
  <c r="J24" i="221"/>
  <c r="I24" i="221"/>
  <c r="H24" i="221"/>
  <c r="G24" i="221"/>
  <c r="F24" i="221"/>
  <c r="E24" i="221"/>
  <c r="D24" i="221"/>
  <c r="C24" i="221"/>
  <c r="B24" i="221"/>
  <c r="M23" i="221"/>
  <c r="L23" i="221"/>
  <c r="M22" i="221"/>
  <c r="L22" i="221"/>
  <c r="M18" i="221"/>
  <c r="L18" i="221"/>
  <c r="L24" i="221" s="1"/>
  <c r="K15" i="221"/>
  <c r="J15" i="221"/>
  <c r="I15" i="221"/>
  <c r="H15" i="221"/>
  <c r="G15" i="221"/>
  <c r="F15" i="221"/>
  <c r="E15" i="221"/>
  <c r="D15" i="221"/>
  <c r="C15" i="221"/>
  <c r="B15" i="221"/>
  <c r="M14" i="221"/>
  <c r="L14" i="221"/>
  <c r="M13" i="221"/>
  <c r="L13" i="221"/>
  <c r="M12" i="221"/>
  <c r="L12" i="221"/>
  <c r="M9" i="221"/>
  <c r="L9" i="221"/>
  <c r="M8" i="221"/>
  <c r="L8" i="221"/>
  <c r="L15" i="221" s="1"/>
  <c r="K6" i="221"/>
  <c r="J6" i="221"/>
  <c r="M32" i="220"/>
  <c r="L32" i="220"/>
  <c r="K32" i="220"/>
  <c r="K24" i="220"/>
  <c r="J24" i="220"/>
  <c r="I24" i="220"/>
  <c r="H24" i="220"/>
  <c r="G24" i="220"/>
  <c r="F24" i="220"/>
  <c r="E24" i="220"/>
  <c r="D24" i="220"/>
  <c r="C24" i="220"/>
  <c r="M24" i="220" s="1"/>
  <c r="B24" i="220"/>
  <c r="M23" i="220"/>
  <c r="L23" i="220"/>
  <c r="M22" i="220"/>
  <c r="L22" i="220"/>
  <c r="M18" i="220"/>
  <c r="L18" i="220"/>
  <c r="L24" i="220" s="1"/>
  <c r="K15" i="220"/>
  <c r="J15" i="220"/>
  <c r="I15" i="220"/>
  <c r="H15" i="220"/>
  <c r="G15" i="220"/>
  <c r="F15" i="220"/>
  <c r="E15" i="220"/>
  <c r="D15" i="220"/>
  <c r="C15" i="220"/>
  <c r="M15" i="220" s="1"/>
  <c r="B15" i="220"/>
  <c r="M14" i="220"/>
  <c r="L14" i="220"/>
  <c r="M13" i="220"/>
  <c r="L13" i="220"/>
  <c r="M12" i="220"/>
  <c r="L12" i="220"/>
  <c r="M9" i="220"/>
  <c r="L9" i="220"/>
  <c r="M8" i="220"/>
  <c r="L8" i="220"/>
  <c r="L15" i="220" s="1"/>
  <c r="K6" i="220"/>
  <c r="J6" i="220"/>
  <c r="E50" i="219"/>
  <c r="D50" i="219"/>
  <c r="C50" i="219"/>
  <c r="E44" i="219"/>
  <c r="E55" i="219" s="1"/>
  <c r="D44" i="219"/>
  <c r="D55" i="219" s="1"/>
  <c r="C44" i="219"/>
  <c r="C55" i="219" s="1"/>
  <c r="E36" i="219"/>
  <c r="D36" i="219"/>
  <c r="C36" i="219"/>
  <c r="E29" i="219"/>
  <c r="D29" i="219"/>
  <c r="C29" i="219"/>
  <c r="E25" i="219"/>
  <c r="D25" i="219"/>
  <c r="C25" i="219"/>
  <c r="E19" i="219"/>
  <c r="D19" i="219"/>
  <c r="C19" i="219"/>
  <c r="E8" i="219"/>
  <c r="E35" i="219" s="1"/>
  <c r="E40" i="219" s="1"/>
  <c r="D8" i="219"/>
  <c r="D35" i="219" s="1"/>
  <c r="D40" i="219" s="1"/>
  <c r="C8" i="219"/>
  <c r="C35" i="219" s="1"/>
  <c r="C40" i="219" s="1"/>
  <c r="E50" i="218"/>
  <c r="D50" i="218"/>
  <c r="C50" i="218"/>
  <c r="E44" i="218"/>
  <c r="E55" i="218" s="1"/>
  <c r="D44" i="218"/>
  <c r="D55" i="218" s="1"/>
  <c r="C44" i="218"/>
  <c r="C55" i="218" s="1"/>
  <c r="E36" i="218"/>
  <c r="D36" i="218"/>
  <c r="C36" i="218"/>
  <c r="E29" i="218"/>
  <c r="D29" i="218"/>
  <c r="C29" i="218"/>
  <c r="E25" i="218"/>
  <c r="D25" i="218"/>
  <c r="C25" i="218"/>
  <c r="E19" i="218"/>
  <c r="D19" i="218"/>
  <c r="E8" i="218"/>
  <c r="E35" i="218" s="1"/>
  <c r="E40" i="218" s="1"/>
  <c r="D8" i="218"/>
  <c r="D35" i="218" s="1"/>
  <c r="D40" i="218" s="1"/>
  <c r="C8" i="218"/>
  <c r="C35" i="218" s="1"/>
  <c r="C40" i="218" s="1"/>
  <c r="E50" i="217"/>
  <c r="D50" i="217"/>
  <c r="C50" i="217"/>
  <c r="E44" i="217"/>
  <c r="E55" i="217" s="1"/>
  <c r="D44" i="217"/>
  <c r="D55" i="217" s="1"/>
  <c r="C44" i="217"/>
  <c r="C55" i="217" s="1"/>
  <c r="E36" i="217"/>
  <c r="D36" i="217"/>
  <c r="C36" i="217"/>
  <c r="E29" i="217"/>
  <c r="D29" i="217"/>
  <c r="C29" i="217"/>
  <c r="E25" i="217"/>
  <c r="D25" i="217"/>
  <c r="C25" i="217"/>
  <c r="E19" i="217"/>
  <c r="D19" i="217"/>
  <c r="C19" i="217"/>
  <c r="E8" i="217"/>
  <c r="E35" i="217" s="1"/>
  <c r="E40" i="217" s="1"/>
  <c r="D8" i="217"/>
  <c r="D35" i="217" s="1"/>
  <c r="D40" i="217" s="1"/>
  <c r="C8" i="217"/>
  <c r="C35" i="217" s="1"/>
  <c r="C40" i="217" s="1"/>
  <c r="E50" i="216"/>
  <c r="D50" i="216"/>
  <c r="C50" i="216"/>
  <c r="E44" i="216"/>
  <c r="E55" i="216" s="1"/>
  <c r="D44" i="216"/>
  <c r="D55" i="216" s="1"/>
  <c r="C44" i="216"/>
  <c r="C55" i="216" s="1"/>
  <c r="E36" i="216"/>
  <c r="D36" i="216"/>
  <c r="C36" i="216"/>
  <c r="E29" i="216"/>
  <c r="D29" i="216"/>
  <c r="C29" i="216"/>
  <c r="E25" i="216"/>
  <c r="D25" i="216"/>
  <c r="C25" i="216"/>
  <c r="E19" i="216"/>
  <c r="D19" i="216"/>
  <c r="C19" i="216"/>
  <c r="E8" i="216"/>
  <c r="E35" i="216" s="1"/>
  <c r="E40" i="216" s="1"/>
  <c r="D8" i="216"/>
  <c r="D35" i="216" s="1"/>
  <c r="D40" i="216" s="1"/>
  <c r="C8" i="216"/>
  <c r="C35" i="216" s="1"/>
  <c r="C40" i="216" s="1"/>
  <c r="E50" i="215"/>
  <c r="D50" i="215"/>
  <c r="C50" i="215"/>
  <c r="E44" i="215"/>
  <c r="E55" i="215" s="1"/>
  <c r="D44" i="215"/>
  <c r="D55" i="215" s="1"/>
  <c r="C44" i="215"/>
  <c r="C55" i="215" s="1"/>
  <c r="E36" i="215"/>
  <c r="D36" i="215"/>
  <c r="C36" i="215"/>
  <c r="E29" i="215"/>
  <c r="D29" i="215"/>
  <c r="C29" i="215"/>
  <c r="E25" i="215"/>
  <c r="D25" i="215"/>
  <c r="C25" i="215"/>
  <c r="E19" i="215"/>
  <c r="D19" i="215"/>
  <c r="C19" i="215"/>
  <c r="E8" i="215"/>
  <c r="E35" i="215" s="1"/>
  <c r="E40" i="215" s="1"/>
  <c r="D8" i="215"/>
  <c r="D35" i="215" s="1"/>
  <c r="D40" i="215" s="1"/>
  <c r="C8" i="215"/>
  <c r="C35" i="215" s="1"/>
  <c r="C40" i="215" s="1"/>
  <c r="C43" i="214"/>
  <c r="E42" i="214"/>
  <c r="F42" i="214" s="1"/>
  <c r="D42" i="214"/>
  <c r="F41" i="214"/>
  <c r="F40" i="214"/>
  <c r="F39" i="214"/>
  <c r="F38" i="214"/>
  <c r="F37" i="214"/>
  <c r="F36" i="214"/>
  <c r="E35" i="214"/>
  <c r="F34" i="214"/>
  <c r="F33" i="214"/>
  <c r="F32" i="214"/>
  <c r="D32" i="214"/>
  <c r="F31" i="214"/>
  <c r="F30" i="214"/>
  <c r="D30" i="214"/>
  <c r="D35" i="214" s="1"/>
  <c r="F29" i="214"/>
  <c r="F35" i="214" s="1"/>
  <c r="F28" i="214"/>
  <c r="E27" i="214"/>
  <c r="F26" i="214"/>
  <c r="F25" i="214"/>
  <c r="F24" i="214"/>
  <c r="F23" i="214"/>
  <c r="F22" i="214"/>
  <c r="F21" i="214"/>
  <c r="F20" i="214"/>
  <c r="F19" i="214"/>
  <c r="F27" i="214" s="1"/>
  <c r="D19" i="214"/>
  <c r="D27" i="214" s="1"/>
  <c r="F18" i="214"/>
  <c r="E17" i="214"/>
  <c r="F17" i="214" s="1"/>
  <c r="D17" i="214"/>
  <c r="F15" i="214"/>
  <c r="F14" i="214"/>
  <c r="F13" i="214"/>
  <c r="F12" i="214"/>
  <c r="E11" i="214"/>
  <c r="E43" i="214" s="1"/>
  <c r="D11" i="214"/>
  <c r="D43" i="214" s="1"/>
  <c r="F10" i="214"/>
  <c r="F9" i="214"/>
  <c r="F8" i="214"/>
  <c r="F7" i="214"/>
  <c r="F6" i="214"/>
  <c r="M15" i="226" l="1"/>
  <c r="M10" i="226"/>
  <c r="M18" i="226"/>
  <c r="M15" i="221"/>
  <c r="M24" i="221"/>
  <c r="M15" i="223"/>
  <c r="M24" i="223"/>
  <c r="L24" i="224"/>
  <c r="M24" i="224" s="1"/>
  <c r="F11" i="214"/>
  <c r="F43" i="214" s="1"/>
  <c r="F28" i="122" l="1"/>
  <c r="G28" i="122" s="1"/>
  <c r="G23" i="122"/>
  <c r="G25" i="122"/>
  <c r="G26" i="122"/>
  <c r="G27" i="122"/>
  <c r="F29" i="122"/>
  <c r="F24" i="122"/>
  <c r="G24" i="122" s="1"/>
  <c r="F9" i="122"/>
  <c r="F14" i="123" l="1"/>
  <c r="F8" i="123"/>
  <c r="G8" i="123" s="1"/>
  <c r="F5" i="123"/>
  <c r="F11" i="123"/>
  <c r="G11" i="123" s="1"/>
  <c r="F6" i="123"/>
  <c r="F22" i="123"/>
  <c r="G22" i="123" s="1"/>
  <c r="G6" i="123"/>
  <c r="G14" i="123"/>
  <c r="F19" i="123"/>
  <c r="G19" i="123" s="1"/>
  <c r="F20" i="123"/>
  <c r="G20" i="123" s="1"/>
  <c r="F17" i="123"/>
  <c r="G17" i="123" s="1"/>
  <c r="E23" i="123"/>
  <c r="D23" i="123"/>
  <c r="B23" i="123"/>
  <c r="G15" i="123"/>
  <c r="G12" i="123"/>
  <c r="G13" i="123"/>
  <c r="G18" i="123"/>
  <c r="G21" i="123"/>
  <c r="G7" i="123"/>
  <c r="G9" i="123"/>
  <c r="G10" i="123"/>
  <c r="E19" i="123"/>
  <c r="E17" i="123"/>
  <c r="E14" i="123"/>
  <c r="E13" i="123"/>
  <c r="E6" i="123"/>
  <c r="E5" i="123"/>
  <c r="B19" i="123"/>
  <c r="B17" i="123"/>
  <c r="B14" i="123"/>
  <c r="B13" i="123"/>
  <c r="B10" i="123"/>
  <c r="B6" i="123"/>
  <c r="B5" i="123"/>
  <c r="F23" i="123" l="1"/>
  <c r="F21" i="122" l="1"/>
  <c r="F6" i="122"/>
  <c r="F8" i="122"/>
  <c r="F15" i="122"/>
  <c r="F19" i="122"/>
  <c r="D10" i="204"/>
  <c r="D15" i="204"/>
  <c r="D9" i="204"/>
  <c r="E10" i="204"/>
  <c r="E9" i="204"/>
  <c r="F17" i="122" l="1"/>
  <c r="F11" i="204"/>
  <c r="F6" i="204"/>
  <c r="F11" i="208" l="1"/>
  <c r="E5" i="208"/>
  <c r="F5" i="208" s="1"/>
  <c r="E6" i="208"/>
  <c r="F6" i="208" s="1"/>
  <c r="E7" i="208"/>
  <c r="F7" i="208" s="1"/>
  <c r="E8" i="208"/>
  <c r="F8" i="208" s="1"/>
  <c r="E9" i="208"/>
  <c r="F9" i="208" s="1"/>
  <c r="E10" i="208"/>
  <c r="F10" i="208" s="1"/>
  <c r="E11" i="208"/>
  <c r="E12" i="208"/>
  <c r="F12" i="208" s="1"/>
  <c r="E13" i="208"/>
  <c r="E14" i="208"/>
  <c r="E15" i="208"/>
  <c r="E16" i="208"/>
  <c r="E17" i="208"/>
  <c r="E18" i="208"/>
  <c r="E19" i="208"/>
  <c r="E20" i="208"/>
  <c r="E21" i="208"/>
  <c r="E22" i="208"/>
  <c r="E23" i="208"/>
  <c r="E24" i="208"/>
  <c r="E25" i="208"/>
  <c r="E26" i="208"/>
  <c r="E27" i="208"/>
  <c r="E28" i="208"/>
  <c r="E29" i="208"/>
  <c r="E31" i="208"/>
  <c r="E32" i="208"/>
  <c r="E33" i="208"/>
  <c r="E34" i="208"/>
  <c r="E35" i="208"/>
  <c r="C36" i="208"/>
  <c r="D36" i="208"/>
  <c r="G36" i="208"/>
  <c r="E36" i="208" l="1"/>
  <c r="F36" i="208"/>
  <c r="C10" i="146" l="1"/>
  <c r="C5" i="146"/>
  <c r="D31" i="207"/>
  <c r="D30" i="207"/>
  <c r="D12" i="207"/>
  <c r="D28" i="207"/>
  <c r="D33" i="207"/>
  <c r="D25" i="207"/>
  <c r="D8" i="207"/>
  <c r="D6" i="207"/>
  <c r="D18" i="207"/>
  <c r="E113" i="119" l="1"/>
  <c r="C113" i="119"/>
  <c r="D113" i="119" l="1"/>
  <c r="C28" i="172"/>
  <c r="C27" i="172" s="1"/>
  <c r="D28" i="172"/>
  <c r="D27" i="172" s="1"/>
  <c r="E28" i="172"/>
  <c r="E27" i="172" s="1"/>
  <c r="D39" i="207"/>
  <c r="C8" i="126" l="1"/>
  <c r="C35" i="126" s="1"/>
  <c r="C19" i="126"/>
  <c r="C25" i="126"/>
  <c r="C29" i="126"/>
  <c r="C36" i="126"/>
  <c r="C40" i="126" l="1"/>
  <c r="E30" i="125" l="1"/>
  <c r="D30" i="125"/>
  <c r="C30" i="125"/>
  <c r="C29" i="125"/>
  <c r="E18" i="120"/>
  <c r="D18" i="120"/>
  <c r="D73" i="119"/>
  <c r="E73" i="119"/>
  <c r="D64" i="119"/>
  <c r="E64" i="119"/>
  <c r="D53" i="119"/>
  <c r="E53" i="119"/>
  <c r="D47" i="119"/>
  <c r="E47" i="119"/>
  <c r="D35" i="119"/>
  <c r="E35" i="119"/>
  <c r="D28" i="119"/>
  <c r="D27" i="119"/>
  <c r="E28" i="119"/>
  <c r="E27" i="119" s="1"/>
  <c r="C27" i="119"/>
  <c r="C28" i="119"/>
  <c r="C86" i="119"/>
  <c r="C85" i="119"/>
  <c r="C84" i="119"/>
  <c r="C83" i="119"/>
  <c r="C82" i="119"/>
  <c r="C81" i="119"/>
  <c r="C79" i="119"/>
  <c r="C78" i="119"/>
  <c r="C77" i="119"/>
  <c r="C75" i="119"/>
  <c r="C73" i="119" s="1"/>
  <c r="C72" i="119"/>
  <c r="C71" i="119"/>
  <c r="C70" i="119"/>
  <c r="C69" i="119"/>
  <c r="C67" i="119"/>
  <c r="C64" i="119" s="1"/>
  <c r="C62" i="119"/>
  <c r="C61" i="119"/>
  <c r="C60" i="119"/>
  <c r="C59" i="119"/>
  <c r="C57" i="119"/>
  <c r="C54" i="119"/>
  <c r="C53" i="119" s="1"/>
  <c r="C52" i="119"/>
  <c r="C51" i="119"/>
  <c r="C50" i="119"/>
  <c r="C47" i="119"/>
  <c r="C48" i="119"/>
  <c r="C44" i="119"/>
  <c r="C35" i="119" s="1"/>
  <c r="C31" i="119"/>
  <c r="C24" i="119"/>
  <c r="C23" i="119"/>
  <c r="C22" i="119"/>
  <c r="C21" i="119"/>
  <c r="C20" i="119"/>
  <c r="C19" i="119"/>
  <c r="C17" i="119"/>
  <c r="C16" i="119"/>
  <c r="C15" i="119"/>
  <c r="C14" i="119"/>
  <c r="C12" i="119"/>
  <c r="C6" i="119"/>
  <c r="C6" i="172"/>
  <c r="E93" i="172"/>
  <c r="E110" i="172"/>
  <c r="E122" i="172"/>
  <c r="E126" i="172"/>
  <c r="E130" i="172"/>
  <c r="E135" i="172"/>
  <c r="E145" i="172" s="1"/>
  <c r="E140" i="172"/>
  <c r="E6" i="172"/>
  <c r="E13" i="172"/>
  <c r="E20" i="172"/>
  <c r="E35" i="172"/>
  <c r="E47" i="172"/>
  <c r="E53" i="172"/>
  <c r="E58" i="172"/>
  <c r="E64" i="172"/>
  <c r="E68" i="172"/>
  <c r="E73" i="172"/>
  <c r="E76" i="172"/>
  <c r="E80" i="172"/>
  <c r="C13" i="204"/>
  <c r="C12" i="204"/>
  <c r="C8" i="204"/>
  <c r="C9" i="204"/>
  <c r="C10" i="204"/>
  <c r="C7" i="204"/>
  <c r="D6" i="204"/>
  <c r="D11" i="204" s="1"/>
  <c r="D16" i="204" s="1"/>
  <c r="E6" i="204"/>
  <c r="E11" i="204" s="1"/>
  <c r="E15" i="204"/>
  <c r="E12" i="203"/>
  <c r="D12" i="203"/>
  <c r="C15" i="198"/>
  <c r="C19" i="198"/>
  <c r="C11" i="199"/>
  <c r="D20" i="199"/>
  <c r="D40" i="199" s="1"/>
  <c r="G29" i="122"/>
  <c r="G22" i="122"/>
  <c r="G21" i="122"/>
  <c r="G20" i="122"/>
  <c r="G18" i="122"/>
  <c r="G19" i="122"/>
  <c r="G17" i="122"/>
  <c r="E24" i="120"/>
  <c r="D19" i="120"/>
  <c r="D24" i="120"/>
  <c r="C18" i="120"/>
  <c r="G15" i="122"/>
  <c r="G14" i="122"/>
  <c r="G13" i="122"/>
  <c r="G12" i="122"/>
  <c r="G11" i="122"/>
  <c r="G10" i="122"/>
  <c r="G9" i="122"/>
  <c r="G8" i="122"/>
  <c r="E37" i="125"/>
  <c r="E6" i="119"/>
  <c r="E5" i="173"/>
  <c r="F5" i="173"/>
  <c r="G5" i="173"/>
  <c r="H5" i="173"/>
  <c r="E12" i="173"/>
  <c r="F12" i="173"/>
  <c r="G12" i="173"/>
  <c r="H12" i="173"/>
  <c r="E19" i="173"/>
  <c r="F19" i="173"/>
  <c r="G19" i="173"/>
  <c r="H19" i="173"/>
  <c r="D6" i="172"/>
  <c r="C13" i="172"/>
  <c r="D13" i="172"/>
  <c r="C20" i="172"/>
  <c r="D20" i="172"/>
  <c r="C35" i="172"/>
  <c r="D35" i="172"/>
  <c r="C47" i="172"/>
  <c r="D47" i="172"/>
  <c r="C53" i="172"/>
  <c r="D53" i="172"/>
  <c r="C58" i="172"/>
  <c r="D58" i="172"/>
  <c r="C64" i="172"/>
  <c r="D64" i="172"/>
  <c r="C68" i="172"/>
  <c r="D68" i="172"/>
  <c r="C73" i="172"/>
  <c r="D73" i="172"/>
  <c r="C76" i="172"/>
  <c r="D76" i="172"/>
  <c r="C80" i="172"/>
  <c r="D80" i="172"/>
  <c r="C86" i="172"/>
  <c r="D86" i="172"/>
  <c r="C90" i="172"/>
  <c r="D90" i="172"/>
  <c r="C93" i="172"/>
  <c r="D93" i="172"/>
  <c r="C110" i="172"/>
  <c r="D110" i="172"/>
  <c r="C122" i="172"/>
  <c r="D122" i="172"/>
  <c r="C125" i="172"/>
  <c r="D125" i="172"/>
  <c r="C126" i="172"/>
  <c r="D126" i="172"/>
  <c r="C130" i="172"/>
  <c r="D130" i="172"/>
  <c r="C135" i="172"/>
  <c r="D135" i="172"/>
  <c r="C140" i="172"/>
  <c r="D140" i="172"/>
  <c r="G7" i="122"/>
  <c r="G16" i="122"/>
  <c r="C19" i="120"/>
  <c r="C129" i="119"/>
  <c r="C12" i="146"/>
  <c r="D11" i="143"/>
  <c r="D17" i="143"/>
  <c r="D41" i="143"/>
  <c r="C29" i="138"/>
  <c r="D29" i="138"/>
  <c r="D8" i="126"/>
  <c r="E8" i="126"/>
  <c r="D19" i="126"/>
  <c r="E19" i="126"/>
  <c r="D25" i="126"/>
  <c r="E25" i="126"/>
  <c r="D29" i="126"/>
  <c r="E29" i="126"/>
  <c r="D35" i="126"/>
  <c r="E35" i="126"/>
  <c r="D36" i="126"/>
  <c r="E36" i="126"/>
  <c r="C44" i="126"/>
  <c r="D44" i="126"/>
  <c r="E44" i="126"/>
  <c r="C50" i="126"/>
  <c r="D50" i="126"/>
  <c r="E50" i="126"/>
  <c r="C55" i="126"/>
  <c r="D55" i="126"/>
  <c r="E55" i="126"/>
  <c r="C8" i="125"/>
  <c r="D8" i="125"/>
  <c r="E8" i="125"/>
  <c r="C15" i="125"/>
  <c r="D15" i="125"/>
  <c r="E15" i="125"/>
  <c r="C22" i="125"/>
  <c r="D22" i="125"/>
  <c r="E22" i="125"/>
  <c r="C37" i="125"/>
  <c r="D37" i="125"/>
  <c r="C49" i="125"/>
  <c r="D49" i="125"/>
  <c r="E49" i="125"/>
  <c r="C55" i="125"/>
  <c r="D55" i="125"/>
  <c r="E55" i="125"/>
  <c r="C60" i="125"/>
  <c r="D60" i="125"/>
  <c r="E60" i="125"/>
  <c r="C66" i="125"/>
  <c r="D66" i="125"/>
  <c r="E66" i="125"/>
  <c r="C70" i="125"/>
  <c r="D70" i="125"/>
  <c r="E70" i="125"/>
  <c r="C75" i="125"/>
  <c r="D75" i="125"/>
  <c r="E75" i="125"/>
  <c r="C78" i="125"/>
  <c r="D78" i="125"/>
  <c r="E78" i="125"/>
  <c r="C82" i="125"/>
  <c r="D82" i="125"/>
  <c r="E82" i="125"/>
  <c r="C93" i="125"/>
  <c r="D93" i="125"/>
  <c r="E93" i="125"/>
  <c r="C110" i="125"/>
  <c r="D110" i="125"/>
  <c r="E110" i="125"/>
  <c r="C122" i="125"/>
  <c r="D122" i="125"/>
  <c r="E122" i="125"/>
  <c r="C126" i="125"/>
  <c r="D126" i="125"/>
  <c r="E126" i="125"/>
  <c r="C130" i="125"/>
  <c r="D130" i="125"/>
  <c r="E130" i="125"/>
  <c r="C135" i="125"/>
  <c r="D135" i="125"/>
  <c r="E135" i="125"/>
  <c r="C141" i="125"/>
  <c r="D141" i="125"/>
  <c r="E141" i="125"/>
  <c r="G5" i="123"/>
  <c r="D16" i="123"/>
  <c r="G16" i="123"/>
  <c r="G5" i="122"/>
  <c r="G6" i="122"/>
  <c r="B30" i="122"/>
  <c r="D30" i="122"/>
  <c r="E30" i="122"/>
  <c r="F30" i="122"/>
  <c r="C17" i="121"/>
  <c r="D17" i="121"/>
  <c r="E17" i="121"/>
  <c r="G17" i="121"/>
  <c r="H17" i="121"/>
  <c r="I17" i="121"/>
  <c r="I32" i="121" s="1"/>
  <c r="C18" i="121"/>
  <c r="D18" i="121"/>
  <c r="E18" i="121"/>
  <c r="C24" i="121"/>
  <c r="C30" i="121"/>
  <c r="D24" i="121"/>
  <c r="D30" i="121"/>
  <c r="E24" i="121"/>
  <c r="E30" i="121" s="1"/>
  <c r="E31" i="121" s="1"/>
  <c r="G30" i="121"/>
  <c r="H30" i="121"/>
  <c r="I30" i="121"/>
  <c r="I31" i="121"/>
  <c r="G33" i="121"/>
  <c r="H33" i="121"/>
  <c r="I33" i="121"/>
  <c r="G4" i="120"/>
  <c r="H4" i="120"/>
  <c r="I4" i="120"/>
  <c r="G18" i="120"/>
  <c r="H18" i="120"/>
  <c r="D30" i="120" s="1"/>
  <c r="I18" i="120"/>
  <c r="E30" i="120" s="1"/>
  <c r="E19" i="120"/>
  <c r="C24" i="120"/>
  <c r="C28" i="120" s="1"/>
  <c r="C29" i="120" s="1"/>
  <c r="E28" i="120"/>
  <c r="E29" i="120"/>
  <c r="G28" i="120"/>
  <c r="H28" i="120"/>
  <c r="I28" i="120"/>
  <c r="C30" i="120"/>
  <c r="D6" i="119"/>
  <c r="D13" i="119"/>
  <c r="E13" i="119"/>
  <c r="C13" i="119" s="1"/>
  <c r="D20" i="119"/>
  <c r="E20" i="119"/>
  <c r="D58" i="119"/>
  <c r="C58" i="119" s="1"/>
  <c r="E58" i="119"/>
  <c r="D68" i="119"/>
  <c r="C68" i="119" s="1"/>
  <c r="E68" i="119"/>
  <c r="D76" i="119"/>
  <c r="E76" i="119"/>
  <c r="C76" i="119" s="1"/>
  <c r="D80" i="119"/>
  <c r="C80" i="119" s="1"/>
  <c r="E80" i="119"/>
  <c r="C95" i="119"/>
  <c r="C128" i="119" s="1"/>
  <c r="D95" i="119"/>
  <c r="E95" i="119"/>
  <c r="C125" i="119"/>
  <c r="D125" i="119"/>
  <c r="E125" i="119"/>
  <c r="E128" i="119"/>
  <c r="D129" i="119"/>
  <c r="E129" i="119"/>
  <c r="C133" i="119"/>
  <c r="D133" i="119"/>
  <c r="E133" i="119"/>
  <c r="C138" i="119"/>
  <c r="D138" i="119"/>
  <c r="E138" i="119"/>
  <c r="C143" i="119"/>
  <c r="D143" i="119"/>
  <c r="E143" i="119"/>
  <c r="H31" i="121"/>
  <c r="H32" i="121"/>
  <c r="G31" i="121"/>
  <c r="C32" i="121"/>
  <c r="G32" i="121"/>
  <c r="D31" i="121"/>
  <c r="D32" i="121"/>
  <c r="C31" i="121"/>
  <c r="H29" i="120"/>
  <c r="H30" i="120"/>
  <c r="D28" i="120"/>
  <c r="D29" i="120" s="1"/>
  <c r="I29" i="120"/>
  <c r="G29" i="120"/>
  <c r="D63" i="119"/>
  <c r="E87" i="119"/>
  <c r="D148" i="119"/>
  <c r="D128" i="119"/>
  <c r="I30" i="120"/>
  <c r="G30" i="120"/>
  <c r="C146" i="125"/>
  <c r="C147" i="125" s="1"/>
  <c r="C125" i="125"/>
  <c r="C88" i="125"/>
  <c r="D125" i="125"/>
  <c r="D88" i="125"/>
  <c r="C65" i="125"/>
  <c r="C89" i="125" s="1"/>
  <c r="D29" i="125"/>
  <c r="D65" i="125" s="1"/>
  <c r="D89" i="125" s="1"/>
  <c r="E29" i="125"/>
  <c r="E146" i="125" l="1"/>
  <c r="E40" i="126"/>
  <c r="G23" i="123"/>
  <c r="G30" i="122"/>
  <c r="C6" i="204"/>
  <c r="C11" i="204" s="1"/>
  <c r="C23" i="198"/>
  <c r="E88" i="125"/>
  <c r="D146" i="125"/>
  <c r="D147" i="125" s="1"/>
  <c r="E65" i="125"/>
  <c r="E89" i="125" s="1"/>
  <c r="E125" i="125"/>
  <c r="E32" i="121"/>
  <c r="E31" i="120"/>
  <c r="I31" i="120"/>
  <c r="E63" i="119"/>
  <c r="E88" i="119" s="1"/>
  <c r="E148" i="119"/>
  <c r="E149" i="119" s="1"/>
  <c r="C148" i="119"/>
  <c r="C154" i="119" s="1"/>
  <c r="D149" i="119"/>
  <c r="D153" i="119"/>
  <c r="D145" i="172"/>
  <c r="D146" i="172" s="1"/>
  <c r="C145" i="172"/>
  <c r="C146" i="172" s="1"/>
  <c r="E125" i="172"/>
  <c r="E146" i="172" s="1"/>
  <c r="E86" i="172"/>
  <c r="E63" i="172"/>
  <c r="D63" i="172"/>
  <c r="D87" i="172" s="1"/>
  <c r="E16" i="204"/>
  <c r="D40" i="126"/>
  <c r="D31" i="120"/>
  <c r="H31" i="120"/>
  <c r="C153" i="119"/>
  <c r="C149" i="119"/>
  <c r="C31" i="120"/>
  <c r="G31" i="120"/>
  <c r="C63" i="172"/>
  <c r="C87" i="172" s="1"/>
  <c r="D87" i="119"/>
  <c r="E154" i="119"/>
  <c r="E147" i="125" l="1"/>
  <c r="E153" i="119"/>
  <c r="E87" i="172"/>
  <c r="D88" i="119"/>
  <c r="D154" i="119"/>
</calcChain>
</file>

<file path=xl/sharedStrings.xml><?xml version="1.0" encoding="utf-8"?>
<sst xmlns="http://schemas.openxmlformats.org/spreadsheetml/2006/main" count="3127" uniqueCount="948">
  <si>
    <t>1.2. Nemzetgazdasági szempontból kiemelt jelentőségű ingatlanok és kapcsolódó 
       vagyoni értékű jogok</t>
  </si>
  <si>
    <t>05.</t>
  </si>
  <si>
    <t>1.3. Korlátozottan forgalomképes ingatlanok és kapcsolódó vagyoni értékű jogok</t>
  </si>
  <si>
    <t>06.</t>
  </si>
  <si>
    <t>1.4. Üzleti ingatlanok és kapcsolódó vagyoni értékű jogok</t>
  </si>
  <si>
    <t>07.</t>
  </si>
  <si>
    <t>2. Gépek, berendezések, felszerelések, járművek (09+10+11+12)</t>
  </si>
  <si>
    <t>08.</t>
  </si>
  <si>
    <t>2.1. Forgalomképtelen gépek, berendezések, felszerelések, járművek</t>
  </si>
  <si>
    <t>09.</t>
  </si>
  <si>
    <t>2.2. Nemzetgazdasági szempontból kiemelt jelentőségű gépek, berendezések, 
       felszerelések, járművek</t>
  </si>
  <si>
    <t>2.3. Korlátozottan forgalomképes gépek, berendezések, felszerelések, járművek</t>
  </si>
  <si>
    <t>2.4. Üzleti gépek, berendezések, felszerelések, járművek</t>
  </si>
  <si>
    <t>3. Tenyészállatok (14+15+16+17)</t>
  </si>
  <si>
    <t>3.1. Forgalomképtelen tenyészállatok</t>
  </si>
  <si>
    <t>3.2. Nemzetgazdasági szempontból kiemelt jelentőségű tenyészállatok</t>
  </si>
  <si>
    <t>3.3. Korlátozottan forgalomképes tenyészállatok</t>
  </si>
  <si>
    <t>3.4. Üzleti tenyészállatok</t>
  </si>
  <si>
    <t>4. Beruházások, felújítások (19+20+21+22)</t>
  </si>
  <si>
    <t>4.1. Forgalomképtelen beruházások, felújítások</t>
  </si>
  <si>
    <t>Tiva-Szolg Nonprofit Kft.</t>
  </si>
  <si>
    <t>Nyírvidék Képző Központ Nonprofit Kft.</t>
  </si>
  <si>
    <t>Nyírségi Szakképzés - szervezési Közhasznú Nonprofit Kft.</t>
  </si>
  <si>
    <t>4.2. Nemzetgazdasági szempontból kiemelt jelentőségű beruházások, felújítások</t>
  </si>
  <si>
    <t>4.3. Korlátozottan forgalomképes beruházások, felújítások</t>
  </si>
  <si>
    <t>4.4. Üzleti beruházások, felújítások</t>
  </si>
  <si>
    <t>5. Tárgyi eszközök értékhelyesbítése (24+25+26+27)</t>
  </si>
  <si>
    <t>5.1. Forgalomképtelen tárgyi eszközök értékhelyesbítése</t>
  </si>
  <si>
    <t>5.2. Nemzetgazdasági szempontból kiemelt jelentőségű tárgyi eszközök 
       értékhelyesbítése</t>
  </si>
  <si>
    <t>5.3. Korlátozottan forgalomképes tárgyi eszközök értékhelyesbítése</t>
  </si>
  <si>
    <t>5.4. Üzleti tárgyi eszközök értékhelyesbítése</t>
  </si>
  <si>
    <t>III. Befektetett pénzügyi eszközök (29+34+39)</t>
  </si>
  <si>
    <t>1. Tartós részesedések (30+31+32+33)</t>
  </si>
  <si>
    <t>1.1. Forgalomképtelen tartós részesedések</t>
  </si>
  <si>
    <t>1.2. Nemzetgazdasági szempontból kiemelt jelentőségű tartós részesedések</t>
  </si>
  <si>
    <t>1.3. Korlátozottan forgalomképes tartós részesedések</t>
  </si>
  <si>
    <t>1.4. Üzleti tartós részesedések</t>
  </si>
  <si>
    <t>2. Tartós hitelviszonyt megtestesítő értékpapírok (35+36+37+38)</t>
  </si>
  <si>
    <t>2.1. Forgalomképtelen tartós hitelviszonyt megtestesítő értékpapírok</t>
  </si>
  <si>
    <t>2.2. Nemzetgazdasági szempontból kiemelt jelentőségű tartós hitelviszonyt 
       megtestesítő értékpapírok</t>
  </si>
  <si>
    <t>2.3. Korlátozottan forgalomképes tartós hitelviszonyt megtestesítő értékpapírok</t>
  </si>
  <si>
    <t>2.4. Üzleti tartós hitelviszonyt megtestesítő értékpapírok</t>
  </si>
  <si>
    <t>3. Befektetett pénzügyi eszközök értékhelyesbítése (40+41+42+43)</t>
  </si>
  <si>
    <t>3.1. Forgalomképtelen befektetett pénzügyi eszközök értékhelyesbítése</t>
  </si>
  <si>
    <t>3.2. Nemzetgazdasági szempontból kiemelt jelentőségű befektetett pénzügyi 
       eszközök értékhelyesbítése</t>
  </si>
  <si>
    <t>3.3. Korlátozottan forgalomképes befektetett pénzügyi eszközök értékhelyesbítése</t>
  </si>
  <si>
    <t>3.4. Üzleti befektetett pénzügyi eszközök értékhelyesbítése</t>
  </si>
  <si>
    <t>IV. Koncesszióba, vagyonkezelésbe adott eszközök</t>
  </si>
  <si>
    <t>A) NEMZETI VAGYONBA TARTOZÓ BEFEKTETETT ESZKÖZÖK 
     (01+02+28+44)</t>
  </si>
  <si>
    <t>I. Készletek</t>
  </si>
  <si>
    <t>II. Értékpapírok</t>
  </si>
  <si>
    <t>B) NEMZETI VAGYONBA TARTOZÓ FORGÓESZKÖZÖK (46+47)</t>
  </si>
  <si>
    <t>I. Lekötött bankbetétek</t>
  </si>
  <si>
    <t>II. Pénztárak, csekkek, betétkönyvek</t>
  </si>
  <si>
    <t>III. Forintszámlák</t>
  </si>
  <si>
    <t>IV. Devizaszámlák</t>
  </si>
  <si>
    <t>C) PÉNZESZKÖZÖK (49+50+51+52)</t>
  </si>
  <si>
    <t>I. Költségvetési évben esedékes követelések</t>
  </si>
  <si>
    <t>II. Költségvetési évet követően esedékes követelések</t>
  </si>
  <si>
    <t>III. Követelés jellegű sajátos elszámolások</t>
  </si>
  <si>
    <t>D) KÖVETELÉSEK (54+55+56)</t>
  </si>
  <si>
    <t>F) AKTÍV IDŐBELI ELHATÁROLÁSOK</t>
  </si>
  <si>
    <t>FORRÁSOK</t>
  </si>
  <si>
    <t>állományi 
érték</t>
  </si>
  <si>
    <t>I. Nemzeti vagyon induláskori értéke</t>
  </si>
  <si>
    <t>II. Nemzeti vagyon változásai</t>
  </si>
  <si>
    <t>III. Egyéb eszközök induláskori értéke és változásai</t>
  </si>
  <si>
    <t>IV. Felhalmozott eredmény</t>
  </si>
  <si>
    <t>V. Eszközök értékhelyesbítésének forrása</t>
  </si>
  <si>
    <t>VI. Mérleg szerinti eredmény</t>
  </si>
  <si>
    <t>G) SAJÁT TŐKE (01+….+06)</t>
  </si>
  <si>
    <t>I. Költségvetési évben esedékes kötelezettségek</t>
  </si>
  <si>
    <t>II. Költségvetési évet követően esedékes kötelezettségek</t>
  </si>
  <si>
    <t>III. Kötelezettség jellegű sajátos elszámolások</t>
  </si>
  <si>
    <t>H) KÖTELEZETTSÉGEK (08+09+10)</t>
  </si>
  <si>
    <t>FORRÁSOK ÖSSZESEN  (07+11+12+13)</t>
  </si>
  <si>
    <t>Mennyiség
(db)</t>
  </si>
  <si>
    <t>Használatban lévő kisértékű immateriális javak</t>
  </si>
  <si>
    <t>Használatban lévő kisértékű tárgyi eszközök</t>
  </si>
  <si>
    <t>Készletek</t>
  </si>
  <si>
    <t>01 számlacsoportban nyilvántartott befektetett eszközök (6+…+9)</t>
  </si>
  <si>
    <t>Államháztartáson belüli vagyonkezelésbe adott eszközök</t>
  </si>
  <si>
    <t>Bérbe vett befektetett eszközök</t>
  </si>
  <si>
    <t>Letétbe, bizományba, üzemeltetésre átvett befektetett eszközök</t>
  </si>
  <si>
    <t> PPP konstrukcióban használt befektetett eszközök</t>
  </si>
  <si>
    <t> 02 számlacsoportban nyilvántartott készletek (11+…+13)</t>
  </si>
  <si>
    <t> Bérbe vett készletek</t>
  </si>
  <si>
    <t> Letétbe bizományba átvett készletek</t>
  </si>
  <si>
    <t> Intervenciós készletek</t>
  </si>
  <si>
    <t>Gyűjtemény, régészeti lelet* (15+…+17)</t>
  </si>
  <si>
    <t>Közgyűjtemény</t>
  </si>
  <si>
    <t> Saját gyűjteményben nyilvántartott kulturális javak</t>
  </si>
  <si>
    <t> Régészeti lelet</t>
  </si>
  <si>
    <t> Egyéb érték nélkül nyilvántartott eszközök</t>
  </si>
  <si>
    <t>Összesen (1+…+4)+5+10+14+(18+…+31):</t>
  </si>
  <si>
    <t>* Nvt. 1. § (2) bekezdés g) és h) pontja szerinti kulturális javak és régészeti eszközök</t>
  </si>
  <si>
    <t>Nyilvántartott függő követelések, kötelezettségek
(db)</t>
  </si>
  <si>
    <t>Támogatási célú előlegekkel kapcsolatos elszámolási követelések</t>
  </si>
  <si>
    <t>Egyéb függő követelések</t>
  </si>
  <si>
    <t>Biztos (jövőbeni) követelések</t>
  </si>
  <si>
    <t>Függő és biztos (jövőbeni) követelések (1+…+3)</t>
  </si>
  <si>
    <t>Kezességgel-, garanciavállalással kapcsolatos függő kötelezettségek</t>
  </si>
  <si>
    <t>Peres ügyekkel kapcsolatos függő kötelezettségek</t>
  </si>
  <si>
    <t>El nem ismert tartozások</t>
  </si>
  <si>
    <t>Támogatási célú előlegekkel kapcsolatos elszámolási kötelezettségek</t>
  </si>
  <si>
    <t>Egyéb függő kötelezettségek</t>
  </si>
  <si>
    <t>Függő kötelezettségek (5+…+9)</t>
  </si>
  <si>
    <t>Összesen (4+10)+(11+…+33):</t>
  </si>
  <si>
    <t>PÉNZESZKÖZÖK VÁLTOZÁSÁNAK LEVEZETÉSE</t>
  </si>
  <si>
    <t>Bevételek   ( + )</t>
  </si>
  <si>
    <t>Kiadások    ( - )</t>
  </si>
  <si>
    <r>
      <t xml:space="preserve"> </t>
    </r>
    <r>
      <rPr>
        <sz val="10"/>
        <rFont val="Times New Roman CE"/>
        <family val="1"/>
        <charset val="238"/>
      </rPr>
      <t>Bankszámlák egyenlege</t>
    </r>
  </si>
  <si>
    <r>
      <t xml:space="preserve"> </t>
    </r>
    <r>
      <rPr>
        <sz val="10"/>
        <rFont val="Times New Roman CE"/>
        <family val="1"/>
        <charset val="238"/>
      </rPr>
      <t>Pénztárak és betétkönyvek egyenlege</t>
    </r>
  </si>
  <si>
    <t>Bevételi jogcímek</t>
  </si>
  <si>
    <t>Osztalék, a koncessziós díj és a hozambevétel</t>
  </si>
  <si>
    <t>Tárgyi eszköz és az immateriális jószág, részvény, részesedés, vállalat értékesítéséből vagy privatizációból származó bevétel</t>
  </si>
  <si>
    <t>Bírság-, pótlék- és díjbevétel</t>
  </si>
  <si>
    <t>Kezességvállalással kapcsolatos megtérülés</t>
  </si>
  <si>
    <t>VAGYONKIMUTATÁS</t>
  </si>
  <si>
    <t xml:space="preserve">a könyvviteli mérlegben értékkel szereplő eszközökről                                                                </t>
  </si>
  <si>
    <t xml:space="preserve">VAGYONKIMUTATÁS                                                                                                               </t>
  </si>
  <si>
    <t>az érték nélkül nyilvántartott eszközökről</t>
  </si>
  <si>
    <t>a függő követelésekről és a kötelezettségekről, a biztos (jövőbeni) követelésekről</t>
  </si>
  <si>
    <t>a könyvviteli mérlegben értékkel szereplő forrásokról</t>
  </si>
  <si>
    <t>Adatok: Forintban!</t>
  </si>
  <si>
    <t>SAJÁT BEVÉTELEK ÖSSZESEN*</t>
  </si>
  <si>
    <t>*Az adósságot keletkeztető ügyletekhez történő hozzájárulás részletes szabályairól szóló 353/2011. (XII.31.) Korm. Rendelet 2.§ (1) bekezdése alapján.</t>
  </si>
  <si>
    <t>2.10.</t>
  </si>
  <si>
    <t>I. Működési célú bevételek és kiadások mérlege
(Önkormányzati szinten)</t>
  </si>
  <si>
    <t>Bevételek</t>
  </si>
  <si>
    <t>Kiadások</t>
  </si>
  <si>
    <t xml:space="preserve">Dologi kiadások </t>
  </si>
  <si>
    <t xml:space="preserve">   Költségvetési maradvány igénybevétele </t>
  </si>
  <si>
    <t xml:space="preserve">   Vállalkozási maradvány igénybevétele </t>
  </si>
  <si>
    <t xml:space="preserve">   Betét visszavonásából származó bevétel </t>
  </si>
  <si>
    <t xml:space="preserve">   Egyéb belső finanszírozási bevételek</t>
  </si>
  <si>
    <t>Kölcsön törlesztése</t>
  </si>
  <si>
    <t>Költségvetési hiány:</t>
  </si>
  <si>
    <t>Költségvetési többlet:</t>
  </si>
  <si>
    <t>Tárgyévi  hiány:</t>
  </si>
  <si>
    <t>Tárgyévi  többlet:</t>
  </si>
  <si>
    <t>II. Felhalmozási célú bevételek és kiadások mérlege
(Önkormányzati szinten)</t>
  </si>
  <si>
    <t>Beruházások</t>
  </si>
  <si>
    <t>Egyéb felhalmozási kiadások</t>
  </si>
  <si>
    <t>Hiány belső finanszírozás bevételei ( 14+…+18)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</si>
  <si>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</si>
  <si>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</si>
  <si>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</si>
  <si>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</si>
  <si>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</si>
  <si>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</si>
  <si>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</si>
  <si>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</si>
  <si>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</si>
  <si>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</si>
  <si>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Működési célú visszatérítendő támogatások kölcsönök visszatér. ÁH-n kívülről</t>
  </si>
  <si>
    <t>Felhalm. célú visszatérítendő támogatások kölcsönök visszatér. ÁH-n kívülről</t>
  </si>
  <si>
    <t>Hitel-, kölcsönfelvétel államháztartáson kívülről  (10.1.+…+10.3.)</t>
  </si>
  <si>
    <t>2017.</t>
  </si>
  <si>
    <t>2018.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</si>
  <si>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</si>
  <si>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</si>
  <si>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</si>
  <si>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</si>
  <si>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</si>
  <si>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</si>
  <si>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</si>
  <si>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 xml:space="preserve">Pénzeszközök betétként elhelyezése </t>
  </si>
  <si>
    <r>
      <t xml:space="preserve">Működési költségvetés kiadásai </t>
    </r>
    <r>
      <rPr>
        <sz val="8"/>
        <rFont val="Times New Roman CE"/>
        <charset val="238"/>
      </rPr>
      <t>(1.1+…+1.5.)</t>
    </r>
  </si>
  <si>
    <r>
      <t xml:space="preserve">Felhalmozási költségvetés kiadásai </t>
    </r>
    <r>
      <rPr>
        <sz val="8"/>
        <rFont val="Times New Roman CE"/>
        <charset val="238"/>
      </rPr>
      <t>(2.1.+2.3.+2.5.)</t>
    </r>
  </si>
  <si>
    <t xml:space="preserve">Hitel, kölcsön </t>
  </si>
  <si>
    <t>Kölcsön-
nyújtás
éve</t>
  </si>
  <si>
    <t xml:space="preserve">Lejárat
éve </t>
  </si>
  <si>
    <t>Hitel, kölcsön állomány december 31-én</t>
  </si>
  <si>
    <t xml:space="preserve">Rövid lejáratú </t>
  </si>
  <si>
    <t>Hosszú lejáratú</t>
  </si>
  <si>
    <t>Összesen (1+8)</t>
  </si>
  <si>
    <t>Szabadidős Programszervező Egyesület</t>
  </si>
  <si>
    <t>Köztestületi Tűzoltóság</t>
  </si>
  <si>
    <t>Tiszavasvári Polgárőrség</t>
  </si>
  <si>
    <t>Tiszavasvári Sportegyesület</t>
  </si>
  <si>
    <t>Tiszavasvári Diáksport Egyesület</t>
  </si>
  <si>
    <t>Tiszavasvári Sportegyesület TAO pályázat önerő</t>
  </si>
  <si>
    <t>Magiszter Alapítványi Óvoda támogatás</t>
  </si>
  <si>
    <t>működési célú támogatás</t>
  </si>
  <si>
    <t>felhalmozási célú támogatás</t>
  </si>
  <si>
    <t>4.1.3</t>
  </si>
  <si>
    <t>Helyi adók  (4.1.1.+4.1.2.+4.1.3.+4.1.4.)</t>
  </si>
  <si>
    <t>1.16.</t>
  </si>
  <si>
    <t xml:space="preserve">  Értékesítési és forgalmi adó</t>
  </si>
  <si>
    <t xml:space="preserve">  Jövedelemadó</t>
  </si>
  <si>
    <t>Közhatalmi bevételek (4.1.+...+4.4.)</t>
  </si>
  <si>
    <t>Városi Kincstár, Tiszavasvári</t>
  </si>
  <si>
    <t>Városi Kincstár összesen:</t>
  </si>
  <si>
    <t>Egyesített Óvodai Intézmény összesen</t>
  </si>
  <si>
    <t>Kornisné Központ Tiszavasvári</t>
  </si>
  <si>
    <t>Kornisné Központ összesen:</t>
  </si>
  <si>
    <t>Tiszavasvári Bölcsőde összesen:</t>
  </si>
  <si>
    <t>F=(C+E)</t>
  </si>
  <si>
    <t>Egyéb külső finanszírozási bevételek</t>
  </si>
  <si>
    <t>Tiszavasvári Bölcsőde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</si>
  <si>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</si>
  <si>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</si>
  <si>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</si>
  <si>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</si>
  <si>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</si>
  <si>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Ingatlanok értékesítése</t>
  </si>
  <si>
    <t>Támogatási szerződés szerinti bevételek, kiadások</t>
  </si>
  <si>
    <t>Évenkénti üteme</t>
  </si>
  <si>
    <t>Összes bevétel,
kiadás</t>
  </si>
  <si>
    <t>Saját erő</t>
  </si>
  <si>
    <t>Államháztartáson belüli megelőlegezés visszafizetése</t>
  </si>
  <si>
    <t xml:space="preserve">   Értékpapírok bevételei/államháztartáson belüli megelőlegezés</t>
  </si>
  <si>
    <t>- saját erőből központi támogatás</t>
  </si>
  <si>
    <t>EU-s forrás</t>
  </si>
  <si>
    <t>Társfinanszírozás</t>
  </si>
  <si>
    <t>Hitel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</si>
  <si>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</si>
  <si>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</si>
  <si>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</si>
  <si>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</si>
  <si>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</si>
  <si>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</si>
  <si>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</si>
  <si>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Polgármesteri hivatal</t>
  </si>
  <si>
    <t>Kiadások összesen:</t>
  </si>
  <si>
    <t>Támogatott neve</t>
  </si>
  <si>
    <t>Megnevezés</t>
  </si>
  <si>
    <t>Teljesítés</t>
  </si>
  <si>
    <t>Eredeti</t>
  </si>
  <si>
    <t>Módosított</t>
  </si>
  <si>
    <t>Összesen:</t>
  </si>
  <si>
    <t>Felújítások</t>
  </si>
  <si>
    <t>Városi Kincstár</t>
  </si>
  <si>
    <t>ÖSSZESEN:</t>
  </si>
  <si>
    <t>1.</t>
  </si>
  <si>
    <t>Értéke
(Ft)</t>
  </si>
  <si>
    <t>NEMLEGES</t>
  </si>
  <si>
    <t>ÖNK</t>
  </si>
  <si>
    <t>PH</t>
  </si>
  <si>
    <t>KINCSTÁR</t>
  </si>
  <si>
    <t>Tiszavasvári Kabay-konyha rekonstrukció</t>
  </si>
  <si>
    <t xml:space="preserve">Kornisné Központ kazán felújítása, cseréje és a hozzá tartozó fűtésrendszer korszerüsítése projekt </t>
  </si>
  <si>
    <t>2.</t>
  </si>
  <si>
    <t>3.</t>
  </si>
  <si>
    <t>4.</t>
  </si>
  <si>
    <t>5.</t>
  </si>
  <si>
    <t>Tartalékok</t>
  </si>
  <si>
    <t>Személyi juttatások</t>
  </si>
  <si>
    <t>6.</t>
  </si>
  <si>
    <t>7.</t>
  </si>
  <si>
    <t>8.</t>
  </si>
  <si>
    <t>9.</t>
  </si>
  <si>
    <t>10.</t>
  </si>
  <si>
    <t>11.</t>
  </si>
  <si>
    <t>12.</t>
  </si>
  <si>
    <t>13.</t>
  </si>
  <si>
    <t>Összesen</t>
  </si>
  <si>
    <t>Források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</si>
  <si>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</si>
  <si>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</si>
  <si>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</si>
  <si>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</si>
  <si>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</si>
  <si>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</si>
  <si>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</si>
  <si>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</si>
  <si>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</si>
  <si>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</si>
  <si>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</si>
  <si>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</si>
  <si>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</si>
  <si>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</si>
  <si>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</si>
  <si>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</si>
  <si>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</si>
  <si>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</si>
  <si>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</si>
  <si>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</si>
  <si>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</si>
  <si>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</si>
  <si>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</si>
  <si>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</si>
  <si>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</si>
  <si>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</si>
  <si>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</si>
  <si>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</si>
  <si>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</si>
  <si>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</si>
  <si>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</si>
  <si>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</si>
  <si>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</si>
  <si>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</si>
  <si>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Jövedelemadó</t>
  </si>
  <si>
    <t>5.11.</t>
  </si>
  <si>
    <t>Biztosító által fizetett kártérítés</t>
  </si>
  <si>
    <t xml:space="preserve">   - Törvényi előíráson alapuló befizetések</t>
  </si>
  <si>
    <t xml:space="preserve">   - Előző évi elszámolásból származó befizetések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</si>
  <si>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</si>
  <si>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</si>
  <si>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</si>
  <si>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</si>
  <si>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</si>
  <si>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</si>
  <si>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</si>
  <si>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</si>
  <si>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</si>
  <si>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</si>
  <si>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</si>
  <si>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</si>
  <si>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</si>
  <si>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</si>
  <si>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</si>
  <si>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Közhatalmi bevételek</t>
  </si>
  <si>
    <t>Egyesített Óvodai Intézmény</t>
  </si>
  <si>
    <t>I) EGYÉB SAJÁTOS FORRÁSOLDALI ELSZÁMOLÁSOK</t>
  </si>
  <si>
    <t>J) KINCSTÁRI SZÁMLAVEZETÉSSEL KAPCSOLATOS ELSZÁMOLÁSOK</t>
  </si>
  <si>
    <t>K) PASSZÍV IDŐBELI ELHATÁROLÁSOK</t>
  </si>
  <si>
    <t>B E V É T E L E K</t>
  </si>
  <si>
    <t>1. sz. táblázat</t>
  </si>
  <si>
    <t>Sor-szám</t>
  </si>
  <si>
    <t>Bevételi jogcím</t>
  </si>
  <si>
    <t>3.1.</t>
  </si>
  <si>
    <t>3.2.</t>
  </si>
  <si>
    <t>Helyi adók</t>
  </si>
  <si>
    <t>3.3.</t>
  </si>
  <si>
    <t>3.4.</t>
  </si>
  <si>
    <t>4.1.</t>
  </si>
  <si>
    <t>4.2.</t>
  </si>
  <si>
    <t>5.1.</t>
  </si>
  <si>
    <t>5.2.</t>
  </si>
  <si>
    <t>5.3.</t>
  </si>
  <si>
    <t>6.1.</t>
  </si>
  <si>
    <t>6.2.</t>
  </si>
  <si>
    <t>7.1.</t>
  </si>
  <si>
    <t>7.2.</t>
  </si>
  <si>
    <t>11.1.</t>
  </si>
  <si>
    <t>11.2.</t>
  </si>
  <si>
    <t>K I A D Á S O K</t>
  </si>
  <si>
    <t>2. sz. táblázat</t>
  </si>
  <si>
    <t>1.1.</t>
  </si>
  <si>
    <t>Személyi  juttatások</t>
  </si>
  <si>
    <t>1.2.</t>
  </si>
  <si>
    <t>1.3.</t>
  </si>
  <si>
    <t>Dologi  kiadások</t>
  </si>
  <si>
    <t>1.4.</t>
  </si>
  <si>
    <t>1.5</t>
  </si>
  <si>
    <t>1.6.</t>
  </si>
  <si>
    <t>1.7.</t>
  </si>
  <si>
    <t>1.8.</t>
  </si>
  <si>
    <t>1.9.</t>
  </si>
  <si>
    <t>1.10.</t>
  </si>
  <si>
    <t>1.11.</t>
  </si>
  <si>
    <t>1.12.</t>
  </si>
  <si>
    <t>2.1.</t>
  </si>
  <si>
    <t>2.2.</t>
  </si>
  <si>
    <t>2.3.</t>
  </si>
  <si>
    <t>2.4.</t>
  </si>
  <si>
    <t>2.5.</t>
  </si>
  <si>
    <t>2.6.</t>
  </si>
  <si>
    <t>2.7.</t>
  </si>
  <si>
    <t>Általános tartalék</t>
  </si>
  <si>
    <t>Céltartalék</t>
  </si>
  <si>
    <t>Rövid lejáratú hitelek törlesztése</t>
  </si>
  <si>
    <t>2.3.-ből        - Garancia- és kezességvállalásból kifizetés ÁH-n belülre</t>
  </si>
  <si>
    <t xml:space="preserve">EU-s projekt neve, azonosítója: </t>
  </si>
  <si>
    <t>GINOP 5.2.1-14-2015-00001 pályázat (fő)</t>
  </si>
  <si>
    <t>I. Előzetesen felszámított általános forgalmi adó elszámolása</t>
  </si>
  <si>
    <t>III. Utalványok, bérletek és más hasonló, készpénz-helyettesítő fizetési 
     eszköznek nem minősülő eszközök elszámolásai</t>
  </si>
  <si>
    <t>ESZKÖZÖK ÖSSZESEN  (45+48+53+57+60+61)</t>
  </si>
  <si>
    <r>
      <t xml:space="preserve">„0”-ra leírt eszközök </t>
    </r>
    <r>
      <rPr>
        <i/>
        <sz val="8"/>
        <color indexed="10"/>
        <rFont val="Times New Roman"/>
        <family val="1"/>
        <charset val="238"/>
      </rPr>
      <t>(kis értékű tárgyi eszközök nélkül)</t>
    </r>
  </si>
  <si>
    <t>Összeg  ( Ft )</t>
  </si>
  <si>
    <t>Egyesített Közművelődési Intézmény össz.:</t>
  </si>
  <si>
    <t>Folyószámlahitel*(keret: 100 000eFt)</t>
  </si>
  <si>
    <t>ÉAOP Óvodabővítés projekt saját erő hitel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</si>
  <si>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</si>
  <si>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</si>
  <si>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</si>
  <si>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</si>
  <si>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Beruházási kiadások beruházásonként</t>
  </si>
  <si>
    <t>E) EGYÉB SAJÁTOS ESZKÖZOLDALI ELSZÁMOLÁSOK (58+59+60)</t>
  </si>
  <si>
    <t>Hosszú lejáratú hitelek törlesztése</t>
  </si>
  <si>
    <t>3. sz. táblázat</t>
  </si>
  <si>
    <t xml:space="preserve">Adósságállomány 
eszközök szerint </t>
  </si>
  <si>
    <t>Nem lejárt</t>
  </si>
  <si>
    <t>Lejárt</t>
  </si>
  <si>
    <t>Nem lejárt, lejárt összes tartozás</t>
  </si>
  <si>
    <t>1-90 nap közötti</t>
  </si>
  <si>
    <t>91-180 nap közötti</t>
  </si>
  <si>
    <t>181-360 nap közötti</t>
  </si>
  <si>
    <t>360 napon 
túli</t>
  </si>
  <si>
    <t>Összes lejárt tartozás</t>
  </si>
  <si>
    <t>I. Belföldi hitelezők</t>
  </si>
  <si>
    <t>Adóhatósággal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</si>
  <si>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</si>
  <si>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</si>
  <si>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</si>
  <si>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</si>
  <si>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Szállítói tartozás</t>
  </si>
  <si>
    <t>Egyéb adósság</t>
  </si>
  <si>
    <t>Belföldi összesen:</t>
  </si>
  <si>
    <t>II. Külföldi hitelezők</t>
  </si>
  <si>
    <t>Külföldi szállítók</t>
  </si>
  <si>
    <t>Külföldi összesen:</t>
  </si>
  <si>
    <t>Adósságállomány mindösszesen:</t>
  </si>
  <si>
    <t>Sor-
szám</t>
  </si>
  <si>
    <t>Kötelezettség
jogcíme</t>
  </si>
  <si>
    <t>Kötelezettség- 
vállalás 
éve</t>
  </si>
  <si>
    <t>Összes vállalt kötelezettség</t>
  </si>
  <si>
    <t>Kötelezettségek a következő években</t>
  </si>
  <si>
    <t>Még fennálló kötelezettség</t>
  </si>
  <si>
    <t>Egyéb</t>
  </si>
  <si>
    <t>Összesen (1+4+7+9+11)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</si>
  <si>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</si>
  <si>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</si>
  <si>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</si>
  <si>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</si>
  <si>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</si>
  <si>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</si>
  <si>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</si>
  <si>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</si>
  <si>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</si>
  <si>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</si>
  <si>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</si>
  <si>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Sorszám</t>
  </si>
  <si>
    <t>Gazdálkodó szervezet megnevezése</t>
  </si>
  <si>
    <t>Részesedés mértéke (%-ban)</t>
  </si>
  <si>
    <t>Részesedés összege (Ft-ban)</t>
  </si>
  <si>
    <t>Működésből származó kötelezettségek összege XII. 31-én
 (Ft-ban)</t>
  </si>
  <si>
    <t xml:space="preserve">       ÖSSZESEN:</t>
  </si>
  <si>
    <t>Gépjárműadóból biztosított kedvezmény, mentesség</t>
  </si>
  <si>
    <t>Helyiségek hasznosítása utáni kedvezmény, menteség</t>
  </si>
  <si>
    <t>Eszközök hasznosítása utáni kedvezmény, menteség</t>
  </si>
  <si>
    <t>Egyéb kedvezmény</t>
  </si>
  <si>
    <t>Egyéb kölcsön elengedése</t>
  </si>
  <si>
    <t>A helyi adókból biztosított kedvezményeket, mentességeket, adónemenként kell feltüntetni.</t>
  </si>
  <si>
    <t>3.5.</t>
  </si>
  <si>
    <t>3.6.</t>
  </si>
  <si>
    <t xml:space="preserve">4. </t>
  </si>
  <si>
    <t>5.4.</t>
  </si>
  <si>
    <t>5.5.</t>
  </si>
  <si>
    <t>5.6.</t>
  </si>
  <si>
    <t>5.7.</t>
  </si>
  <si>
    <t>5.8.</t>
  </si>
  <si>
    <t xml:space="preserve">7. </t>
  </si>
  <si>
    <t>7.3.</t>
  </si>
  <si>
    <t>8.1.</t>
  </si>
  <si>
    <t>8.2.</t>
  </si>
  <si>
    <t>Vállalkozási maradvány igénybevétele</t>
  </si>
  <si>
    <t>Munkaadókat terhelő járulékok és szociális hozzájárulási adó</t>
  </si>
  <si>
    <t>Ellátottak pénzbeli juttatásai</t>
  </si>
  <si>
    <t>Egyéb működési célú kiadások</t>
  </si>
  <si>
    <t>2.8.</t>
  </si>
  <si>
    <t>2.9.</t>
  </si>
  <si>
    <t>Ezer forintban</t>
  </si>
  <si>
    <t>Eredeti előirányzat</t>
  </si>
  <si>
    <t>Módosított előirányzat</t>
  </si>
  <si>
    <t>A</t>
  </si>
  <si>
    <t>B</t>
  </si>
  <si>
    <t>C</t>
  </si>
  <si>
    <t>D</t>
  </si>
  <si>
    <t>E</t>
  </si>
  <si>
    <t>Önkormányzat működési támogatásai (1.1.+…+.1.6.)</t>
  </si>
  <si>
    <t>Felhalmozási feladatonként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</si>
  <si>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</si>
  <si>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</si>
  <si>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</si>
  <si>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</si>
  <si>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1.5.</t>
  </si>
  <si>
    <t>Forintban!</t>
  </si>
  <si>
    <t>Helyi önkormányzatok kiegészítő támogatásai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</si>
  <si>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</si>
  <si>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</si>
  <si>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</si>
  <si>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Működési célú visszatérítendő támogatások, kölcsönök visszatérülése </t>
  </si>
  <si>
    <t>Működési célú visszatérítendő támogatások, kölcsönök igénybevétele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</si>
  <si>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</si>
  <si>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</si>
  <si>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</si>
  <si>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</si>
  <si>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</si>
  <si>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Felhalmozási célú visszatérítendő támogatások, kölcsönök visszatérülése</t>
  </si>
  <si>
    <t>Felhalmozási célú visszatérítendő támogatások, kölcsönök igénybevétele</t>
  </si>
  <si>
    <t>Egyéb felhalmozási célú támogatások bevételei</t>
  </si>
  <si>
    <t>3.5.-ből EU-s támogatás</t>
  </si>
  <si>
    <t>Közhatalmi bevételek (4.1.+4.2.+4.3.+4.4.)</t>
  </si>
  <si>
    <t>4.1.1.</t>
  </si>
  <si>
    <t>- Vagyoni típusú adók</t>
  </si>
  <si>
    <t>4.1.2.</t>
  </si>
  <si>
    <t>II. Fizetendő általános forgalmi adó elszámolása</t>
  </si>
  <si>
    <t>63.</t>
  </si>
  <si>
    <t>Gépjárműadó</t>
  </si>
  <si>
    <t>4.3.</t>
  </si>
  <si>
    <t>Egyéb áruhasználati és szolgáltatási adók</t>
  </si>
  <si>
    <t>Egyéb közhatalmi bevételek</t>
  </si>
  <si>
    <t>Működési bevételek (5.1.+…+ 5.10.)</t>
  </si>
  <si>
    <t>Készletértékesítés ellenértéke</t>
  </si>
  <si>
    <t>Működési bevételek</t>
  </si>
  <si>
    <t xml:space="preserve">   Államháztartáson belüli megelőlegezés</t>
  </si>
  <si>
    <t>Forintban</t>
  </si>
  <si>
    <t xml:space="preserve"> Forintban !</t>
  </si>
  <si>
    <t>Forintban !</t>
  </si>
  <si>
    <t>Varázsceruza Óvodai Egyesület</t>
  </si>
  <si>
    <t>Működési célú költségvetési támogatások és kiegészítő támogatások</t>
  </si>
  <si>
    <t>Elszámolásból származó bevételek</t>
  </si>
  <si>
    <t>GIOP 5.2.1-14 pályázat keretében foglalkoztatottak létszáma (fő)</t>
  </si>
  <si>
    <t>Gyakorlati képzés-szoc. gondozó és ápoló (fő)</t>
  </si>
  <si>
    <t>NRSZH pályázat- megvált. Munkakép. Fogl. Létszám (fő)</t>
  </si>
  <si>
    <t>Requiem Fúvószenekari Alapítvány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</si>
  <si>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</si>
  <si>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</si>
  <si>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</si>
  <si>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</si>
  <si>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</si>
  <si>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</si>
  <si>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</si>
  <si>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5.9.</t>
  </si>
  <si>
    <t>Egyéb pénzügyi műveletek bevételei</t>
  </si>
  <si>
    <t>5.10.</t>
  </si>
  <si>
    <t>Egyéb működési bevételek</t>
  </si>
  <si>
    <t>Felhalmozási bevételek (6.1.+…+6.5.)</t>
  </si>
  <si>
    <t>Immateriális javak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</si>
  <si>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</si>
  <si>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</si>
  <si>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</si>
  <si>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</si>
  <si>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</si>
  <si>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</si>
  <si>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</si>
  <si>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</si>
  <si>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Működési célú visszatérítendő támogatások, kölcsönök visszatér. ÁH-n kívülről</t>
  </si>
  <si>
    <t>Egyéb működési célú átvett pénzeszköz</t>
  </si>
  <si>
    <t>7.4.</t>
  </si>
  <si>
    <t>7.3.-ból EU-s támogatás (közvetlen)</t>
  </si>
  <si>
    <t>Felhalmozási célú átvett pénzeszközök (8.1.+8.2.+8.3.)</t>
  </si>
  <si>
    <t>Felhalm. célú garancia- és kezességvállalásból megtérülések ÁH-n kívülről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</si>
  <si>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</si>
  <si>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</si>
  <si>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</si>
  <si>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</si>
  <si>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</si>
  <si>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</si>
  <si>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</si>
  <si>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</si>
  <si>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</si>
  <si>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</si>
  <si>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</si>
  <si>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</si>
  <si>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</si>
  <si>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</si>
  <si>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</si>
  <si>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</si>
  <si>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</si>
  <si>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</si>
  <si>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</si>
  <si>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</si>
  <si>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</si>
  <si>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</si>
  <si>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</si>
  <si>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</si>
  <si>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</si>
  <si>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</si>
  <si>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</si>
  <si>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Működési célú
hiteltörlesztés (tőke)</t>
  </si>
  <si>
    <t>Felhalmozási célú
hiteltörlesztés (tőke)</t>
  </si>
  <si>
    <t>Tiszavasvári Város Köztkeztetési Nonprofit Kft.</t>
  </si>
  <si>
    <t>Tiszavasvári Egészségügyi Szolgáltató Nonprofit Közhasznú Kft.</t>
  </si>
  <si>
    <t>Hajdúkerületi és Bihari Víziközmű Szolgáltató Zrt.</t>
  </si>
  <si>
    <t>OTP Bank Nyrt.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</si>
  <si>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</si>
  <si>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</si>
  <si>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</si>
  <si>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</si>
  <si>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</si>
  <si>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</si>
  <si>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</si>
  <si>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</si>
  <si>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</si>
  <si>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</si>
  <si>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</si>
  <si>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</si>
  <si>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</si>
  <si>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</si>
  <si>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2019.</t>
  </si>
  <si>
    <t>2019. után</t>
  </si>
  <si>
    <t>Egyesített Közművelődési Intézmény és Könyvtár</t>
  </si>
  <si>
    <t>Kornisné Liptay Elza Szociális és Gyermekjóléti Központ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</si>
  <si>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</si>
  <si>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</si>
  <si>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</si>
  <si>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</si>
  <si>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</si>
  <si>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</si>
  <si>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</si>
  <si>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</si>
  <si>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</si>
  <si>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</si>
  <si>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</si>
  <si>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Kiadási jogcím</t>
  </si>
  <si>
    <t xml:space="preserve"> - az 1.5-ből: - Elvonások és befizetések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</si>
  <si>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</si>
  <si>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</si>
  <si>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</si>
  <si>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</si>
  <si>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</si>
  <si>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</si>
  <si>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</si>
  <si>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</si>
  <si>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</si>
  <si>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</si>
  <si>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</si>
  <si>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</si>
  <si>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t>2.5.-ből        - Garancia- és kezességvállalásból kifizetés ÁH-n belülre</t>
  </si>
  <si>
    <t xml:space="preserve">   - Visszatérítendő támogatások, kölcsönök nyújtása ÁH-n belülre</t>
  </si>
  <si>
    <t xml:space="preserve">   - Egyéb felhalmozási célú támogatások ÁH-n belülre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</si>
  <si>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</si>
  <si>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</si>
  <si>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</si>
  <si>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</si>
  <si>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</si>
  <si>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</si>
  <si>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</si>
  <si>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</si>
  <si>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</si>
  <si>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</si>
  <si>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</si>
  <si>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</si>
  <si>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</si>
  <si>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</si>
  <si>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</si>
  <si>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</si>
  <si>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</si>
  <si>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</si>
  <si>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</si>
  <si>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</si>
  <si>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</si>
  <si>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</si>
  <si>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</si>
  <si>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</si>
  <si>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</si>
  <si>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</si>
  <si>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</si>
  <si>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</si>
  <si>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KIADÁSOK ÖSSZESEN: (4+9)</t>
  </si>
  <si>
    <t>KÖLTSÉGVETÉSI, FINANSZÍROZÁSI BEVÉTELEK ÉS KIADÁSOK EGYENLEGE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</si>
  <si>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</si>
  <si>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</si>
  <si>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</si>
  <si>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</si>
  <si>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F</t>
  </si>
  <si>
    <t>G</t>
  </si>
  <si>
    <t>H</t>
  </si>
  <si>
    <t>I</t>
  </si>
  <si>
    <t>Önkormányzatok működési támogatásai</t>
  </si>
  <si>
    <t>Működési célú támogatások államháztartáson belülről</t>
  </si>
  <si>
    <t>Működési célú átvett pénzeszközök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</si>
  <si>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</si>
  <si>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</si>
  <si>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</si>
  <si>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Likviditási célú hitelek törlesztése</t>
  </si>
  <si>
    <t xml:space="preserve">Hiány külső finanszírozásának bevételei (20.+…+21.) </t>
  </si>
  <si>
    <t xml:space="preserve">   Likviditási célú hitelek, kölcsönök felvétele</t>
  </si>
  <si>
    <t>Működési célú finanszírozási bevételek összesen (14.+19.)</t>
  </si>
  <si>
    <t>Működési célú finanszírozási kiadások összesen (14.+...+21.)</t>
  </si>
  <si>
    <t>BEVÉTEL ÖSSZESEN (13.+22.)</t>
  </si>
  <si>
    <t>KIADÁSOK ÖSSZESEN (13.+22.)</t>
  </si>
  <si>
    <t>Felhalmozási célú támogatások államháztartáson belülről</t>
  </si>
  <si>
    <t>Felhalmozási bevételek</t>
  </si>
  <si>
    <t>Felhalmozási célú átvett pénzeszközök átvétele</t>
  </si>
  <si>
    <t>Egyéb felhalmozási célú bevételek</t>
  </si>
  <si>
    <t>Költségvetési bevételek összesen: (1.+3.+4.+6.+…+11.)</t>
  </si>
  <si>
    <t>Költségvetési kiadások összesen: (1.+3.+5.+...+11.)</t>
  </si>
  <si>
    <t>Pénzügyi lízing kiadásai</t>
  </si>
  <si>
    <t>Felhalmozási célú finanszírozási bevételek összesen (13.+19.)</t>
  </si>
  <si>
    <t>Felhalmozási célú finanszírozási kiadások összesen (13.+...+24.)</t>
  </si>
  <si>
    <t>BEVÉTEL ÖSSZESEN (12+25)</t>
  </si>
  <si>
    <t>KIADÁSOK ÖSSZESEN (12+25)</t>
  </si>
  <si>
    <t>Beruházási (felhalmozási) kiadások előirányzata beruházásonként</t>
  </si>
  <si>
    <t>Beruházás  megnevezése</t>
  </si>
  <si>
    <t>Teljes költség</t>
  </si>
  <si>
    <t>Kivitelezés kezdési és befejezési éve</t>
  </si>
  <si>
    <t>G=(D+F)</t>
  </si>
  <si>
    <t>Felújítási kiadások előirányzata felújításonként</t>
  </si>
  <si>
    <t>Felújítás  megnevezése</t>
  </si>
  <si>
    <t>J</t>
  </si>
  <si>
    <t>K</t>
  </si>
  <si>
    <t>L=(J+K)</t>
  </si>
  <si>
    <t>M=(L/C)</t>
  </si>
  <si>
    <t>* Amennyiben több projekt megvalósítása történi egy időben akkor azokat külön-külön, projektenként be kell mutatni!</t>
  </si>
  <si>
    <t>Eredeti ei.</t>
  </si>
  <si>
    <t>Módosított ei.</t>
  </si>
  <si>
    <t>Önkormányzat</t>
  </si>
  <si>
    <t>01</t>
  </si>
  <si>
    <t>Feladat
megnevezése</t>
  </si>
  <si>
    <t>Összes bevétel, kiadás</t>
  </si>
  <si>
    <t>Száma</t>
  </si>
  <si>
    <t>Előirányzat-csoport, kiemelt előirányzat megnevezése</t>
  </si>
  <si>
    <t>Felhalm. célú visszatérítendő tám., kölcsönök visszatér. ÁH-n kívülről</t>
  </si>
  <si>
    <t xml:space="preserve"> 10.</t>
  </si>
  <si>
    <t xml:space="preserve">    Rövid lejáratú  hitelek, kölcsönök felvétele</t>
  </si>
  <si>
    <t>BEVÉTELEK ÖSSZESEN: (9+16)</t>
  </si>
  <si>
    <t>Hitel-, kölcsöntörlesztés államháztartáson kívülre (5.1.+…+5.3.)</t>
  </si>
  <si>
    <t>Belföldi finanszírozás kiadásai (7.1. + … + 7.5.)</t>
  </si>
  <si>
    <t>Irányító szervi támogatás folyósítása (intézményfinanszírozás)</t>
  </si>
  <si>
    <t>7.5.</t>
  </si>
  <si>
    <t>Külföldi finanszírozás kiadásai (8.1. + … + 8.4.)</t>
  </si>
  <si>
    <t>Éves engedélyezett létszám előirányzat (fő)</t>
  </si>
  <si>
    <t>Közfoglalkoztatottak létszáma (fő)</t>
  </si>
  <si>
    <t>Költségvetési szerv megnevezése</t>
  </si>
  <si>
    <t>02</t>
  </si>
  <si>
    <t>Feladat 
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</si>
  <si>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</si>
  <si>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</si>
  <si>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</si>
  <si>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</si>
  <si>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</si>
  <si>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</si>
  <si>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- 2.3-ból EU-s támogatás</t>
  </si>
  <si>
    <t>Felhalmozási célú támogatások államháztartáson belülről (4.1.+4.2.)</t>
  </si>
  <si>
    <t>Egyéb felhalmozási célú támogatások bevételei államháztartáson belülről</t>
  </si>
  <si>
    <t>- 4.2-ből EU-s támogatás</t>
  </si>
  <si>
    <t>Felhalmozási bevételek (5.1.+…+5.3.)</t>
  </si>
  <si>
    <t>Felhalmozási célú átvett pénzeszközök</t>
  </si>
  <si>
    <t>KÖLTSÉGVETÉSI BEVÉTELEK ÖSSZESEN: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</si>
  <si>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</si>
  <si>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</si>
  <si>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</si>
  <si>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</si>
  <si>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</si>
  <si>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</si>
  <si>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</si>
  <si>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</si>
  <si>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</si>
  <si>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- 2.3-ból EU-s forrásból tám. megvalósuló programok, projektek kiadásai</t>
  </si>
  <si>
    <t>KIADÁSOK ÖSSZESEN: (1.+2.)</t>
  </si>
  <si>
    <t>03</t>
  </si>
  <si>
    <t>Feladat megnevezése</t>
  </si>
  <si>
    <t xml:space="preserve"> - 2.3.-ból EU-s támogatás</t>
  </si>
  <si>
    <t>- 4.2.-ből EU-s támogatás</t>
  </si>
  <si>
    <t>Költségvetési bevételek összesen (1.+…+7.)</t>
  </si>
  <si>
    <t xml:space="preserve"> - 2.3.-ból EU-s forrásból tám. megvalósuló programok, projektek kiadásai</t>
  </si>
  <si>
    <t>Költségvetési szerv neve</t>
  </si>
  <si>
    <t>Költségvetési maradvány összege</t>
  </si>
  <si>
    <t>Elvonás
(-)</t>
  </si>
  <si>
    <t>Intézményt megillető maradvány</t>
  </si>
  <si>
    <t>Jóváhagyott</t>
  </si>
  <si>
    <t>Jóváhagyott-ból működési</t>
  </si>
  <si>
    <t>Jóváhagyott-ból felhalmozási</t>
  </si>
  <si>
    <r>
      <t>E=(C</t>
    </r>
    <r>
      <rPr>
        <b/>
        <sz val="8"/>
        <rFont val="Arial"/>
        <family val="2"/>
        <charset val="238"/>
      </rPr>
      <t>-D</t>
    </r>
    <r>
      <rPr>
        <b/>
        <sz val="8"/>
        <rFont val="Times New Roman CE"/>
        <family val="1"/>
        <charset val="238"/>
      </rPr>
      <t>)</t>
    </r>
  </si>
  <si>
    <t xml:space="preserve">B </t>
  </si>
  <si>
    <t>J=(F+…+I)</t>
  </si>
  <si>
    <t>............................</t>
  </si>
  <si>
    <t>H=(D+…+G)</t>
  </si>
  <si>
    <t>I=(C+H)</t>
  </si>
  <si>
    <t>Támogatott szervezet neve</t>
  </si>
  <si>
    <t>Támogatás célja</t>
  </si>
  <si>
    <t>ESZKÖZÖK</t>
  </si>
  <si>
    <t>Bruttó</t>
  </si>
  <si>
    <t xml:space="preserve">Könyv szerinti </t>
  </si>
  <si>
    <t xml:space="preserve">Becsült </t>
  </si>
  <si>
    <t>állományi érték</t>
  </si>
  <si>
    <t xml:space="preserve">A </t>
  </si>
  <si>
    <t xml:space="preserve"> I. Immateriális javak </t>
  </si>
  <si>
    <t>01.</t>
  </si>
  <si>
    <t>II. Tárgyi eszközök (03+08+13+18+23)</t>
  </si>
  <si>
    <t>02.</t>
  </si>
  <si>
    <t>1. Ingatlanok és kapcsolódó vagyoni értékű jogok   (04+05+06+07)</t>
  </si>
  <si>
    <t>03.</t>
  </si>
  <si>
    <t>1.1. Forgalomképtelen ingatlanok és kapcsolódó vagyoni értékű jogok</t>
  </si>
  <si>
    <t>04.</t>
  </si>
  <si>
    <t>Tiszavasvári Polgármesteri Hivatal</t>
  </si>
  <si>
    <t>Tiszavasvári Város Önkormányzat</t>
  </si>
  <si>
    <t>2017. évi</t>
  </si>
  <si>
    <t>4.2</t>
  </si>
  <si>
    <t>4.3</t>
  </si>
  <si>
    <t>4.4</t>
  </si>
  <si>
    <t>4.5</t>
  </si>
  <si>
    <t xml:space="preserve">    18.</t>
  </si>
  <si>
    <t>2017. évi eredeti előirányzat</t>
  </si>
  <si>
    <t>2017.évi módosított előirányzat</t>
  </si>
  <si>
    <t>2017. évi teljesítés</t>
  </si>
  <si>
    <t>2.-ból EU-s támogatás</t>
  </si>
  <si>
    <t>2017. évi módosított előirányzat</t>
  </si>
  <si>
    <t>2017 évi teljesítés</t>
  </si>
  <si>
    <t>Pongrátz Gergely szobor</t>
  </si>
  <si>
    <t>Kabay konyha felújítás</t>
  </si>
  <si>
    <t xml:space="preserve">Kornisné Központban fűtéskorszerüsítés </t>
  </si>
  <si>
    <t>Közlekedési táblák beszerzése</t>
  </si>
  <si>
    <t>Vadkamera beszerzés</t>
  </si>
  <si>
    <t>Játszótéri eszközök létesítése</t>
  </si>
  <si>
    <t>Kábítószerügyi Egyeztető Fórum egyéb tárgyi eszk. besz.</t>
  </si>
  <si>
    <t>Közvilágítási hálózat fejlesztés</t>
  </si>
  <si>
    <t>Tervek készítése</t>
  </si>
  <si>
    <t>Karácsonyi díszbeszerzés</t>
  </si>
  <si>
    <t>Tiszavasvári, Sopron u. 1. kút vízóra beépítés</t>
  </si>
  <si>
    <t>Tiszavasvári, Sopron u. 1. kút tervdokumentáció</t>
  </si>
  <si>
    <t>ASP pályázat - informatikai eszköz beszerzés</t>
  </si>
  <si>
    <t>Belvíz rendszer kiépítése</t>
  </si>
  <si>
    <t>Mezőőri szolgálat gépjárműbeszerzés</t>
  </si>
  <si>
    <t>Mezőőri szolgálat egyéb tárgyi eszköz beszerzése</t>
  </si>
  <si>
    <t>Mártírok u. 7. szennyvízrendszer csatlakoztatás</t>
  </si>
  <si>
    <t>Klíma (Polg. Hiv.)</t>
  </si>
  <si>
    <t>Vasajtó (Polg. Hiv.)</t>
  </si>
  <si>
    <t>Sinology NAS + 2db merevlemez (Polg. Hiv.)</t>
  </si>
  <si>
    <t>Notebook (Polg. Hiv.)</t>
  </si>
  <si>
    <t>Multif. nyomtató (Polg. Hiv.)</t>
  </si>
  <si>
    <t>Kisértékű inf.eszk. beszerzés</t>
  </si>
  <si>
    <t>Kisértékű tárgyi eszköz beszerzés</t>
  </si>
  <si>
    <t xml:space="preserve">Önkormányzat, Polgármesteri hivatal </t>
  </si>
  <si>
    <t>Felhasználás 2016.12.31-ig</t>
  </si>
  <si>
    <t>Összes teljesítés 2017.12.31-ig</t>
  </si>
  <si>
    <t>Intézmények (Polgármesteri Hivatal nélkül)</t>
  </si>
  <si>
    <r>
      <t>Egyesített Közművelődési Intézmény és Könyvtár</t>
    </r>
    <r>
      <rPr>
        <i/>
        <u/>
        <sz val="11"/>
        <color indexed="8"/>
        <rFont val="Calibri"/>
        <family val="2"/>
        <charset val="238"/>
      </rPr>
      <t xml:space="preserve"> </t>
    </r>
  </si>
  <si>
    <t>2017. előtt</t>
  </si>
  <si>
    <t>2017. után</t>
  </si>
  <si>
    <t>Telj. %-a 2017. dec. 31-ig.</t>
  </si>
  <si>
    <t>Önkormányzaton kívüli EU-s projekthez 2017. évi hozzájárulás előirányzata és teljesítése</t>
  </si>
  <si>
    <t>Közhatalmi bevételek (4.1.+4.2.+4.3.)</t>
  </si>
  <si>
    <t>Értékesítési és forgalmi adók</t>
  </si>
  <si>
    <t>EFOP 3.2.9-16 pályázat keretében foglalkoztatottak létszáma (fő)</t>
  </si>
  <si>
    <t>2020.</t>
  </si>
  <si>
    <t>2020. után</t>
  </si>
  <si>
    <t>Adósságállomány alakulása lejárat, eszközök, bel- és külföldi hitelezők szerinti bontásban 2017. december 31-én</t>
  </si>
  <si>
    <t>Tervezett      2017</t>
  </si>
  <si>
    <t xml:space="preserve">Tényleges      2017 </t>
  </si>
  <si>
    <t>K I M U T A T Á S
a 2017. évben céljelleggel juttatott támogatásokról</t>
  </si>
  <si>
    <t>TÁJÉKOZTATÓ TÁBLA                 Forintban !</t>
  </si>
  <si>
    <t>Támogatás összge</t>
  </si>
  <si>
    <t>Tiszavasvári Sportegyesület TAO pályázat önerő (labdarúgás)</t>
  </si>
  <si>
    <t xml:space="preserve">Sz-Sz-B-M-i Szilárdhulladék Társ. támogatása </t>
  </si>
  <si>
    <t>Olimpia Barátok Köre</t>
  </si>
  <si>
    <t>Tiszavasvári Egészségügyi Szolg. Kft.</t>
  </si>
  <si>
    <t>Magiszter Alapítvány támogatás</t>
  </si>
  <si>
    <t>Tiszavasvári Egészségügyi Szolg. Kft. (röntgen gép)</t>
  </si>
  <si>
    <t>Tiszavasvári Egészségügyi Szolg. Kft. (pályázat, megv tan.)</t>
  </si>
  <si>
    <t>Tiszavasvári Egészségügyi Szolg. Kft. (saját tőke vissz.)</t>
  </si>
  <si>
    <t>Nyírvidék Kft. Támogatás</t>
  </si>
  <si>
    <t>Tiva-Szolg temető működtetési támogatás</t>
  </si>
  <si>
    <t>Magyar Vöröskereszt Tiszavasvári szervezete</t>
  </si>
  <si>
    <t>Tiva-Szolg visszatérítendő tám</t>
  </si>
  <si>
    <t>Rákóczi Szövetség</t>
  </si>
  <si>
    <t>Mozgáskorlátozottak Sz.Sz. B. megyei Egyesülete</t>
  </si>
  <si>
    <t>Tiszalökért Közalapítvány</t>
  </si>
  <si>
    <t>TSE Sakk Szakosztály, működési támogatás</t>
  </si>
  <si>
    <t>Civis Darts Sportegyesület</t>
  </si>
  <si>
    <t>2017 év</t>
  </si>
  <si>
    <t>Tiszavasvári Város Önkormányzata tulajdonában álló gazdálkodó szervezetek működéséből származó kötelezettségek és részesedések alakulása a 2017. évben</t>
  </si>
  <si>
    <t>Tiszavasvári Város Önkormányzata 2017. évi saját bevételeinek részletezése</t>
  </si>
  <si>
    <t>2016. évi tény</t>
  </si>
  <si>
    <t>Hitel, kölcsön állomány 2017. dec. 31-én</t>
  </si>
  <si>
    <t>2017.évi teljesítés</t>
  </si>
  <si>
    <t>Őszikék idősek Egyedülállók Klubja</t>
  </si>
  <si>
    <t>BURSA támogatás</t>
  </si>
  <si>
    <t>Munkáltatói lakáshitel elszámolás</t>
  </si>
  <si>
    <t>BI</t>
  </si>
  <si>
    <t>Helyi adók  (4.1.1.+4.1.2.)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</si>
  <si>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</si>
  <si>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</t>
  </si>
  <si>
    <t>0</t>
  </si>
  <si>
    <t>Pénzkészlet 2017. január 1-én</t>
  </si>
  <si>
    <t>Záró pénzkészlet 2017. december 31-én</t>
  </si>
  <si>
    <t>2017</t>
  </si>
  <si>
    <t>Tiszavasvári, Sopron u. 1. kút kivitelezés</t>
  </si>
  <si>
    <t>Kossuth L. utca 3. 1/6. - villany és fűtés felújítás</t>
  </si>
  <si>
    <t>Lektori lakás - bojler pótlás</t>
  </si>
  <si>
    <t>Vasvári P. utca 6. lépcsőházi ablakcsere</t>
  </si>
  <si>
    <t>Varázsceruza óvaóda elektromos felújítás 3. ütem</t>
  </si>
  <si>
    <t>Varázsceruza óvaóda elektromos felújítás 4. ütem</t>
  </si>
  <si>
    <t>Extrém sportpályán 1 elem felújítás</t>
  </si>
  <si>
    <t>Class ranger felújítás (Városi Kincstár)</t>
  </si>
  <si>
    <t>Víziközmű rendszeren végrehajtandó felújítás</t>
  </si>
  <si>
    <t>Minimanó Óvoda tetőszerkezetének részleges felújítása</t>
  </si>
  <si>
    <t>Minimanó Óvoda 4 db előtető felújítása</t>
  </si>
  <si>
    <t>Minimanó Óvoda részleges felújítása</t>
  </si>
  <si>
    <t>Fülemüle Óvoda tetőszerkezetének részleges szigetelése</t>
  </si>
  <si>
    <t>Belterületi utak felújítása</t>
  </si>
  <si>
    <t>Váci Mihály Gimnázium épületének energetikai korszerűsítése</t>
  </si>
  <si>
    <t>Gépállomás úti ingatlan részleges tetőfelújítás</t>
  </si>
  <si>
    <t>Krúdy utca 14. vegyes tulajdonú társasház tetőszigetelése</t>
  </si>
  <si>
    <t>Kis értékű tárgyi eszközök beszerzése (nyomtató, irodabútorok, mobiltelefon, létra, alkoholszonda, stb.)</t>
  </si>
  <si>
    <t>Irattári szekrény készítés</t>
  </si>
  <si>
    <t>Sportcsarnok kisértékű tárgyi eszköz beszerzés</t>
  </si>
  <si>
    <t xml:space="preserve">2 db számítógép beszerzése </t>
  </si>
  <si>
    <t xml:space="preserve">ASP bevezetése miatt 1 db komplett számítógép, 1 db számítógép monitor nélkül, 7 db kártyaolvasó beszerzése </t>
  </si>
  <si>
    <t>Kis értékű tárgyi eszközök beszerzése (5 db notebook, gumilap, kárpittisztító, router)</t>
  </si>
  <si>
    <t xml:space="preserve">Udvari játéktároló beszerzés </t>
  </si>
  <si>
    <t>Nyomtató beszerzés</t>
  </si>
  <si>
    <t>ASP bevezetése miatt 1 db kártyaolvasó beszerzése</t>
  </si>
  <si>
    <t>Kis értékű tárgyi eszközök beszerzése (számítógép, cd-lejátszó, irodabútorok, zászlók, hálózati eszközök, könyvtári könyvek, mobiltelefonok, stb.)</t>
  </si>
  <si>
    <t xml:space="preserve">  ebből: könyvtári könyvek beszerzése</t>
  </si>
  <si>
    <t>1 db nyomtató-fénymásoló beszerzés (Múzeum)</t>
  </si>
  <si>
    <t xml:space="preserve">Könyvtári könyvek beszerzése érdekeltségnövelő támogatásból </t>
  </si>
  <si>
    <t>Táborral kapcsolatos beszerzések</t>
  </si>
  <si>
    <t>Plexi dobozok beszerzése (Múzeum)</t>
  </si>
  <si>
    <t>Könyvtári könyvek beszerzése Szja 1 %-ának felajánlásából (2016. évi maradvány terhére 52.775.-Ft)</t>
  </si>
  <si>
    <t xml:space="preserve">ASP bevezetése miatt 1 db kártyaolvasó beszerzése </t>
  </si>
  <si>
    <t>Kis értékű és egyéb tárgyi eszközök beszerzése (irodabútorok, számítástechnikai eszközök, konyhai eszközök, takarító eszközök, villanybojler, stb.</t>
  </si>
  <si>
    <t>1 db gépkocsi vásárlás fogyatékos ellátásra</t>
  </si>
  <si>
    <t>Fotocellás ajtó (2016 évről áth. beruházás)</t>
  </si>
  <si>
    <t>2016/2017</t>
  </si>
  <si>
    <t>Gyakorlati képzésből befolyt bevétel terhére vásárolt tárgyi eszközök</t>
  </si>
  <si>
    <t xml:space="preserve">EFOP-3.2.9-16 kódsz. Pály. Beruh.kiad. </t>
  </si>
  <si>
    <t>Boldogabb Családokért Alapítvány támogatásából megvalósuló beruházások (irodabútorok, számítógépek, mobiltelefonok, lamináló gép, kávéfőző, iratmegsemmesítő, tűzhely, stb.)</t>
  </si>
  <si>
    <t>Kis értékű tárgyi eszközök beszerzése (gyermekétkeztetéshez lábas, fedő, mélytányér, bögre, stb.)</t>
  </si>
  <si>
    <t>1 db elektromos sütő (Tiszavasvári Bölcsőde)</t>
  </si>
  <si>
    <t>1 db fagyasztóláda (Tiszavasvári Bölcsőde)</t>
  </si>
  <si>
    <t>ASP bevezetése miatt 1 db kártyaolvasó beszerzése (Tiszavasvári Bölcsőde)</t>
  </si>
  <si>
    <t>Kiegészítő bútorok és gyermekjátékok beszerzése "Kicsi vagyok én" Alapítvány támogatásából (Tiszavasvári Bölcsőde)</t>
  </si>
  <si>
    <r>
      <t>EU-s projekt neve, azonosítója:</t>
    </r>
    <r>
      <rPr>
        <sz val="12"/>
        <rFont val="Times New Roman"/>
        <family val="1"/>
        <charset val="238"/>
      </rPr>
      <t xml:space="preserve">* </t>
    </r>
  </si>
  <si>
    <t>Tiszavasvári Kabay-konyha rekonstrukciója ás agrárlogisztikai pont kialakítása                                                         TOP-1.1.3-15-SB1-2016-00033</t>
  </si>
  <si>
    <t>Tiszavasvári város környezetvédelmi-infrastruktura fejlesztése, lakóterület belvízmentesítése                             TOP-2.1.3-15-SB1-2016-00024</t>
  </si>
  <si>
    <t>A Nyíri Mezőség turisztikai kínálatának integrált fejlesztése - Természeti és kulturális vonzerők, termékcsomagok fejlesztése a Nyíri Mezőségben                                                                                                                                                          TOP-1.2.1-15-SB1-2016-00018</t>
  </si>
  <si>
    <t>A Váci Mihály Gimnázium épületének energetikai korszerűsítése                                                                                                             TOP-3.2.1-15-SB1-2016-00063</t>
  </si>
  <si>
    <t>Komplex energetikai fejlesztések Tiszavasváriban                                                                                                                                 TOP-3.2.2-15-SB1-2016-00012</t>
  </si>
  <si>
    <t>Tiszavasvári Város Önkormányzata ASP központhoz való csatlakozása                                                                      KÖFOP-1.2.1-VEKOP-16-2017-00806</t>
  </si>
  <si>
    <t>EFOP-3.2.9-16-2016-00062 A Tiszavasvári Járás közigazgatási területén található köznevelési intézményekben óvodai és iskolai szociális segítő tevékenység fejlesztése (Kornisné Liptay Elza Szociális és Gyermekjóléti Központ)</t>
  </si>
  <si>
    <t>Beruházási tartalék</t>
  </si>
  <si>
    <t>TSE TAO hitel 2017</t>
  </si>
  <si>
    <t>Tiszavasvári Egyesített Óvodai Intézmény Minimanó óvodájának részleges felújítása</t>
  </si>
  <si>
    <t>*:A hitelkeret 2017. december  29-én lezárásra került.</t>
  </si>
  <si>
    <t>Belvízrendezés pályázat</t>
  </si>
  <si>
    <t>Komplex energetikai fejlesztés</t>
  </si>
  <si>
    <t>Váci Mihály Gimnázium energetikai korszerűsítés</t>
  </si>
  <si>
    <t>ASP pályázat</t>
  </si>
  <si>
    <t xml:space="preserve">Óvodai és iskolai szociális segítő tevékenység fejlesztése </t>
  </si>
  <si>
    <t>2.1 melléklet a 12/2018. (V.31.) önkormányzati rendelethez</t>
  </si>
  <si>
    <t>2.2. melléklet a 12/2018. (V.31.) önkormányzati rendelethez</t>
  </si>
  <si>
    <t>3.1. melléklet a 12/2018. (V.31.) önkormányzati rendelethez</t>
  </si>
  <si>
    <t>4. melléklet a 12/2018. (V.31.) önkormányzati rendelethez</t>
  </si>
  <si>
    <t>5.1. melléklet a 12/2018. (V.31.) önkormányzati rendelethez</t>
  </si>
  <si>
    <t>5.2. melléklet a 12/2018. (V.31.) önkormányzati rendelethez</t>
  </si>
  <si>
    <t>5.3. melléklet a 12/2018. (V.31.) önkormányzati rendelethez</t>
  </si>
  <si>
    <t>5.4. melléklet a 12/2018. (V.31.) önkormányzati rendelethez</t>
  </si>
  <si>
    <t>5.5. melléklet a 12/2018. (V.31.) önkormányzati rendelethez</t>
  </si>
  <si>
    <t>5.6. melléklet a 12/2018. (V.31.) önkormányzati rendelethez</t>
  </si>
  <si>
    <t>5.7. melléklet a 12/2018. (V.31.) önkormányzati rendelethez</t>
  </si>
  <si>
    <t>6. melléklet a 12/2018. (V.31.) önkormányzati rendelethez</t>
  </si>
  <si>
    <t>7.1. melléklet a 12/2018. (V.31.) önkormányzati rendelethez</t>
  </si>
  <si>
    <t>7.2. melléklet a 12/2018. (V.31.) önkormányzati rendelethez</t>
  </si>
  <si>
    <t>7.3. melléklet a 12/2018. (V.31.) önkormányzati rendelethez</t>
  </si>
  <si>
    <t>7.4. melléklet a 12/2018. (V.31.) önkormányzati rendelethez</t>
  </si>
  <si>
    <t>7.5. melléklet a 12/2018. (V.31.) önkormányzati rendelethez</t>
  </si>
  <si>
    <t>7.6. melléklet a 12/2018. (V.31.) önkormányzati rendelethez</t>
  </si>
  <si>
    <t>1. számú tájékoztató tábla a 12/2018. (V.31.) önkormányzati rendelethez</t>
  </si>
  <si>
    <t>2. számú tájékoztató tábla a 12/2018. (V.31.) önkormányzati rendelethez</t>
  </si>
  <si>
    <t>6.számú tájékoztató tábla a 12/2018. (V.31.) önkormányzati rendelethez</t>
  </si>
  <si>
    <t>7. számú tájékoztató tábla a 12/2018. (V.31.) önkormányzati rendelethez</t>
  </si>
  <si>
    <t>10. számú tájékoztató tábla a 12/2018. (V.31.)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</si>
</sst>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Ft&quot;;[Red]\-#,##0\ &quot;Ft&quot;"/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#,###"/>
    <numFmt numFmtId="167" formatCode="#"/>
    <numFmt numFmtId="168" formatCode="00"/>
    <numFmt numFmtId="169" formatCode="#,###\ _F_t;\-#,###\ _F_t"/>
    <numFmt numFmtId="170" formatCode="#,###__"/>
    <numFmt numFmtId="171" formatCode="#,###__;\-#,###__"/>
    <numFmt numFmtId="172" formatCode="#,##0.000"/>
  </numFmts>
  <fonts count="93" x14ac:knownFonts="1">
    <font>
      <sz val="10"/>
      <name val="MS Sans Serif"/>
      <charset val="238"/>
    </font>
    <font>
      <sz val="10"/>
      <name val="MS Sans Serif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b/>
      <sz val="8"/>
      <name val="Times New Roman CE"/>
      <charset val="238"/>
    </font>
    <font>
      <i/>
      <sz val="10"/>
      <name val="Times New Roman CE"/>
      <family val="1"/>
      <charset val="238"/>
    </font>
    <font>
      <b/>
      <i/>
      <sz val="8"/>
      <name val="Times New Roman CE"/>
      <family val="1"/>
      <charset val="238"/>
    </font>
    <font>
      <i/>
      <sz val="8"/>
      <name val="Times New Roman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Times New Roman CE"/>
      <family val="1"/>
      <charset val="238"/>
    </font>
    <font>
      <b/>
      <sz val="9"/>
      <name val="Times New Roman CE"/>
      <family val="1"/>
      <charset val="238"/>
    </font>
    <font>
      <sz val="11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2"/>
      <name val="Times New Roman CE"/>
      <charset val="238"/>
    </font>
    <font>
      <b/>
      <i/>
      <sz val="10"/>
      <name val="Times New Roman CE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b/>
      <i/>
      <sz val="9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12"/>
      <color indexed="10"/>
      <name val="Times New Roman CE"/>
      <charset val="238"/>
    </font>
    <font>
      <b/>
      <sz val="12"/>
      <name val="Times New Roman CE"/>
      <charset val="238"/>
    </font>
    <font>
      <b/>
      <sz val="6"/>
      <name val="Times New Roman CE"/>
      <family val="1"/>
      <charset val="238"/>
    </font>
    <font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Arial"/>
      <family val="2"/>
      <charset val="238"/>
    </font>
    <font>
      <sz val="12"/>
      <color indexed="1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</font>
    <font>
      <b/>
      <sz val="12"/>
      <color indexed="10"/>
      <name val="Times New Roman"/>
      <family val="1"/>
      <charset val="238"/>
    </font>
    <font>
      <b/>
      <i/>
      <sz val="4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i/>
      <sz val="11"/>
      <name val="Times New Roman CE"/>
      <family val="1"/>
      <charset val="238"/>
    </font>
    <font>
      <sz val="10"/>
      <name val="Wingdings"/>
      <charset val="2"/>
    </font>
    <font>
      <sz val="8"/>
      <color indexed="10"/>
      <name val="Times New Roman CE"/>
      <charset val="238"/>
    </font>
    <font>
      <sz val="10"/>
      <color indexed="10"/>
      <name val="Times New Roman CE"/>
      <charset val="238"/>
    </font>
    <font>
      <sz val="11"/>
      <color indexed="10"/>
      <name val="Times New Roman CE"/>
      <charset val="238"/>
    </font>
    <font>
      <b/>
      <sz val="11"/>
      <name val="Times New Roman CE"/>
      <charset val="238"/>
    </font>
    <font>
      <sz val="16"/>
      <color indexed="10"/>
      <name val="Times New Roman CE"/>
      <charset val="238"/>
    </font>
    <font>
      <sz val="10"/>
      <name val="Times New Roman"/>
      <family val="1"/>
      <charset val="238"/>
    </font>
    <font>
      <b/>
      <u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8"/>
      <color indexed="10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i/>
      <u/>
      <sz val="11"/>
      <color indexed="8"/>
      <name val="Calibri"/>
      <family val="2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8"/>
      <color theme="1"/>
      <name val="Times New Roman CE"/>
      <family val="1"/>
      <charset val="238"/>
    </font>
    <font>
      <sz val="9"/>
      <color theme="1"/>
      <name val="Times New Roman CE"/>
      <family val="1"/>
      <charset val="238"/>
    </font>
    <font>
      <i/>
      <sz val="8"/>
      <name val="Times New Roman CE"/>
      <family val="1"/>
      <charset val="238"/>
    </font>
    <font>
      <i/>
      <sz val="8"/>
      <color theme="1"/>
      <name val="Times New Roman CE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50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42"/>
      </patternFill>
    </fill>
    <fill>
      <patternFill patternType="lightHorizontal"/>
    </fill>
    <fill>
      <patternFill patternType="gray125">
        <bgColor indexed="47"/>
      </patternFill>
    </fill>
    <fill>
      <patternFill patternType="solid">
        <fgColor indexed="65"/>
        <bgColor indexed="64"/>
      </patternFill>
    </fill>
    <fill>
      <patternFill patternType="darkHorizontal"/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4">
    <xf numFmtId="0" fontId="0" fillId="0" borderId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4" borderId="0" applyNumberFormat="0" applyBorder="0" applyAlignment="0" applyProtection="0"/>
    <xf numFmtId="0" fontId="28" fillId="7" borderId="0" applyNumberFormat="0" applyBorder="0" applyAlignment="0" applyProtection="0"/>
    <xf numFmtId="0" fontId="28" fillId="6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11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1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11" borderId="0" applyNumberFormat="0" applyBorder="0" applyAlignment="0" applyProtection="0"/>
    <xf numFmtId="0" fontId="29" fillId="10" borderId="0" applyNumberFormat="0" applyBorder="0" applyAlignment="0" applyProtection="0"/>
    <xf numFmtId="0" fontId="29" fillId="2" borderId="0" applyNumberFormat="0" applyBorder="0" applyAlignment="0" applyProtection="0"/>
    <xf numFmtId="0" fontId="29" fillId="5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42" fillId="18" borderId="0" applyNumberFormat="0" applyBorder="0" applyAlignment="0" applyProtection="0"/>
    <xf numFmtId="0" fontId="30" fillId="11" borderId="1" applyNumberFormat="0" applyAlignment="0" applyProtection="0"/>
    <xf numFmtId="0" fontId="44" fillId="19" borderId="1" applyNumberFormat="0" applyAlignment="0" applyProtection="0"/>
    <xf numFmtId="0" fontId="35" fillId="14" borderId="2" applyNumberFormat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14" borderId="2" applyNumberFormat="0" applyAlignment="0" applyProtection="0"/>
    <xf numFmtId="0" fontId="4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8" fillId="20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2" fillId="0" borderId="0"/>
    <xf numFmtId="0" fontId="37" fillId="0" borderId="6" applyNumberFormat="0" applyFill="0" applyAlignment="0" applyProtection="0"/>
    <xf numFmtId="0" fontId="30" fillId="11" borderId="1" applyNumberFormat="0" applyAlignment="0" applyProtection="0"/>
    <xf numFmtId="0" fontId="21" fillId="6" borderId="7" applyNumberFormat="0" applyFont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3" borderId="0" applyNumberFormat="0" applyBorder="0" applyAlignment="0" applyProtection="0"/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2" borderId="0" applyNumberFormat="0" applyBorder="0" applyAlignment="0" applyProtection="0"/>
    <xf numFmtId="0" fontId="29" fillId="2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38" fillId="20" borderId="0" applyNumberFormat="0" applyBorder="0" applyAlignment="0" applyProtection="0"/>
    <xf numFmtId="0" fontId="39" fillId="19" borderId="8" applyNumberFormat="0" applyAlignment="0" applyProtection="0"/>
    <xf numFmtId="0" fontId="37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43" fillId="11" borderId="0" applyNumberFormat="0" applyBorder="0" applyAlignment="0" applyProtection="0"/>
    <xf numFmtId="0" fontId="28" fillId="0" borderId="0"/>
    <xf numFmtId="0" fontId="21" fillId="0" borderId="0"/>
    <xf numFmtId="0" fontId="13" fillId="0" borderId="0"/>
    <xf numFmtId="0" fontId="23" fillId="0" borderId="0"/>
    <xf numFmtId="0" fontId="21" fillId="0" borderId="0"/>
    <xf numFmtId="0" fontId="21" fillId="0" borderId="0"/>
    <xf numFmtId="0" fontId="55" fillId="0" borderId="0"/>
    <xf numFmtId="0" fontId="21" fillId="0" borderId="0"/>
    <xf numFmtId="0" fontId="21" fillId="0" borderId="0"/>
    <xf numFmtId="0" fontId="21" fillId="6" borderId="7" applyNumberFormat="0" applyFont="0" applyAlignment="0" applyProtection="0"/>
    <xf numFmtId="0" fontId="39" fillId="19" borderId="8" applyNumberFormat="0" applyAlignment="0" applyProtection="0"/>
    <xf numFmtId="0" fontId="41" fillId="0" borderId="9" applyNumberFormat="0" applyFill="0" applyAlignment="0" applyProtection="0"/>
    <xf numFmtId="0" fontId="42" fillId="18" borderId="0" applyNumberFormat="0" applyBorder="0" applyAlignment="0" applyProtection="0"/>
    <xf numFmtId="0" fontId="43" fillId="11" borderId="0" applyNumberFormat="0" applyBorder="0" applyAlignment="0" applyProtection="0"/>
    <xf numFmtId="0" fontId="44" fillId="19" borderId="1" applyNumberFormat="0" applyAlignment="0" applyProtection="0"/>
    <xf numFmtId="0" fontId="31" fillId="0" borderId="0" applyNumberFormat="0" applyFill="0" applyBorder="0" applyAlignment="0" applyProtection="0"/>
    <xf numFmtId="0" fontId="41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7" fillId="0" borderId="0" applyNumberFormat="0" applyFill="0" applyBorder="0" applyAlignment="0" applyProtection="0">
      <alignment vertical="top"/>
      <protection locked="0"/>
    </xf>
    <xf numFmtId="0" fontId="8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100">
    <xf numFmtId="0" fontId="0" fillId="0" borderId="0" xfId="0"/>
    <xf numFmtId="0" fontId="7" fillId="0" borderId="10" xfId="102" applyFont="1" applyFill="1" applyBorder="1" applyAlignment="1" applyProtection="1">
      <alignment horizontal="center" vertical="center" wrapText="1"/>
    </xf>
    <xf numFmtId="0" fontId="7" fillId="0" borderId="11" xfId="102" applyFont="1" applyFill="1" applyBorder="1" applyAlignment="1" applyProtection="1">
      <alignment horizontal="center" vertical="center" wrapText="1"/>
    </xf>
    <xf numFmtId="0" fontId="7" fillId="0" borderId="12" xfId="102" applyFont="1" applyFill="1" applyBorder="1" applyAlignment="1" applyProtection="1">
      <alignment horizontal="left" vertical="center" wrapText="1" indent="1"/>
    </xf>
    <xf numFmtId="0" fontId="7" fillId="0" borderId="10" xfId="102" applyFont="1" applyFill="1" applyBorder="1" applyAlignment="1" applyProtection="1">
      <alignment horizontal="left" vertical="center" wrapText="1" indent="1"/>
    </xf>
    <xf numFmtId="0" fontId="7" fillId="0" borderId="11" xfId="102" applyFont="1" applyFill="1" applyBorder="1" applyAlignment="1" applyProtection="1">
      <alignment horizontal="left" vertical="center" wrapText="1" indent="1"/>
    </xf>
    <xf numFmtId="49" fontId="6" fillId="0" borderId="13" xfId="102" applyNumberFormat="1" applyFont="1" applyFill="1" applyBorder="1" applyAlignment="1" applyProtection="1">
      <alignment horizontal="left" vertical="center" wrapText="1" indent="1"/>
    </xf>
    <xf numFmtId="0" fontId="6" fillId="0" borderId="14" xfId="102" applyFont="1" applyFill="1" applyBorder="1" applyAlignment="1" applyProtection="1">
      <alignment horizontal="left" vertical="center" wrapText="1" indent="1"/>
    </xf>
    <xf numFmtId="49" fontId="6" fillId="0" borderId="15" xfId="102" applyNumberFormat="1" applyFont="1" applyFill="1" applyBorder="1" applyAlignment="1" applyProtection="1">
      <alignment horizontal="left" vertical="center" wrapText="1" indent="1"/>
    </xf>
    <xf numFmtId="0" fontId="6" fillId="0" borderId="16" xfId="102" applyFont="1" applyFill="1" applyBorder="1" applyAlignment="1" applyProtection="1">
      <alignment horizontal="left" vertical="center" wrapText="1" indent="1"/>
    </xf>
    <xf numFmtId="49" fontId="6" fillId="0" borderId="17" xfId="102" applyNumberFormat="1" applyFont="1" applyFill="1" applyBorder="1" applyAlignment="1" applyProtection="1">
      <alignment horizontal="left" vertical="center" wrapText="1" indent="1"/>
    </xf>
    <xf numFmtId="0" fontId="6" fillId="0" borderId="18" xfId="102" applyFont="1" applyFill="1" applyBorder="1" applyAlignment="1" applyProtection="1">
      <alignment horizontal="left" vertical="center" wrapText="1" indent="1"/>
    </xf>
    <xf numFmtId="49" fontId="6" fillId="0" borderId="19" xfId="102" applyNumberFormat="1" applyFont="1" applyFill="1" applyBorder="1" applyAlignment="1" applyProtection="1">
      <alignment horizontal="left" vertical="center" wrapText="1" indent="1"/>
    </xf>
    <xf numFmtId="49" fontId="6" fillId="0" borderId="20" xfId="102" applyNumberFormat="1" applyFont="1" applyFill="1" applyBorder="1" applyAlignment="1" applyProtection="1">
      <alignment horizontal="left" vertical="center" wrapText="1" indent="1"/>
    </xf>
    <xf numFmtId="0" fontId="6" fillId="0" borderId="21" xfId="102" applyFont="1" applyFill="1" applyBorder="1" applyAlignment="1" applyProtection="1">
      <alignment horizontal="left" vertical="center" wrapText="1" indent="1"/>
    </xf>
    <xf numFmtId="49" fontId="6" fillId="0" borderId="22" xfId="102" applyNumberFormat="1" applyFont="1" applyFill="1" applyBorder="1" applyAlignment="1" applyProtection="1">
      <alignment horizontal="left" vertical="center" wrapText="1" indent="1"/>
    </xf>
    <xf numFmtId="0" fontId="6" fillId="0" borderId="23" xfId="102" applyFont="1" applyFill="1" applyBorder="1" applyAlignment="1" applyProtection="1">
      <alignment horizontal="left" vertical="center" wrapText="1" indent="1"/>
    </xf>
    <xf numFmtId="0" fontId="6" fillId="0" borderId="0" xfId="102" applyFont="1" applyFill="1" applyBorder="1" applyAlignment="1" applyProtection="1">
      <alignment horizontal="left" vertical="center" wrapText="1" indent="1"/>
    </xf>
    <xf numFmtId="0" fontId="6" fillId="0" borderId="24" xfId="102" applyFont="1" applyFill="1" applyBorder="1" applyAlignment="1" applyProtection="1">
      <alignment horizontal="left" vertical="center" wrapText="1" indent="1"/>
    </xf>
    <xf numFmtId="0" fontId="7" fillId="0" borderId="11" xfId="102" applyFont="1" applyFill="1" applyBorder="1" applyAlignment="1" applyProtection="1">
      <alignment vertical="center" wrapText="1"/>
    </xf>
    <xf numFmtId="0" fontId="6" fillId="0" borderId="16" xfId="102" applyFont="1" applyFill="1" applyBorder="1" applyAlignment="1" applyProtection="1">
      <alignment horizontal="left" indent="6"/>
    </xf>
    <xf numFmtId="0" fontId="6" fillId="0" borderId="16" xfId="102" applyFont="1" applyFill="1" applyBorder="1" applyAlignment="1" applyProtection="1">
      <alignment horizontal="left" vertical="center" wrapText="1" indent="6"/>
    </xf>
    <xf numFmtId="0" fontId="6" fillId="0" borderId="24" xfId="102" applyFont="1" applyFill="1" applyBorder="1" applyAlignment="1" applyProtection="1">
      <alignment horizontal="left" vertical="center" wrapText="1" indent="6"/>
    </xf>
    <xf numFmtId="0" fontId="15" fillId="0" borderId="25" xfId="107" applyFont="1" applyFill="1" applyBorder="1" applyAlignment="1" applyProtection="1">
      <alignment horizontal="center" vertical="center" wrapText="1"/>
    </xf>
    <xf numFmtId="0" fontId="15" fillId="0" borderId="26" xfId="107" applyFont="1" applyFill="1" applyBorder="1" applyAlignment="1" applyProtection="1">
      <alignment horizontal="center" vertical="center" wrapText="1"/>
    </xf>
    <xf numFmtId="0" fontId="23" fillId="0" borderId="0" xfId="102" applyFill="1" applyProtection="1"/>
    <xf numFmtId="166" fontId="45" fillId="0" borderId="27" xfId="102" applyNumberFormat="1" applyFont="1" applyFill="1" applyBorder="1" applyAlignment="1" applyProtection="1">
      <alignment vertical="center"/>
    </xf>
    <xf numFmtId="0" fontId="46" fillId="0" borderId="27" xfId="107" applyFont="1" applyFill="1" applyBorder="1" applyAlignment="1" applyProtection="1">
      <alignment horizontal="right" vertical="center"/>
    </xf>
    <xf numFmtId="0" fontId="15" fillId="0" borderId="28" xfId="102" applyFont="1" applyFill="1" applyBorder="1" applyAlignment="1" applyProtection="1">
      <alignment horizontal="center" vertical="center" wrapText="1"/>
    </xf>
    <xf numFmtId="0" fontId="15" fillId="0" borderId="29" xfId="102" applyFont="1" applyFill="1" applyBorder="1" applyAlignment="1" applyProtection="1">
      <alignment horizontal="center" vertical="center" wrapText="1"/>
    </xf>
    <xf numFmtId="0" fontId="7" fillId="0" borderId="30" xfId="102" applyFont="1" applyFill="1" applyBorder="1" applyAlignment="1" applyProtection="1">
      <alignment horizontal="center" vertical="center" wrapText="1"/>
    </xf>
    <xf numFmtId="0" fontId="6" fillId="0" borderId="0" xfId="102" applyFont="1" applyFill="1" applyProtection="1"/>
    <xf numFmtId="166" fontId="7" fillId="0" borderId="11" xfId="102" applyNumberFormat="1" applyFont="1" applyFill="1" applyBorder="1" applyAlignment="1" applyProtection="1">
      <alignment horizontal="right" vertical="center" wrapText="1" indent="1"/>
    </xf>
    <xf numFmtId="166" fontId="7" fillId="0" borderId="30" xfId="102" applyNumberFormat="1" applyFont="1" applyFill="1" applyBorder="1" applyAlignment="1" applyProtection="1">
      <alignment horizontal="right" vertical="center" wrapText="1" indent="1"/>
    </xf>
    <xf numFmtId="0" fontId="2" fillId="0" borderId="0" xfId="102" applyFont="1" applyFill="1" applyProtection="1"/>
    <xf numFmtId="0" fontId="50" fillId="0" borderId="18" xfId="107" applyFont="1" applyBorder="1" applyAlignment="1" applyProtection="1">
      <alignment horizontal="left" wrapText="1" indent="1"/>
    </xf>
    <xf numFmtId="166" fontId="6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16" xfId="107" applyFont="1" applyBorder="1" applyAlignment="1" applyProtection="1">
      <alignment horizontal="left" wrapText="1" indent="1"/>
    </xf>
    <xf numFmtId="166" fontId="6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24" xfId="107" applyFont="1" applyBorder="1" applyAlignment="1" applyProtection="1">
      <alignment horizontal="left" wrapText="1" indent="1"/>
    </xf>
    <xf numFmtId="166" fontId="6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7" applyFont="1" applyBorder="1" applyAlignment="1" applyProtection="1">
      <alignment horizontal="left" vertical="center" wrapText="1" indent="1"/>
    </xf>
    <xf numFmtId="0" fontId="50" fillId="0" borderId="24" xfId="107" applyFont="1" applyBorder="1" applyAlignment="1" applyProtection="1">
      <alignment horizontal="left" vertical="center" wrapText="1" indent="1"/>
    </xf>
    <xf numFmtId="166" fontId="8" fillId="0" borderId="11" xfId="102" applyNumberFormat="1" applyFont="1" applyFill="1" applyBorder="1" applyAlignment="1" applyProtection="1">
      <alignment horizontal="right" vertical="center" wrapText="1" indent="1"/>
    </xf>
    <xf numFmtId="166" fontId="8" fillId="0" borderId="30" xfId="102" applyNumberFormat="1" applyFont="1" applyFill="1" applyBorder="1" applyAlignment="1" applyProtection="1">
      <alignment horizontal="right" vertical="center" wrapText="1" indent="1"/>
    </xf>
    <xf numFmtId="166" fontId="6" fillId="0" borderId="18" xfId="102" applyNumberFormat="1" applyFont="1" applyFill="1" applyBorder="1" applyAlignment="1" applyProtection="1">
      <alignment horizontal="right" vertical="center" wrapText="1" indent="1"/>
    </xf>
    <xf numFmtId="166" fontId="22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2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24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3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8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1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0" xfId="107" applyFont="1" applyBorder="1" applyAlignment="1" applyProtection="1">
      <alignment vertical="center" wrapText="1"/>
    </xf>
    <xf numFmtId="0" fontId="50" fillId="0" borderId="24" xfId="107" applyFont="1" applyBorder="1" applyAlignment="1" applyProtection="1">
      <alignment vertical="center" wrapText="1"/>
    </xf>
    <xf numFmtId="0" fontId="50" fillId="0" borderId="17" xfId="107" applyFont="1" applyBorder="1" applyAlignment="1" applyProtection="1">
      <alignment wrapText="1"/>
    </xf>
    <xf numFmtId="0" fontId="50" fillId="0" borderId="15" xfId="107" applyFont="1" applyBorder="1" applyAlignment="1" applyProtection="1">
      <alignment wrapText="1"/>
    </xf>
    <xf numFmtId="0" fontId="50" fillId="0" borderId="19" xfId="107" applyFont="1" applyBorder="1" applyAlignment="1" applyProtection="1">
      <alignment vertical="center" wrapText="1"/>
    </xf>
    <xf numFmtId="166" fontId="7" fillId="0" borderId="11" xfId="102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30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7" applyFont="1" applyBorder="1" applyAlignment="1" applyProtection="1">
      <alignment vertical="center" wrapText="1"/>
    </xf>
    <xf numFmtId="0" fontId="53" fillId="0" borderId="34" xfId="107" applyFont="1" applyBorder="1" applyAlignment="1" applyProtection="1">
      <alignment vertical="center" wrapText="1"/>
    </xf>
    <xf numFmtId="0" fontId="53" fillId="0" borderId="35" xfId="107" applyFont="1" applyBorder="1" applyAlignment="1" applyProtection="1">
      <alignment vertical="center" wrapText="1"/>
    </xf>
    <xf numFmtId="0" fontId="56" fillId="0" borderId="0" xfId="107" applyFont="1" applyBorder="1" applyAlignment="1" applyProtection="1">
      <alignment horizontal="left" vertical="center" wrapText="1" indent="1"/>
    </xf>
    <xf numFmtId="166" fontId="26" fillId="0" borderId="0" xfId="102" applyNumberFormat="1" applyFont="1" applyFill="1" applyBorder="1" applyAlignment="1" applyProtection="1">
      <alignment horizontal="right" vertical="center" wrapText="1" indent="1"/>
    </xf>
    <xf numFmtId="166" fontId="45" fillId="0" borderId="27" xfId="102" applyNumberFormat="1" applyFont="1" applyFill="1" applyBorder="1" applyAlignment="1" applyProtection="1"/>
    <xf numFmtId="0" fontId="46" fillId="0" borderId="27" xfId="107" applyFont="1" applyFill="1" applyBorder="1" applyAlignment="1" applyProtection="1">
      <alignment horizontal="right"/>
    </xf>
    <xf numFmtId="0" fontId="23" fillId="0" borderId="0" xfId="102" applyFill="1" applyAlignment="1" applyProtection="1"/>
    <xf numFmtId="0" fontId="7" fillId="0" borderId="36" xfId="102" applyFont="1" applyFill="1" applyBorder="1" applyAlignment="1" applyProtection="1">
      <alignment horizontal="center" vertical="center" wrapText="1"/>
    </xf>
    <xf numFmtId="0" fontId="7" fillId="0" borderId="25" xfId="102" applyFont="1" applyFill="1" applyBorder="1" applyAlignment="1" applyProtection="1">
      <alignment vertical="center" wrapText="1"/>
    </xf>
    <xf numFmtId="166" fontId="7" fillId="0" borderId="25" xfId="102" applyNumberFormat="1" applyFont="1" applyFill="1" applyBorder="1" applyAlignment="1" applyProtection="1">
      <alignment horizontal="right" vertical="center" wrapText="1" indent="1"/>
    </xf>
    <xf numFmtId="166" fontId="7" fillId="0" borderId="37" xfId="102" applyNumberFormat="1" applyFont="1" applyFill="1" applyBorder="1" applyAlignment="1" applyProtection="1">
      <alignment horizontal="right" vertical="center" wrapText="1" indent="1"/>
    </xf>
    <xf numFmtId="166" fontId="6" fillId="0" borderId="21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8" xfId="102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28" xfId="102" applyFont="1" applyFill="1" applyBorder="1" applyAlignment="1" applyProtection="1">
      <alignment horizontal="left" vertical="center" wrapText="1" indent="6"/>
    </xf>
    <xf numFmtId="166" fontId="6" fillId="0" borderId="28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9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16" xfId="107" applyFont="1" applyBorder="1" applyAlignment="1" applyProtection="1">
      <alignment horizontal="left" vertical="center" wrapText="1" indent="1"/>
    </xf>
    <xf numFmtId="0" fontId="6" fillId="0" borderId="18" xfId="102" applyFont="1" applyFill="1" applyBorder="1" applyAlignment="1" applyProtection="1">
      <alignment horizontal="left" vertical="center" wrapText="1" indent="6"/>
    </xf>
    <xf numFmtId="0" fontId="23" fillId="0" borderId="0" xfId="102" applyFill="1" applyAlignment="1" applyProtection="1">
      <alignment horizontal="left" vertical="center" indent="1"/>
    </xf>
    <xf numFmtId="0" fontId="8" fillId="0" borderId="11" xfId="102" applyFont="1" applyFill="1" applyBorder="1" applyAlignment="1" applyProtection="1">
      <alignment horizontal="left" vertical="center" wrapText="1" indent="1"/>
    </xf>
    <xf numFmtId="166" fontId="53" fillId="0" borderId="11" xfId="107" applyNumberFormat="1" applyFont="1" applyBorder="1" applyAlignment="1" applyProtection="1">
      <alignment horizontal="right" vertical="center" wrapText="1" indent="1"/>
    </xf>
    <xf numFmtId="166" fontId="53" fillId="0" borderId="30" xfId="107" applyNumberFormat="1" applyFont="1" applyBorder="1" applyAlignment="1" applyProtection="1">
      <alignment horizontal="right" vertical="center" wrapText="1" indent="1"/>
    </xf>
    <xf numFmtId="0" fontId="47" fillId="0" borderId="0" xfId="102" applyFont="1" applyFill="1" applyProtection="1"/>
    <xf numFmtId="0" fontId="48" fillId="0" borderId="0" xfId="102" applyFont="1" applyFill="1" applyProtection="1"/>
    <xf numFmtId="166" fontId="56" fillId="0" borderId="11" xfId="107" quotePrefix="1" applyNumberFormat="1" applyFont="1" applyBorder="1" applyAlignment="1" applyProtection="1">
      <alignment horizontal="right" vertical="center" wrapText="1" indent="1"/>
    </xf>
    <xf numFmtId="166" fontId="56" fillId="0" borderId="30" xfId="107" quotePrefix="1" applyNumberFormat="1" applyFont="1" applyBorder="1" applyAlignment="1" applyProtection="1">
      <alignment horizontal="right" vertical="center" wrapText="1" indent="1"/>
    </xf>
    <xf numFmtId="0" fontId="53" fillId="0" borderId="34" xfId="107" applyFont="1" applyBorder="1" applyAlignment="1" applyProtection="1">
      <alignment horizontal="left" vertical="center" wrapText="1" indent="1"/>
    </xf>
    <xf numFmtId="0" fontId="56" fillId="0" borderId="35" xfId="107" applyFont="1" applyBorder="1" applyAlignment="1" applyProtection="1">
      <alignment horizontal="left" vertical="center" wrapText="1" indent="1"/>
    </xf>
    <xf numFmtId="166" fontId="45" fillId="0" borderId="27" xfId="102" applyNumberFormat="1" applyFont="1" applyFill="1" applyBorder="1" applyAlignment="1" applyProtection="1">
      <alignment horizontal="left" vertical="center"/>
    </xf>
    <xf numFmtId="0" fontId="23" fillId="0" borderId="0" xfId="102" applyFont="1" applyFill="1" applyAlignment="1" applyProtection="1">
      <alignment horizontal="right" vertical="center" indent="1"/>
    </xf>
    <xf numFmtId="166" fontId="7" fillId="0" borderId="36" xfId="102" applyNumberFormat="1" applyFont="1" applyFill="1" applyBorder="1" applyAlignment="1" applyProtection="1">
      <alignment horizontal="right" vertical="center" wrapText="1" indent="1"/>
    </xf>
    <xf numFmtId="0" fontId="23" fillId="0" borderId="0" xfId="102" applyFont="1" applyFill="1" applyProtection="1"/>
    <xf numFmtId="166" fontId="21" fillId="0" borderId="0" xfId="107" applyNumberFormat="1" applyFill="1" applyAlignment="1" applyProtection="1">
      <alignment vertical="center" wrapText="1"/>
    </xf>
    <xf numFmtId="166" fontId="21" fillId="0" borderId="0" xfId="107" applyNumberFormat="1" applyFill="1" applyAlignment="1" applyProtection="1">
      <alignment horizontal="center" vertical="center" wrapText="1"/>
    </xf>
    <xf numFmtId="166" fontId="46" fillId="0" borderId="0" xfId="107" applyNumberFormat="1" applyFont="1" applyFill="1" applyAlignment="1" applyProtection="1">
      <alignment horizontal="right" vertical="center"/>
    </xf>
    <xf numFmtId="166" fontId="15" fillId="0" borderId="10" xfId="107" applyNumberFormat="1" applyFont="1" applyFill="1" applyBorder="1" applyAlignment="1" applyProtection="1">
      <alignment horizontal="centerContinuous" vertical="center" wrapText="1"/>
    </xf>
    <xf numFmtId="166" fontId="15" fillId="0" borderId="11" xfId="107" applyNumberFormat="1" applyFont="1" applyFill="1" applyBorder="1" applyAlignment="1" applyProtection="1">
      <alignment horizontal="centerContinuous" vertical="center" wrapText="1"/>
    </xf>
    <xf numFmtId="166" fontId="15" fillId="0" borderId="36" xfId="107" applyNumberFormat="1" applyFont="1" applyFill="1" applyBorder="1" applyAlignment="1" applyProtection="1">
      <alignment horizontal="centerContinuous" vertical="center" wrapText="1"/>
    </xf>
    <xf numFmtId="166" fontId="15" fillId="0" borderId="10" xfId="107" applyNumberFormat="1" applyFont="1" applyFill="1" applyBorder="1" applyAlignment="1" applyProtection="1">
      <alignment horizontal="center" vertical="center" wrapText="1"/>
    </xf>
    <xf numFmtId="166" fontId="15" fillId="0" borderId="11" xfId="107" applyNumberFormat="1" applyFont="1" applyFill="1" applyBorder="1" applyAlignment="1" applyProtection="1">
      <alignment horizontal="center" vertical="center" wrapText="1"/>
    </xf>
    <xf numFmtId="166" fontId="15" fillId="0" borderId="40" xfId="107" applyNumberFormat="1" applyFont="1" applyFill="1" applyBorder="1" applyAlignment="1" applyProtection="1">
      <alignment horizontal="center" vertical="center" wrapText="1"/>
    </xf>
    <xf numFmtId="166" fontId="15" fillId="0" borderId="36" xfId="107" applyNumberFormat="1" applyFont="1" applyFill="1" applyBorder="1" applyAlignment="1" applyProtection="1">
      <alignment horizontal="center" vertical="center" wrapText="1"/>
    </xf>
    <xf numFmtId="166" fontId="4" fillId="0" borderId="0" xfId="107" applyNumberFormat="1" applyFont="1" applyFill="1" applyAlignment="1" applyProtection="1">
      <alignment horizontal="center" vertical="center" wrapText="1"/>
    </xf>
    <xf numFmtId="166" fontId="8" fillId="0" borderId="41" xfId="107" applyNumberFormat="1" applyFont="1" applyFill="1" applyBorder="1" applyAlignment="1" applyProtection="1">
      <alignment horizontal="center" vertical="center" wrapText="1"/>
    </xf>
    <xf numFmtId="166" fontId="8" fillId="0" borderId="10" xfId="107" applyNumberFormat="1" applyFont="1" applyFill="1" applyBorder="1" applyAlignment="1" applyProtection="1">
      <alignment horizontal="center" vertical="center" wrapText="1"/>
    </xf>
    <xf numFmtId="166" fontId="8" fillId="0" borderId="11" xfId="107" applyNumberFormat="1" applyFont="1" applyFill="1" applyBorder="1" applyAlignment="1" applyProtection="1">
      <alignment horizontal="center" vertical="center" wrapText="1"/>
    </xf>
    <xf numFmtId="166" fontId="8" fillId="0" borderId="36" xfId="107" applyNumberFormat="1" applyFont="1" applyFill="1" applyBorder="1" applyAlignment="1" applyProtection="1">
      <alignment horizontal="center" vertical="center" wrapText="1"/>
    </xf>
    <xf numFmtId="166" fontId="8" fillId="0" borderId="0" xfId="107" applyNumberFormat="1" applyFont="1" applyFill="1" applyAlignment="1" applyProtection="1">
      <alignment horizontal="center" vertical="center" wrapText="1"/>
    </xf>
    <xf numFmtId="166" fontId="21" fillId="0" borderId="42" xfId="107" applyNumberFormat="1" applyFill="1" applyBorder="1" applyAlignment="1" applyProtection="1">
      <alignment horizontal="left" vertical="center" wrapText="1" indent="1"/>
    </xf>
    <xf numFmtId="166" fontId="6" fillId="0" borderId="17" xfId="107" applyNumberFormat="1" applyFont="1" applyFill="1" applyBorder="1" applyAlignment="1" applyProtection="1">
      <alignment horizontal="left" vertical="center" wrapText="1" indent="1"/>
    </xf>
    <xf numFmtId="166" fontId="6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6" fontId="21" fillId="0" borderId="44" xfId="107" applyNumberFormat="1" applyFill="1" applyBorder="1" applyAlignment="1" applyProtection="1">
      <alignment horizontal="left" vertical="center" wrapText="1" indent="1"/>
    </xf>
    <xf numFmtId="166" fontId="6" fillId="0" borderId="15" xfId="107" applyNumberFormat="1" applyFont="1" applyFill="1" applyBorder="1" applyAlignment="1" applyProtection="1">
      <alignment horizontal="left" vertical="center" wrapText="1" indent="1"/>
    </xf>
    <xf numFmtId="166" fontId="6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6" xfId="107" applyNumberFormat="1" applyFont="1" applyFill="1" applyBorder="1" applyAlignment="1" applyProtection="1">
      <alignment horizontal="left" vertical="center" wrapText="1" indent="1"/>
    </xf>
    <xf numFmtId="166" fontId="6" fillId="0" borderId="47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5" xfId="107" applyNumberFormat="1" applyFont="1" applyFill="1" applyBorder="1" applyAlignment="1" applyProtection="1">
      <alignment horizontal="left" vertical="center" wrapText="1" indent="1"/>
      <protection locked="0"/>
    </xf>
    <xf numFmtId="166" fontId="22" fillId="0" borderId="0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9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24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8" xfId="107" applyNumberFormat="1" applyFont="1" applyFill="1" applyBorder="1" applyAlignment="1" applyProtection="1">
      <alignment horizontal="right" vertical="center" wrapText="1" indent="1"/>
      <protection locked="0"/>
    </xf>
    <xf numFmtId="166" fontId="3" fillId="0" borderId="41" xfId="107" applyNumberFormat="1" applyFont="1" applyFill="1" applyBorder="1" applyAlignment="1" applyProtection="1">
      <alignment horizontal="left" vertical="center" wrapText="1" indent="1"/>
    </xf>
    <xf numFmtId="166" fontId="8" fillId="0" borderId="10" xfId="107" applyNumberFormat="1" applyFont="1" applyFill="1" applyBorder="1" applyAlignment="1" applyProtection="1">
      <alignment horizontal="left" vertical="center" wrapText="1" indent="1"/>
    </xf>
    <xf numFmtId="166" fontId="8" fillId="0" borderId="11" xfId="107" applyNumberFormat="1" applyFont="1" applyFill="1" applyBorder="1" applyAlignment="1" applyProtection="1">
      <alignment horizontal="right" vertical="center" wrapText="1" indent="1"/>
    </xf>
    <xf numFmtId="166" fontId="22" fillId="0" borderId="13" xfId="107" applyNumberFormat="1" applyFont="1" applyFill="1" applyBorder="1" applyAlignment="1" applyProtection="1">
      <alignment horizontal="left" vertical="center" wrapText="1" indent="1"/>
    </xf>
    <xf numFmtId="166" fontId="22" fillId="0" borderId="15" xfId="107" applyNumberFormat="1" applyFont="1" applyFill="1" applyBorder="1" applyAlignment="1" applyProtection="1">
      <alignment horizontal="left" vertical="center" wrapText="1" indent="1"/>
    </xf>
    <xf numFmtId="166" fontId="22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16" xfId="107" applyNumberFormat="1" applyFont="1" applyFill="1" applyBorder="1" applyAlignment="1" applyProtection="1">
      <alignment horizontal="right" vertical="center" wrapText="1" indent="1"/>
    </xf>
    <xf numFmtId="166" fontId="3" fillId="0" borderId="10" xfId="107" applyNumberFormat="1" applyFont="1" applyFill="1" applyBorder="1" applyAlignment="1" applyProtection="1">
      <alignment horizontal="left" vertical="center" wrapText="1" indent="1"/>
    </xf>
    <xf numFmtId="166" fontId="3" fillId="0" borderId="11" xfId="107" applyNumberFormat="1" applyFont="1" applyFill="1" applyBorder="1" applyAlignment="1" applyProtection="1">
      <alignment horizontal="right" vertical="center" wrapText="1" indent="1"/>
    </xf>
    <xf numFmtId="166" fontId="3" fillId="0" borderId="30" xfId="107" applyNumberFormat="1" applyFont="1" applyFill="1" applyBorder="1" applyAlignment="1" applyProtection="1">
      <alignment horizontal="right" vertical="center" wrapText="1" indent="1"/>
    </xf>
    <xf numFmtId="166" fontId="6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6" fontId="22" fillId="0" borderId="15" xfId="107" quotePrefix="1" applyNumberFormat="1" applyFont="1" applyFill="1" applyBorder="1" applyAlignment="1" applyProtection="1">
      <alignment horizontal="left" vertical="center" wrapText="1" indent="6"/>
      <protection locked="0"/>
    </xf>
    <xf numFmtId="166" fontId="6" fillId="0" borderId="15" xfId="107" quotePrefix="1" applyNumberFormat="1" applyFont="1" applyFill="1" applyBorder="1" applyAlignment="1" applyProtection="1">
      <alignment horizontal="left" vertical="center" wrapText="1" indent="3"/>
      <protection locked="0"/>
    </xf>
    <xf numFmtId="166" fontId="21" fillId="0" borderId="49" xfId="107" applyNumberFormat="1" applyFill="1" applyBorder="1" applyAlignment="1" applyProtection="1">
      <alignment horizontal="left" vertical="center" wrapText="1" indent="1"/>
    </xf>
    <xf numFmtId="166" fontId="6" fillId="0" borderId="13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50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3" xfId="107" applyNumberFormat="1" applyFont="1" applyFill="1" applyBorder="1" applyAlignment="1" applyProtection="1">
      <alignment horizontal="left" vertical="center" wrapText="1" indent="1"/>
    </xf>
    <xf numFmtId="166" fontId="8" fillId="0" borderId="36" xfId="107" applyNumberFormat="1" applyFont="1" applyFill="1" applyBorder="1" applyAlignment="1" applyProtection="1">
      <alignment horizontal="right" vertical="center" wrapText="1" indent="1"/>
    </xf>
    <xf numFmtId="166" fontId="11" fillId="0" borderId="13" xfId="107" applyNumberFormat="1" applyFont="1" applyFill="1" applyBorder="1" applyAlignment="1" applyProtection="1">
      <alignment horizontal="left" vertical="center" wrapText="1" indent="1"/>
    </xf>
    <xf numFmtId="166" fontId="11" fillId="0" borderId="18" xfId="107" applyNumberFormat="1" applyFont="1" applyFill="1" applyBorder="1" applyAlignment="1" applyProtection="1">
      <alignment horizontal="right" vertical="center" wrapText="1" indent="1"/>
    </xf>
    <xf numFmtId="166" fontId="22" fillId="0" borderId="18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3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5" xfId="107" applyNumberFormat="1" applyFont="1" applyFill="1" applyBorder="1" applyAlignment="1" applyProtection="1">
      <alignment horizontal="left" vertical="center" wrapText="1" indent="2"/>
    </xf>
    <xf numFmtId="166" fontId="22" fillId="0" borderId="45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left" vertical="center" wrapText="1" indent="2"/>
    </xf>
    <xf numFmtId="166" fontId="11" fillId="0" borderId="16" xfId="107" applyNumberFormat="1" applyFont="1" applyFill="1" applyBorder="1" applyAlignment="1" applyProtection="1">
      <alignment horizontal="left" vertical="center" wrapText="1" indent="1"/>
    </xf>
    <xf numFmtId="166" fontId="22" fillId="0" borderId="17" xfId="107" applyNumberFormat="1" applyFont="1" applyFill="1" applyBorder="1" applyAlignment="1" applyProtection="1">
      <alignment horizontal="left" vertical="center" wrapText="1" indent="1"/>
    </xf>
    <xf numFmtId="166" fontId="22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7" xfId="107" applyNumberFormat="1" applyFont="1" applyFill="1" applyBorder="1" applyAlignment="1" applyProtection="1">
      <alignment horizontal="left" vertical="center" wrapText="1" indent="1"/>
      <protection locked="0"/>
    </xf>
    <xf numFmtId="166" fontId="6" fillId="0" borderId="17" xfId="107" applyNumberFormat="1" applyFont="1" applyFill="1" applyBorder="1" applyAlignment="1" applyProtection="1">
      <alignment horizontal="left" vertical="center" wrapText="1" indent="2"/>
    </xf>
    <xf numFmtId="166" fontId="6" fillId="0" borderId="19" xfId="107" applyNumberFormat="1" applyFont="1" applyFill="1" applyBorder="1" applyAlignment="1" applyProtection="1">
      <alignment horizontal="left" vertical="center" wrapText="1" indent="2"/>
    </xf>
    <xf numFmtId="166" fontId="3" fillId="0" borderId="36" xfId="107" applyNumberFormat="1" applyFont="1" applyFill="1" applyBorder="1" applyAlignment="1" applyProtection="1">
      <alignment horizontal="right" vertical="center" wrapText="1" indent="1"/>
    </xf>
    <xf numFmtId="166" fontId="21" fillId="0" borderId="0" xfId="107" applyNumberFormat="1" applyFill="1" applyAlignment="1">
      <alignment vertical="center" wrapText="1"/>
    </xf>
    <xf numFmtId="0" fontId="15" fillId="0" borderId="11" xfId="107" applyFont="1" applyBorder="1" applyAlignment="1">
      <alignment horizontal="center" vertical="center" wrapText="1"/>
    </xf>
    <xf numFmtId="166" fontId="15" fillId="0" borderId="30" xfId="107" applyNumberFormat="1" applyFont="1" applyFill="1" applyBorder="1" applyAlignment="1" applyProtection="1">
      <alignment horizontal="center" vertical="center" wrapText="1"/>
    </xf>
    <xf numFmtId="166" fontId="4" fillId="0" borderId="0" xfId="107" applyNumberFormat="1" applyFont="1" applyFill="1" applyAlignment="1">
      <alignment horizontal="center" vertical="center" wrapText="1"/>
    </xf>
    <xf numFmtId="166" fontId="7" fillId="0" borderId="34" xfId="107" applyNumberFormat="1" applyFont="1" applyFill="1" applyBorder="1" applyAlignment="1" applyProtection="1">
      <alignment horizontal="center" vertical="center" wrapText="1"/>
    </xf>
    <xf numFmtId="166" fontId="7" fillId="0" borderId="35" xfId="107" applyNumberFormat="1" applyFont="1" applyFill="1" applyBorder="1" applyAlignment="1" applyProtection="1">
      <alignment horizontal="center" vertical="center" wrapText="1"/>
    </xf>
    <xf numFmtId="166" fontId="7" fillId="0" borderId="51" xfId="107" applyNumberFormat="1" applyFont="1" applyFill="1" applyBorder="1" applyAlignment="1" applyProtection="1">
      <alignment horizontal="center" vertical="center" wrapText="1"/>
    </xf>
    <xf numFmtId="166" fontId="7" fillId="0" borderId="52" xfId="107" applyNumberFormat="1" applyFont="1" applyFill="1" applyBorder="1" applyAlignment="1" applyProtection="1">
      <alignment horizontal="center" vertical="center" wrapText="1"/>
    </xf>
    <xf numFmtId="166" fontId="6" fillId="0" borderId="16" xfId="107" applyNumberFormat="1" applyFont="1" applyFill="1" applyBorder="1" applyAlignment="1" applyProtection="1">
      <alignment vertical="center" wrapText="1"/>
      <protection locked="0"/>
    </xf>
    <xf numFmtId="166" fontId="6" fillId="0" borderId="47" xfId="107" applyNumberFormat="1" applyFont="1" applyFill="1" applyBorder="1" applyAlignment="1" applyProtection="1">
      <alignment vertical="center" wrapText="1"/>
      <protection locked="0"/>
    </xf>
    <xf numFmtId="166" fontId="6" fillId="0" borderId="24" xfId="107" applyNumberFormat="1" applyFont="1" applyFill="1" applyBorder="1" applyAlignment="1" applyProtection="1">
      <alignment vertical="center" wrapText="1"/>
      <protection locked="0"/>
    </xf>
    <xf numFmtId="166" fontId="15" fillId="0" borderId="10" xfId="107" applyNumberFormat="1" applyFont="1" applyFill="1" applyBorder="1" applyAlignment="1" applyProtection="1">
      <alignment horizontal="left" vertical="center" wrapText="1"/>
    </xf>
    <xf numFmtId="166" fontId="7" fillId="0" borderId="11" xfId="107" applyNumberFormat="1" applyFont="1" applyFill="1" applyBorder="1" applyAlignment="1" applyProtection="1">
      <alignment vertical="center" wrapText="1"/>
    </xf>
    <xf numFmtId="166" fontId="7" fillId="21" borderId="11" xfId="107" applyNumberFormat="1" applyFont="1" applyFill="1" applyBorder="1" applyAlignment="1" applyProtection="1">
      <alignment vertical="center" wrapText="1"/>
    </xf>
    <xf numFmtId="166" fontId="7" fillId="0" borderId="36" xfId="107" applyNumberFormat="1" applyFont="1" applyFill="1" applyBorder="1" applyAlignment="1" applyProtection="1">
      <alignment vertical="center" wrapText="1"/>
    </xf>
    <xf numFmtId="166" fontId="4" fillId="0" borderId="0" xfId="107" applyNumberFormat="1" applyFont="1" applyFill="1" applyAlignment="1">
      <alignment vertical="center" wrapText="1"/>
    </xf>
    <xf numFmtId="166" fontId="21" fillId="0" borderId="0" xfId="107" applyNumberFormat="1" applyFill="1" applyAlignment="1">
      <alignment horizontal="center" vertical="center" wrapText="1"/>
    </xf>
    <xf numFmtId="0" fontId="5" fillId="0" borderId="0" xfId="107" applyNumberFormat="1" applyFont="1" applyFill="1" applyAlignment="1" applyProtection="1">
      <alignment textRotation="180" wrapText="1"/>
      <protection locked="0"/>
    </xf>
    <xf numFmtId="0" fontId="21" fillId="0" borderId="0" xfId="107" applyFill="1"/>
    <xf numFmtId="166" fontId="17" fillId="0" borderId="0" xfId="107" applyNumberFormat="1" applyFont="1" applyFill="1" applyAlignment="1">
      <alignment vertical="center" wrapText="1"/>
    </xf>
    <xf numFmtId="166" fontId="7" fillId="0" borderId="53" xfId="107" applyNumberFormat="1" applyFont="1" applyFill="1" applyBorder="1" applyAlignment="1">
      <alignment horizontal="center" vertical="center"/>
    </xf>
    <xf numFmtId="166" fontId="7" fillId="0" borderId="54" xfId="107" applyNumberFormat="1" applyFont="1" applyFill="1" applyBorder="1" applyAlignment="1">
      <alignment horizontal="center" vertical="center"/>
    </xf>
    <xf numFmtId="166" fontId="7" fillId="0" borderId="54" xfId="107" applyNumberFormat="1" applyFont="1" applyFill="1" applyBorder="1" applyAlignment="1">
      <alignment horizontal="center" vertical="center" wrapText="1"/>
    </xf>
    <xf numFmtId="49" fontId="22" fillId="0" borderId="55" xfId="107" applyNumberFormat="1" applyFont="1" applyFill="1" applyBorder="1" applyAlignment="1">
      <alignment horizontal="left" vertical="center"/>
    </xf>
    <xf numFmtId="3" fontId="22" fillId="0" borderId="56" xfId="107" applyNumberFormat="1" applyFont="1" applyFill="1" applyBorder="1" applyAlignment="1" applyProtection="1">
      <alignment horizontal="right" vertical="center"/>
      <protection locked="0"/>
    </xf>
    <xf numFmtId="3" fontId="22" fillId="0" borderId="56" xfId="107" applyNumberFormat="1" applyFont="1" applyFill="1" applyBorder="1" applyAlignment="1" applyProtection="1">
      <alignment horizontal="right" vertical="center" wrapText="1"/>
      <protection locked="0"/>
    </xf>
    <xf numFmtId="3" fontId="22" fillId="0" borderId="57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57" xfId="107" applyNumberFormat="1" applyFont="1" applyFill="1" applyBorder="1" applyAlignment="1">
      <alignment horizontal="right" vertical="center" wrapText="1"/>
    </xf>
    <xf numFmtId="4" fontId="7" fillId="0" borderId="57" xfId="107" applyNumberFormat="1" applyFont="1" applyFill="1" applyBorder="1" applyAlignment="1">
      <alignment horizontal="right" vertical="center" wrapText="1"/>
    </xf>
    <xf numFmtId="49" fontId="11" fillId="0" borderId="58" xfId="107" quotePrefix="1" applyNumberFormat="1" applyFont="1" applyFill="1" applyBorder="1" applyAlignment="1">
      <alignment horizontal="left" vertical="center" indent="1"/>
    </xf>
    <xf numFmtId="3" fontId="11" fillId="0" borderId="44" xfId="107" applyNumberFormat="1" applyFont="1" applyFill="1" applyBorder="1" applyAlignment="1" applyProtection="1">
      <alignment horizontal="right" vertical="center"/>
      <protection locked="0"/>
    </xf>
    <xf numFmtId="3" fontId="11" fillId="0" borderId="44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44" xfId="107" applyNumberFormat="1" applyFont="1" applyFill="1" applyBorder="1" applyAlignment="1">
      <alignment horizontal="right" vertical="center" wrapText="1"/>
    </xf>
    <xf numFmtId="4" fontId="7" fillId="0" borderId="44" xfId="107" applyNumberFormat="1" applyFont="1" applyFill="1" applyBorder="1" applyAlignment="1">
      <alignment horizontal="right" vertical="center" wrapText="1"/>
    </xf>
    <xf numFmtId="49" fontId="22" fillId="0" borderId="58" xfId="107" applyNumberFormat="1" applyFont="1" applyFill="1" applyBorder="1" applyAlignment="1">
      <alignment horizontal="left" vertical="center"/>
    </xf>
    <xf numFmtId="3" fontId="22" fillId="0" borderId="44" xfId="107" applyNumberFormat="1" applyFont="1" applyFill="1" applyBorder="1" applyAlignment="1" applyProtection="1">
      <alignment horizontal="right" vertical="center"/>
      <protection locked="0"/>
    </xf>
    <xf numFmtId="3" fontId="22" fillId="0" borderId="44" xfId="107" applyNumberFormat="1" applyFont="1" applyFill="1" applyBorder="1" applyAlignment="1" applyProtection="1">
      <alignment horizontal="right" vertical="center" wrapText="1"/>
      <protection locked="0"/>
    </xf>
    <xf numFmtId="49" fontId="22" fillId="0" borderId="59" xfId="107" applyNumberFormat="1" applyFont="1" applyFill="1" applyBorder="1" applyAlignment="1" applyProtection="1">
      <alignment horizontal="left" vertical="center"/>
      <protection locked="0"/>
    </xf>
    <xf numFmtId="3" fontId="22" fillId="0" borderId="60" xfId="107" applyNumberFormat="1" applyFont="1" applyFill="1" applyBorder="1" applyAlignment="1" applyProtection="1">
      <alignment horizontal="right" vertical="center"/>
      <protection locked="0"/>
    </xf>
    <xf numFmtId="3" fontId="22" fillId="0" borderId="60" xfId="107" applyNumberFormat="1" applyFont="1" applyFill="1" applyBorder="1" applyAlignment="1" applyProtection="1">
      <alignment horizontal="right" vertical="center" wrapText="1"/>
      <protection locked="0"/>
    </xf>
    <xf numFmtId="4" fontId="7" fillId="0" borderId="61" xfId="107" applyNumberFormat="1" applyFont="1" applyFill="1" applyBorder="1" applyAlignment="1">
      <alignment horizontal="right" vertical="center" wrapText="1"/>
    </xf>
    <xf numFmtId="49" fontId="8" fillId="0" borderId="26" xfId="107" applyNumberFormat="1" applyFont="1" applyFill="1" applyBorder="1" applyAlignment="1" applyProtection="1">
      <alignment horizontal="left" vertical="center" indent="1"/>
      <protection locked="0"/>
    </xf>
    <xf numFmtId="166" fontId="8" fillId="0" borderId="41" xfId="107" applyNumberFormat="1" applyFont="1" applyFill="1" applyBorder="1" applyAlignment="1">
      <alignment vertical="center"/>
    </xf>
    <xf numFmtId="4" fontId="6" fillId="0" borderId="41" xfId="107" applyNumberFormat="1" applyFont="1" applyFill="1" applyBorder="1" applyAlignment="1" applyProtection="1">
      <alignment vertical="center" wrapText="1"/>
      <protection locked="0"/>
    </xf>
    <xf numFmtId="49" fontId="8" fillId="0" borderId="62" xfId="107" applyNumberFormat="1" applyFont="1" applyFill="1" applyBorder="1" applyAlignment="1" applyProtection="1">
      <alignment vertical="center"/>
      <protection locked="0"/>
    </xf>
    <xf numFmtId="49" fontId="8" fillId="0" borderId="62" xfId="107" applyNumberFormat="1" applyFont="1" applyFill="1" applyBorder="1" applyAlignment="1" applyProtection="1">
      <alignment horizontal="right" vertical="center"/>
      <protection locked="0"/>
    </xf>
    <xf numFmtId="3" fontId="6" fillId="0" borderId="62" xfId="107" applyNumberFormat="1" applyFont="1" applyFill="1" applyBorder="1" applyAlignment="1" applyProtection="1">
      <alignment horizontal="right" vertical="center" wrapText="1"/>
      <protection locked="0"/>
    </xf>
    <xf numFmtId="49" fontId="8" fillId="0" borderId="27" xfId="107" applyNumberFormat="1" applyFont="1" applyFill="1" applyBorder="1" applyAlignment="1" applyProtection="1">
      <alignment vertical="center"/>
      <protection locked="0"/>
    </xf>
    <xf numFmtId="49" fontId="8" fillId="0" borderId="27" xfId="107" applyNumberFormat="1" applyFont="1" applyFill="1" applyBorder="1" applyAlignment="1" applyProtection="1">
      <alignment horizontal="right" vertical="center"/>
      <protection locked="0"/>
    </xf>
    <xf numFmtId="3" fontId="6" fillId="0" borderId="27" xfId="107" applyNumberFormat="1" applyFont="1" applyFill="1" applyBorder="1" applyAlignment="1" applyProtection="1">
      <alignment horizontal="right" vertical="center" wrapText="1"/>
      <protection locked="0"/>
    </xf>
    <xf numFmtId="49" fontId="22" fillId="0" borderId="17" xfId="107" applyNumberFormat="1" applyFont="1" applyFill="1" applyBorder="1" applyAlignment="1">
      <alignment horizontal="left" vertical="center"/>
    </xf>
    <xf numFmtId="166" fontId="7" fillId="0" borderId="56" xfId="107" applyNumberFormat="1" applyFont="1" applyFill="1" applyBorder="1" applyAlignment="1" applyProtection="1">
      <alignment horizontal="right" vertical="center" wrapText="1"/>
    </xf>
    <xf numFmtId="49" fontId="22" fillId="0" borderId="15" xfId="107" applyNumberFormat="1" applyFont="1" applyFill="1" applyBorder="1" applyAlignment="1">
      <alignment horizontal="left" vertical="center"/>
    </xf>
    <xf numFmtId="166" fontId="8" fillId="0" borderId="44" xfId="107" applyNumberFormat="1" applyFont="1" applyFill="1" applyBorder="1" applyAlignment="1" applyProtection="1">
      <alignment horizontal="right" vertical="center" wrapText="1"/>
    </xf>
    <xf numFmtId="49" fontId="22" fillId="0" borderId="15" xfId="107" applyNumberFormat="1" applyFont="1" applyFill="1" applyBorder="1" applyAlignment="1" applyProtection="1">
      <alignment horizontal="left" vertical="center"/>
      <protection locked="0"/>
    </xf>
    <xf numFmtId="49" fontId="22" fillId="0" borderId="19" xfId="107" applyNumberFormat="1" applyFont="1" applyFill="1" applyBorder="1" applyAlignment="1" applyProtection="1">
      <alignment horizontal="left" vertical="center"/>
      <protection locked="0"/>
    </xf>
    <xf numFmtId="165" fontId="7" fillId="0" borderId="41" xfId="107" applyNumberFormat="1" applyFont="1" applyFill="1" applyBorder="1" applyAlignment="1">
      <alignment horizontal="left" vertical="center" wrapText="1" indent="1"/>
    </xf>
    <xf numFmtId="165" fontId="51" fillId="0" borderId="0" xfId="107" applyNumberFormat="1" applyFont="1" applyFill="1" applyBorder="1" applyAlignment="1">
      <alignment horizontal="left" vertical="center" wrapText="1"/>
    </xf>
    <xf numFmtId="166" fontId="8" fillId="0" borderId="41" xfId="107" applyNumberFormat="1" applyFont="1" applyFill="1" applyBorder="1" applyAlignment="1">
      <alignment horizontal="center" vertical="center" wrapText="1"/>
    </xf>
    <xf numFmtId="3" fontId="22" fillId="0" borderId="42" xfId="107" applyNumberFormat="1" applyFont="1" applyFill="1" applyBorder="1" applyAlignment="1" applyProtection="1">
      <alignment horizontal="right" vertical="center" wrapText="1"/>
      <protection locked="0"/>
    </xf>
    <xf numFmtId="3" fontId="22" fillId="0" borderId="61" xfId="107" applyNumberFormat="1" applyFont="1" applyFill="1" applyBorder="1" applyAlignment="1" applyProtection="1">
      <alignment horizontal="right" vertical="center" wrapText="1"/>
      <protection locked="0"/>
    </xf>
    <xf numFmtId="166" fontId="8" fillId="0" borderId="41" xfId="107" applyNumberFormat="1" applyFont="1" applyFill="1" applyBorder="1" applyAlignment="1">
      <alignment horizontal="right" vertical="center" wrapText="1"/>
    </xf>
    <xf numFmtId="0" fontId="21" fillId="0" borderId="0" xfId="107" applyFill="1" applyAlignment="1"/>
    <xf numFmtId="166" fontId="19" fillId="0" borderId="0" xfId="107" applyNumberFormat="1" applyFont="1" applyFill="1" applyAlignment="1" applyProtection="1">
      <alignment horizontal="left" vertical="center" wrapText="1"/>
    </xf>
    <xf numFmtId="166" fontId="14" fillId="0" borderId="0" xfId="107" applyNumberFormat="1" applyFont="1" applyFill="1" applyAlignment="1" applyProtection="1">
      <alignment vertical="center" wrapText="1"/>
    </xf>
    <xf numFmtId="0" fontId="57" fillId="0" borderId="0" xfId="107" applyFont="1" applyAlignment="1" applyProtection="1">
      <alignment horizontal="right" vertical="top"/>
    </xf>
    <xf numFmtId="0" fontId="57" fillId="0" borderId="0" xfId="107" applyFont="1" applyAlignment="1" applyProtection="1">
      <alignment horizontal="right" vertical="top"/>
      <protection locked="0"/>
    </xf>
    <xf numFmtId="166" fontId="19" fillId="0" borderId="0" xfId="107" applyNumberFormat="1" applyFont="1" applyFill="1" applyAlignment="1" applyProtection="1">
      <alignment vertical="center" wrapText="1"/>
    </xf>
    <xf numFmtId="0" fontId="15" fillId="0" borderId="55" xfId="107" applyFont="1" applyFill="1" applyBorder="1" applyAlignment="1" applyProtection="1">
      <alignment horizontal="center" vertical="center" wrapText="1"/>
    </xf>
    <xf numFmtId="0" fontId="15" fillId="0" borderId="63" xfId="107" quotePrefix="1" applyFont="1" applyFill="1" applyBorder="1" applyAlignment="1" applyProtection="1">
      <alignment horizontal="right" vertical="center" indent="1"/>
    </xf>
    <xf numFmtId="0" fontId="20" fillId="0" borderId="0" xfId="107" applyFont="1" applyFill="1" applyAlignment="1" applyProtection="1">
      <alignment vertical="center"/>
    </xf>
    <xf numFmtId="0" fontId="15" fillId="0" borderId="64" xfId="107" applyFont="1" applyFill="1" applyBorder="1" applyAlignment="1" applyProtection="1">
      <alignment horizontal="center" vertical="center" wrapText="1"/>
    </xf>
    <xf numFmtId="49" fontId="15" fillId="0" borderId="65" xfId="107" applyNumberFormat="1" applyFont="1" applyFill="1" applyBorder="1" applyAlignment="1" applyProtection="1">
      <alignment horizontal="right" vertical="center" indent="1"/>
    </xf>
    <xf numFmtId="0" fontId="15" fillId="0" borderId="0" xfId="107" applyFont="1" applyFill="1" applyAlignment="1" applyProtection="1">
      <alignment vertical="center"/>
    </xf>
    <xf numFmtId="0" fontId="46" fillId="0" borderId="0" xfId="107" applyFont="1" applyFill="1" applyAlignment="1" applyProtection="1">
      <alignment horizontal="right"/>
    </xf>
    <xf numFmtId="0" fontId="4" fillId="0" borderId="0" xfId="107" applyFont="1" applyFill="1" applyAlignment="1" applyProtection="1">
      <alignment vertical="center"/>
    </xf>
    <xf numFmtId="0" fontId="15" fillId="0" borderId="66" xfId="107" applyFont="1" applyFill="1" applyBorder="1" applyAlignment="1" applyProtection="1">
      <alignment horizontal="center" vertical="center" wrapText="1"/>
    </xf>
    <xf numFmtId="0" fontId="15" fillId="0" borderId="67" xfId="107" applyFont="1" applyFill="1" applyBorder="1" applyAlignment="1" applyProtection="1">
      <alignment horizontal="center" vertical="center" wrapText="1"/>
    </xf>
    <xf numFmtId="0" fontId="21" fillId="0" borderId="0" xfId="107" applyFill="1" applyAlignment="1" applyProtection="1">
      <alignment vertical="center" wrapText="1"/>
    </xf>
    <xf numFmtId="0" fontId="7" fillId="0" borderId="10" xfId="107" applyFont="1" applyFill="1" applyBorder="1" applyAlignment="1" applyProtection="1">
      <alignment horizontal="center" vertical="center" wrapText="1"/>
    </xf>
    <xf numFmtId="0" fontId="7" fillId="0" borderId="11" xfId="107" applyFont="1" applyFill="1" applyBorder="1" applyAlignment="1" applyProtection="1">
      <alignment horizontal="center" vertical="center" wrapText="1"/>
    </xf>
    <xf numFmtId="0" fontId="7" fillId="0" borderId="40" xfId="107" applyFont="1" applyFill="1" applyBorder="1" applyAlignment="1" applyProtection="1">
      <alignment horizontal="center" vertical="center" wrapText="1"/>
    </xf>
    <xf numFmtId="0" fontId="7" fillId="0" borderId="30" xfId="107" applyFont="1" applyFill="1" applyBorder="1" applyAlignment="1" applyProtection="1">
      <alignment horizontal="center" vertical="center" wrapText="1"/>
    </xf>
    <xf numFmtId="0" fontId="20" fillId="0" borderId="0" xfId="107" applyFont="1" applyFill="1" applyAlignment="1" applyProtection="1">
      <alignment horizontal="center" vertical="center" wrapText="1"/>
    </xf>
    <xf numFmtId="49" fontId="6" fillId="0" borderId="17" xfId="102" applyNumberFormat="1" applyFont="1" applyFill="1" applyBorder="1" applyAlignment="1" applyProtection="1">
      <alignment horizontal="center" vertical="center" wrapText="1"/>
    </xf>
    <xf numFmtId="0" fontId="17" fillId="0" borderId="0" xfId="107" applyFont="1" applyFill="1" applyAlignment="1" applyProtection="1">
      <alignment vertical="center" wrapText="1"/>
    </xf>
    <xf numFmtId="49" fontId="6" fillId="0" borderId="15" xfId="102" applyNumberFormat="1" applyFont="1" applyFill="1" applyBorder="1" applyAlignment="1" applyProtection="1">
      <alignment horizontal="center" vertical="center" wrapText="1"/>
    </xf>
    <xf numFmtId="0" fontId="16" fillId="0" borderId="0" xfId="107" applyFont="1" applyFill="1" applyAlignment="1" applyProtection="1">
      <alignment vertical="center" wrapText="1"/>
    </xf>
    <xf numFmtId="49" fontId="6" fillId="0" borderId="19" xfId="102" applyNumberFormat="1" applyFont="1" applyFill="1" applyBorder="1" applyAlignment="1" applyProtection="1">
      <alignment horizontal="center" vertical="center" wrapText="1"/>
    </xf>
    <xf numFmtId="0" fontId="53" fillId="0" borderId="10" xfId="107" applyFont="1" applyBorder="1" applyAlignment="1" applyProtection="1">
      <alignment horizontal="center" wrapText="1"/>
    </xf>
    <xf numFmtId="0" fontId="50" fillId="0" borderId="24" xfId="107" applyFont="1" applyBorder="1" applyAlignment="1" applyProtection="1">
      <alignment wrapText="1"/>
    </xf>
    <xf numFmtId="0" fontId="50" fillId="0" borderId="17" xfId="107" applyFont="1" applyBorder="1" applyAlignment="1" applyProtection="1">
      <alignment horizontal="center" wrapText="1"/>
    </xf>
    <xf numFmtId="0" fontId="50" fillId="0" borderId="15" xfId="107" applyFont="1" applyBorder="1" applyAlignment="1" applyProtection="1">
      <alignment horizontal="center" wrapText="1"/>
    </xf>
    <xf numFmtId="0" fontId="50" fillId="0" borderId="19" xfId="107" applyFont="1" applyBorder="1" applyAlignment="1" applyProtection="1">
      <alignment horizontal="center" wrapText="1"/>
    </xf>
    <xf numFmtId="0" fontId="53" fillId="0" borderId="11" xfId="107" applyFont="1" applyBorder="1" applyAlignment="1" applyProtection="1">
      <alignment wrapText="1"/>
    </xf>
    <xf numFmtId="0" fontId="53" fillId="0" borderId="34" xfId="107" applyFont="1" applyBorder="1" applyAlignment="1" applyProtection="1">
      <alignment horizontal="center" wrapText="1"/>
    </xf>
    <xf numFmtId="0" fontId="53" fillId="0" borderId="35" xfId="107" applyFont="1" applyBorder="1" applyAlignment="1" applyProtection="1">
      <alignment wrapText="1"/>
    </xf>
    <xf numFmtId="0" fontId="6" fillId="0" borderId="0" xfId="107" applyFont="1" applyFill="1" applyBorder="1" applyAlignment="1" applyProtection="1">
      <alignment horizontal="center" vertical="center" wrapText="1"/>
    </xf>
    <xf numFmtId="0" fontId="15" fillId="0" borderId="0" xfId="107" applyFont="1" applyFill="1" applyBorder="1" applyAlignment="1" applyProtection="1">
      <alignment horizontal="left" vertical="center" wrapText="1" indent="1"/>
    </xf>
    <xf numFmtId="166" fontId="7" fillId="0" borderId="0" xfId="107" applyNumberFormat="1" applyFont="1" applyFill="1" applyBorder="1" applyAlignment="1" applyProtection="1">
      <alignment horizontal="right" vertical="center" wrapText="1" indent="1"/>
    </xf>
    <xf numFmtId="0" fontId="6" fillId="0" borderId="0" xfId="107" applyFont="1" applyFill="1" applyAlignment="1" applyProtection="1">
      <alignment horizontal="left" vertical="center" wrapText="1"/>
    </xf>
    <xf numFmtId="0" fontId="6" fillId="0" borderId="0" xfId="107" applyFont="1" applyFill="1" applyAlignment="1" applyProtection="1">
      <alignment vertical="center" wrapText="1"/>
    </xf>
    <xf numFmtId="0" fontId="6" fillId="0" borderId="0" xfId="107" applyFont="1" applyFill="1" applyAlignment="1" applyProtection="1">
      <alignment horizontal="right" vertical="center" wrapText="1" indent="1"/>
    </xf>
    <xf numFmtId="0" fontId="7" fillId="0" borderId="12" xfId="102" applyFont="1" applyFill="1" applyBorder="1" applyAlignment="1" applyProtection="1">
      <alignment horizontal="center" vertical="center" wrapText="1"/>
    </xf>
    <xf numFmtId="166" fontId="7" fillId="0" borderId="67" xfId="102" applyNumberFormat="1" applyFont="1" applyFill="1" applyBorder="1" applyAlignment="1" applyProtection="1">
      <alignment horizontal="right" vertical="center" wrapText="1" indent="1"/>
    </xf>
    <xf numFmtId="0" fontId="9" fillId="0" borderId="0" xfId="107" applyFont="1" applyFill="1" applyAlignment="1" applyProtection="1">
      <alignment vertical="center" wrapText="1"/>
    </xf>
    <xf numFmtId="49" fontId="6" fillId="0" borderId="20" xfId="102" applyNumberFormat="1" applyFont="1" applyFill="1" applyBorder="1" applyAlignment="1" applyProtection="1">
      <alignment horizontal="center" vertical="center" wrapText="1"/>
    </xf>
    <xf numFmtId="166" fontId="6" fillId="0" borderId="63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5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8" xfId="102" applyNumberFormat="1" applyFont="1" applyFill="1" applyBorder="1" applyAlignment="1" applyProtection="1">
      <alignment horizontal="right" vertical="center" wrapText="1" indent="1"/>
      <protection locked="0"/>
    </xf>
    <xf numFmtId="49" fontId="6" fillId="0" borderId="13" xfId="102" applyNumberFormat="1" applyFont="1" applyFill="1" applyBorder="1" applyAlignment="1" applyProtection="1">
      <alignment horizontal="center" vertical="center" wrapText="1"/>
    </xf>
    <xf numFmtId="49" fontId="6" fillId="0" borderId="22" xfId="102" applyNumberFormat="1" applyFont="1" applyFill="1" applyBorder="1" applyAlignment="1" applyProtection="1">
      <alignment horizontal="center" vertical="center" wrapText="1"/>
    </xf>
    <xf numFmtId="166" fontId="6" fillId="0" borderId="29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43" xfId="102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102" applyNumberFormat="1" applyFont="1" applyFill="1" applyBorder="1" applyAlignment="1" applyProtection="1">
      <alignment horizontal="right" vertical="center" wrapText="1" indent="1"/>
    </xf>
    <xf numFmtId="16" fontId="21" fillId="0" borderId="0" xfId="107" applyNumberFormat="1" applyFill="1" applyAlignment="1" applyProtection="1">
      <alignment vertical="center" wrapText="1"/>
    </xf>
    <xf numFmtId="166" fontId="53" fillId="0" borderId="36" xfId="107" applyNumberFormat="1" applyFont="1" applyBorder="1" applyAlignment="1" applyProtection="1">
      <alignment horizontal="right" vertical="center" wrapText="1" indent="1"/>
    </xf>
    <xf numFmtId="166" fontId="56" fillId="0" borderId="36" xfId="107" quotePrefix="1" applyNumberFormat="1" applyFont="1" applyBorder="1" applyAlignment="1" applyProtection="1">
      <alignment horizontal="right" vertical="center" wrapText="1" indent="1"/>
    </xf>
    <xf numFmtId="0" fontId="53" fillId="0" borderId="34" xfId="107" applyFont="1" applyBorder="1" applyAlignment="1" applyProtection="1">
      <alignment horizontal="center" vertical="center" wrapText="1"/>
    </xf>
    <xf numFmtId="0" fontId="21" fillId="0" borderId="0" xfId="107" applyFont="1" applyFill="1" applyAlignment="1" applyProtection="1">
      <alignment horizontal="left" vertical="center" wrapText="1"/>
    </xf>
    <xf numFmtId="0" fontId="21" fillId="0" borderId="0" xfId="107" applyFont="1" applyFill="1" applyAlignment="1" applyProtection="1">
      <alignment vertical="center" wrapText="1"/>
    </xf>
    <xf numFmtId="0" fontId="21" fillId="0" borderId="0" xfId="107" applyFont="1" applyFill="1" applyAlignment="1" applyProtection="1">
      <alignment horizontal="right" vertical="center" wrapText="1" indent="1"/>
    </xf>
    <xf numFmtId="0" fontId="4" fillId="0" borderId="10" xfId="107" applyFont="1" applyFill="1" applyBorder="1" applyAlignment="1" applyProtection="1">
      <alignment horizontal="left" vertical="center"/>
    </xf>
    <xf numFmtId="0" fontId="4" fillId="0" borderId="40" xfId="107" applyFont="1" applyFill="1" applyBorder="1" applyAlignment="1" applyProtection="1">
      <alignment vertical="center" wrapText="1"/>
    </xf>
    <xf numFmtId="3" fontId="4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3" fontId="4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107" applyFont="1" applyAlignment="1" applyProtection="1">
      <alignment horizontal="right" vertical="top"/>
      <protection locked="0"/>
    </xf>
    <xf numFmtId="49" fontId="15" fillId="0" borderId="63" xfId="107" applyNumberFormat="1" applyFont="1" applyFill="1" applyBorder="1" applyAlignment="1" applyProtection="1">
      <alignment horizontal="right" vertical="center"/>
    </xf>
    <xf numFmtId="49" fontId="15" fillId="0" borderId="65" xfId="107" applyNumberFormat="1" applyFont="1" applyFill="1" applyBorder="1" applyAlignment="1" applyProtection="1">
      <alignment horizontal="right" vertical="center"/>
    </xf>
    <xf numFmtId="0" fontId="8" fillId="0" borderId="11" xfId="107" applyFont="1" applyFill="1" applyBorder="1" applyAlignment="1" applyProtection="1">
      <alignment horizontal="left" vertical="center" wrapText="1" indent="1"/>
    </xf>
    <xf numFmtId="166" fontId="8" fillId="0" borderId="30" xfId="107" applyNumberFormat="1" applyFont="1" applyFill="1" applyBorder="1" applyAlignment="1" applyProtection="1">
      <alignment horizontal="right" vertical="center" wrapText="1" indent="1"/>
    </xf>
    <xf numFmtId="49" fontId="22" fillId="0" borderId="20" xfId="107" applyNumberFormat="1" applyFont="1" applyFill="1" applyBorder="1" applyAlignment="1" applyProtection="1">
      <alignment horizontal="center" vertical="center" wrapText="1"/>
    </xf>
    <xf numFmtId="166" fontId="6" fillId="0" borderId="21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8" xfId="107" applyNumberFormat="1" applyFont="1" applyFill="1" applyBorder="1" applyAlignment="1" applyProtection="1">
      <alignment horizontal="right" vertical="center" wrapText="1" indent="1"/>
      <protection locked="0"/>
    </xf>
    <xf numFmtId="49" fontId="22" fillId="0" borderId="15" xfId="107" applyNumberFormat="1" applyFont="1" applyFill="1" applyBorder="1" applyAlignment="1" applyProtection="1">
      <alignment horizontal="center" vertical="center" wrapText="1"/>
    </xf>
    <xf numFmtId="166" fontId="6" fillId="0" borderId="14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3" xfId="107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0" xfId="107" applyFont="1" applyFill="1" applyBorder="1" applyAlignment="1" applyProtection="1">
      <alignment horizontal="center" vertical="center" wrapText="1"/>
    </xf>
    <xf numFmtId="166" fontId="8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0" xfId="107" applyNumberFormat="1" applyFont="1" applyFill="1" applyBorder="1" applyAlignment="1" applyProtection="1">
      <alignment horizontal="right" vertical="center" wrapText="1" indent="1"/>
      <protection locked="0"/>
    </xf>
    <xf numFmtId="49" fontId="22" fillId="0" borderId="17" xfId="107" applyNumberFormat="1" applyFont="1" applyFill="1" applyBorder="1" applyAlignment="1" applyProtection="1">
      <alignment horizontal="center" vertical="center" wrapText="1"/>
    </xf>
    <xf numFmtId="0" fontId="22" fillId="0" borderId="18" xfId="102" applyFont="1" applyFill="1" applyBorder="1" applyAlignment="1" applyProtection="1">
      <alignment horizontal="left" vertical="center" wrapText="1" indent="1"/>
    </xf>
    <xf numFmtId="166" fontId="22" fillId="0" borderId="31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6" xfId="102" applyFont="1" applyFill="1" applyBorder="1" applyAlignment="1" applyProtection="1">
      <alignment horizontal="left" vertical="center" wrapText="1" indent="1"/>
    </xf>
    <xf numFmtId="166" fontId="22" fillId="0" borderId="68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35" xfId="102" quotePrefix="1" applyFont="1" applyFill="1" applyBorder="1" applyAlignment="1" applyProtection="1">
      <alignment horizontal="left" vertical="center" wrapText="1" indent="1"/>
    </xf>
    <xf numFmtId="166" fontId="22" fillId="0" borderId="28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39" xfId="107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35" xfId="102" applyFont="1" applyFill="1" applyBorder="1" applyAlignment="1" applyProtection="1">
      <alignment horizontal="left" vertical="center" wrapText="1" indent="1"/>
    </xf>
    <xf numFmtId="0" fontId="53" fillId="0" borderId="10" xfId="107" applyFont="1" applyBorder="1" applyAlignment="1" applyProtection="1">
      <alignment horizontal="center" vertical="center" wrapText="1"/>
    </xf>
    <xf numFmtId="0" fontId="59" fillId="0" borderId="40" xfId="107" applyFont="1" applyBorder="1" applyAlignment="1" applyProtection="1">
      <alignment horizontal="left" wrapText="1" indent="1"/>
    </xf>
    <xf numFmtId="166" fontId="7" fillId="0" borderId="11" xfId="107" applyNumberFormat="1" applyFont="1" applyFill="1" applyBorder="1" applyAlignment="1" applyProtection="1">
      <alignment horizontal="right" vertical="center" wrapText="1" indent="1"/>
    </xf>
    <xf numFmtId="166" fontId="7" fillId="0" borderId="30" xfId="107" applyNumberFormat="1" applyFont="1" applyFill="1" applyBorder="1" applyAlignment="1" applyProtection="1">
      <alignment horizontal="right" vertical="center" wrapText="1" indent="1"/>
    </xf>
    <xf numFmtId="0" fontId="15" fillId="0" borderId="11" xfId="107" applyFont="1" applyFill="1" applyBorder="1" applyAlignment="1" applyProtection="1">
      <alignment horizontal="left" vertical="center" wrapText="1" indent="1"/>
    </xf>
    <xf numFmtId="0" fontId="21" fillId="0" borderId="0" xfId="107" applyFill="1" applyAlignment="1" applyProtection="1">
      <alignment horizontal="left" vertical="center" wrapText="1"/>
    </xf>
    <xf numFmtId="0" fontId="21" fillId="0" borderId="0" xfId="107" applyFill="1" applyAlignment="1" applyProtection="1">
      <alignment horizontal="right" vertical="center" wrapText="1" indent="1"/>
    </xf>
    <xf numFmtId="3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40" xfId="107" applyNumberFormat="1" applyFont="1" applyFill="1" applyBorder="1" applyAlignment="1" applyProtection="1">
      <alignment horizontal="right" vertical="center" wrapText="1" indent="1"/>
    </xf>
    <xf numFmtId="166" fontId="6" fillId="0" borderId="69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23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71" xfId="107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40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2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0" xfId="107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73" xfId="107" applyNumberFormat="1" applyFont="1" applyFill="1" applyBorder="1" applyAlignment="1" applyProtection="1">
      <alignment horizontal="right" vertical="center" wrapText="1" indent="1"/>
      <protection locked="0"/>
    </xf>
    <xf numFmtId="166" fontId="7" fillId="0" borderId="40" xfId="107" applyNumberFormat="1" applyFont="1" applyFill="1" applyBorder="1" applyAlignment="1" applyProtection="1">
      <alignment horizontal="right" vertical="center" wrapText="1" indent="1"/>
    </xf>
    <xf numFmtId="0" fontId="21" fillId="0" borderId="0" xfId="107" applyFill="1" applyAlignment="1" applyProtection="1">
      <alignment horizontal="center" vertical="center" wrapText="1"/>
    </xf>
    <xf numFmtId="0" fontId="15" fillId="0" borderId="11" xfId="107" applyFont="1" applyFill="1" applyBorder="1" applyAlignment="1" applyProtection="1">
      <alignment horizontal="center" vertical="center" wrapText="1"/>
    </xf>
    <xf numFmtId="0" fontId="15" fillId="0" borderId="36" xfId="107" applyFont="1" applyFill="1" applyBorder="1" applyAlignment="1" applyProtection="1">
      <alignment horizontal="center" vertical="center" wrapText="1"/>
    </xf>
    <xf numFmtId="0" fontId="4" fillId="0" borderId="0" xfId="107" applyFont="1" applyFill="1" applyAlignment="1" applyProtection="1">
      <alignment horizontal="center" vertical="center" wrapText="1"/>
    </xf>
    <xf numFmtId="0" fontId="7" fillId="0" borderId="36" xfId="107" applyFont="1" applyFill="1" applyBorder="1" applyAlignment="1" applyProtection="1">
      <alignment horizontal="center" vertical="center" wrapText="1"/>
    </xf>
    <xf numFmtId="0" fontId="6" fillId="0" borderId="17" xfId="107" applyFont="1" applyFill="1" applyBorder="1" applyAlignment="1" applyProtection="1">
      <alignment horizontal="right" vertical="center" wrapText="1" indent="1"/>
    </xf>
    <xf numFmtId="0" fontId="6" fillId="0" borderId="18" xfId="107" applyFont="1" applyFill="1" applyBorder="1" applyAlignment="1" applyProtection="1">
      <alignment horizontal="left" vertical="center" wrapText="1"/>
      <protection locked="0"/>
    </xf>
    <xf numFmtId="166" fontId="6" fillId="0" borderId="18" xfId="107" applyNumberFormat="1" applyFont="1" applyFill="1" applyBorder="1" applyAlignment="1" applyProtection="1">
      <alignment vertical="center" wrapText="1"/>
      <protection locked="0"/>
    </xf>
    <xf numFmtId="166" fontId="6" fillId="0" borderId="18" xfId="107" applyNumberFormat="1" applyFont="1" applyFill="1" applyBorder="1" applyAlignment="1" applyProtection="1">
      <alignment vertical="center" wrapText="1"/>
    </xf>
    <xf numFmtId="166" fontId="6" fillId="0" borderId="43" xfId="107" applyNumberFormat="1" applyFont="1" applyFill="1" applyBorder="1" applyAlignment="1" applyProtection="1">
      <alignment vertical="center" wrapText="1"/>
      <protection locked="0"/>
    </xf>
    <xf numFmtId="0" fontId="6" fillId="0" borderId="15" xfId="107" applyFont="1" applyFill="1" applyBorder="1" applyAlignment="1" applyProtection="1">
      <alignment horizontal="right" vertical="center" wrapText="1" indent="1"/>
    </xf>
    <xf numFmtId="0" fontId="6" fillId="0" borderId="16" xfId="107" applyFont="1" applyFill="1" applyBorder="1" applyAlignment="1" applyProtection="1">
      <alignment horizontal="left" vertical="center" wrapText="1"/>
      <protection locked="0"/>
    </xf>
    <xf numFmtId="166" fontId="6" fillId="0" borderId="45" xfId="107" applyNumberFormat="1" applyFont="1" applyFill="1" applyBorder="1" applyAlignment="1" applyProtection="1">
      <alignment vertical="center" wrapText="1"/>
      <protection locked="0"/>
    </xf>
    <xf numFmtId="0" fontId="6" fillId="0" borderId="24" xfId="107" applyFont="1" applyFill="1" applyBorder="1" applyAlignment="1" applyProtection="1">
      <alignment horizontal="left" vertical="center" wrapText="1"/>
      <protection locked="0"/>
    </xf>
    <xf numFmtId="166" fontId="6" fillId="0" borderId="48" xfId="107" applyNumberFormat="1" applyFont="1" applyFill="1" applyBorder="1" applyAlignment="1" applyProtection="1">
      <alignment vertical="center" wrapText="1"/>
      <protection locked="0"/>
    </xf>
    <xf numFmtId="166" fontId="21" fillId="0" borderId="0" xfId="107" applyNumberFormat="1" applyFill="1" applyAlignment="1" applyProtection="1">
      <alignment horizontal="center" vertical="center" wrapText="1"/>
      <protection locked="0"/>
    </xf>
    <xf numFmtId="166" fontId="21" fillId="0" borderId="0" xfId="107" applyNumberFormat="1" applyFill="1" applyAlignment="1" applyProtection="1">
      <alignment vertical="center" wrapText="1"/>
      <protection locked="0"/>
    </xf>
    <xf numFmtId="166" fontId="46" fillId="0" borderId="0" xfId="107" applyNumberFormat="1" applyFont="1" applyFill="1" applyAlignment="1" applyProtection="1">
      <alignment horizontal="right" vertical="center"/>
      <protection locked="0"/>
    </xf>
    <xf numFmtId="166" fontId="15" fillId="0" borderId="74" xfId="107" applyNumberFormat="1" applyFont="1" applyFill="1" applyBorder="1" applyAlignment="1" applyProtection="1">
      <alignment horizontal="centerContinuous" vertical="center"/>
    </xf>
    <xf numFmtId="166" fontId="15" fillId="0" borderId="75" xfId="107" applyNumberFormat="1" applyFont="1" applyFill="1" applyBorder="1" applyAlignment="1" applyProtection="1">
      <alignment horizontal="centerContinuous" vertical="center"/>
    </xf>
    <xf numFmtId="166" fontId="18" fillId="0" borderId="0" xfId="107" applyNumberFormat="1" applyFont="1" applyFill="1" applyAlignment="1">
      <alignment vertical="center"/>
    </xf>
    <xf numFmtId="166" fontId="15" fillId="0" borderId="51" xfId="107" applyNumberFormat="1" applyFont="1" applyFill="1" applyBorder="1" applyAlignment="1" applyProtection="1">
      <alignment horizontal="center" vertical="center"/>
    </xf>
    <xf numFmtId="166" fontId="15" fillId="0" borderId="76" xfId="107" applyNumberFormat="1" applyFont="1" applyFill="1" applyBorder="1" applyAlignment="1" applyProtection="1">
      <alignment horizontal="center" vertical="center"/>
    </xf>
    <xf numFmtId="166" fontId="18" fillId="0" borderId="0" xfId="107" applyNumberFormat="1" applyFont="1" applyFill="1" applyAlignment="1">
      <alignment horizontal="center" vertical="center"/>
    </xf>
    <xf numFmtId="166" fontId="7" fillId="0" borderId="11" xfId="107" applyNumberFormat="1" applyFont="1" applyFill="1" applyBorder="1" applyAlignment="1" applyProtection="1">
      <alignment horizontal="center" vertical="center" wrapText="1"/>
    </xf>
    <xf numFmtId="166" fontId="7" fillId="0" borderId="77" xfId="107" applyNumberFormat="1" applyFont="1" applyFill="1" applyBorder="1" applyAlignment="1" applyProtection="1">
      <alignment horizontal="center" vertical="center" wrapText="1"/>
    </xf>
    <xf numFmtId="166" fontId="7" fillId="0" borderId="49" xfId="107" applyNumberFormat="1" applyFont="1" applyFill="1" applyBorder="1" applyAlignment="1" applyProtection="1">
      <alignment horizontal="center" vertical="center" wrapText="1"/>
    </xf>
    <xf numFmtId="166" fontId="7" fillId="0" borderId="0" xfId="107" applyNumberFormat="1" applyFont="1" applyFill="1" applyAlignment="1">
      <alignment horizontal="center" vertical="center" wrapText="1"/>
    </xf>
    <xf numFmtId="1" fontId="3" fillId="21" borderId="21" xfId="107" applyNumberFormat="1" applyFont="1" applyFill="1" applyBorder="1" applyAlignment="1" applyProtection="1">
      <alignment horizontal="center" vertical="center" wrapText="1"/>
    </xf>
    <xf numFmtId="166" fontId="8" fillId="0" borderId="21" xfId="107" applyNumberFormat="1" applyFont="1" applyFill="1" applyBorder="1" applyAlignment="1" applyProtection="1">
      <alignment vertical="center" wrapText="1"/>
    </xf>
    <xf numFmtId="166" fontId="8" fillId="0" borderId="74" xfId="107" applyNumberFormat="1" applyFont="1" applyFill="1" applyBorder="1" applyAlignment="1" applyProtection="1">
      <alignment vertical="center" wrapText="1"/>
    </xf>
    <xf numFmtId="166" fontId="8" fillId="0" borderId="57" xfId="107" applyNumberFormat="1" applyFont="1" applyFill="1" applyBorder="1" applyAlignment="1" applyProtection="1">
      <alignment vertical="center" wrapText="1"/>
    </xf>
    <xf numFmtId="1" fontId="2" fillId="0" borderId="16" xfId="107" applyNumberFormat="1" applyFont="1" applyFill="1" applyBorder="1" applyAlignment="1" applyProtection="1">
      <alignment horizontal="center" vertical="center" wrapText="1"/>
      <protection locked="0"/>
    </xf>
    <xf numFmtId="166" fontId="6" fillId="0" borderId="44" xfId="107" applyNumberFormat="1" applyFont="1" applyFill="1" applyBorder="1" applyAlignment="1" applyProtection="1">
      <alignment vertical="center" wrapText="1"/>
    </xf>
    <xf numFmtId="1" fontId="3" fillId="21" borderId="16" xfId="107" applyNumberFormat="1" applyFont="1" applyFill="1" applyBorder="1" applyAlignment="1" applyProtection="1">
      <alignment horizontal="center" vertical="center" wrapText="1"/>
    </xf>
    <xf numFmtId="166" fontId="8" fillId="0" borderId="16" xfId="107" applyNumberFormat="1" applyFont="1" applyFill="1" applyBorder="1" applyAlignment="1" applyProtection="1">
      <alignment vertical="center" wrapText="1"/>
    </xf>
    <xf numFmtId="166" fontId="8" fillId="0" borderId="47" xfId="107" applyNumberFormat="1" applyFont="1" applyFill="1" applyBorder="1" applyAlignment="1" applyProtection="1">
      <alignment vertical="center" wrapText="1"/>
    </xf>
    <xf numFmtId="166" fontId="8" fillId="0" borderId="44" xfId="107" applyNumberFormat="1" applyFont="1" applyFill="1" applyBorder="1" applyAlignment="1" applyProtection="1">
      <alignment vertical="center" wrapText="1"/>
    </xf>
    <xf numFmtId="1" fontId="3" fillId="21" borderId="24" xfId="107" applyNumberFormat="1" applyFont="1" applyFill="1" applyBorder="1" applyAlignment="1" applyProtection="1">
      <alignment horizontal="center" vertical="center" wrapText="1"/>
    </xf>
    <xf numFmtId="166" fontId="8" fillId="0" borderId="14" xfId="107" applyNumberFormat="1" applyFont="1" applyFill="1" applyBorder="1" applyAlignment="1" applyProtection="1">
      <alignment vertical="center" wrapText="1"/>
    </xf>
    <xf numFmtId="166" fontId="8" fillId="0" borderId="50" xfId="107" applyNumberFormat="1" applyFont="1" applyFill="1" applyBorder="1" applyAlignment="1" applyProtection="1">
      <alignment vertical="center" wrapText="1"/>
    </xf>
    <xf numFmtId="1" fontId="6" fillId="21" borderId="77" xfId="107" applyNumberFormat="1" applyFont="1" applyFill="1" applyBorder="1" applyAlignment="1" applyProtection="1">
      <alignment vertical="center" wrapText="1"/>
    </xf>
    <xf numFmtId="166" fontId="8" fillId="0" borderId="11" xfId="107" applyNumberFormat="1" applyFont="1" applyFill="1" applyBorder="1" applyAlignment="1" applyProtection="1">
      <alignment vertical="center" wrapText="1"/>
    </xf>
    <xf numFmtId="166" fontId="8" fillId="0" borderId="41" xfId="107" applyNumberFormat="1" applyFont="1" applyFill="1" applyBorder="1" applyAlignment="1" applyProtection="1">
      <alignment vertical="center" wrapText="1"/>
    </xf>
    <xf numFmtId="166" fontId="17" fillId="0" borderId="0" xfId="107" applyNumberFormat="1" applyFont="1" applyFill="1" applyAlignment="1">
      <alignment horizontal="center" vertical="center" wrapText="1"/>
    </xf>
    <xf numFmtId="166" fontId="46" fillId="0" borderId="0" xfId="107" applyNumberFormat="1" applyFont="1" applyFill="1" applyAlignment="1">
      <alignment horizontal="right" vertical="center"/>
    </xf>
    <xf numFmtId="0" fontId="15" fillId="0" borderId="11" xfId="107" applyFont="1" applyFill="1" applyBorder="1" applyAlignment="1">
      <alignment horizontal="center" vertical="center" wrapText="1"/>
    </xf>
    <xf numFmtId="0" fontId="15" fillId="0" borderId="77" xfId="107" applyFont="1" applyFill="1" applyBorder="1" applyAlignment="1">
      <alignment horizontal="center" vertical="center" wrapText="1"/>
    </xf>
    <xf numFmtId="0" fontId="4" fillId="0" borderId="0" xfId="107" applyFont="1" applyFill="1" applyAlignment="1">
      <alignment horizontal="center" vertical="center" wrapText="1"/>
    </xf>
    <xf numFmtId="0" fontId="7" fillId="0" borderId="10" xfId="107" applyFont="1" applyFill="1" applyBorder="1" applyAlignment="1">
      <alignment horizontal="center" vertical="center" wrapText="1"/>
    </xf>
    <xf numFmtId="0" fontId="7" fillId="0" borderId="11" xfId="107" applyFont="1" applyFill="1" applyBorder="1" applyAlignment="1">
      <alignment horizontal="center" vertical="center" wrapText="1"/>
    </xf>
    <xf numFmtId="0" fontId="7" fillId="0" borderId="36" xfId="107" applyFont="1" applyFill="1" applyBorder="1" applyAlignment="1">
      <alignment horizontal="center" vertical="center" wrapText="1"/>
    </xf>
    <xf numFmtId="0" fontId="22" fillId="0" borderId="15" xfId="107" applyFont="1" applyFill="1" applyBorder="1" applyAlignment="1" applyProtection="1">
      <alignment horizontal="center" vertical="center"/>
    </xf>
    <xf numFmtId="0" fontId="22" fillId="0" borderId="16" xfId="107" applyFont="1" applyFill="1" applyBorder="1" applyAlignment="1" applyProtection="1">
      <alignment vertical="center" wrapText="1"/>
    </xf>
    <xf numFmtId="166" fontId="22" fillId="0" borderId="16" xfId="107" applyNumberFormat="1" applyFont="1" applyFill="1" applyBorder="1" applyAlignment="1" applyProtection="1">
      <alignment vertical="center"/>
      <protection locked="0"/>
    </xf>
    <xf numFmtId="166" fontId="22" fillId="0" borderId="47" xfId="107" applyNumberFormat="1" applyFont="1" applyFill="1" applyBorder="1" applyAlignment="1" applyProtection="1">
      <alignment vertical="center"/>
      <protection locked="0"/>
    </xf>
    <xf numFmtId="166" fontId="8" fillId="0" borderId="47" xfId="107" applyNumberFormat="1" applyFont="1" applyFill="1" applyBorder="1" applyAlignment="1" applyProtection="1">
      <alignment vertical="center"/>
    </xf>
    <xf numFmtId="166" fontId="8" fillId="0" borderId="45" xfId="107" applyNumberFormat="1" applyFont="1" applyFill="1" applyBorder="1" applyAlignment="1" applyProtection="1">
      <alignment vertical="center"/>
    </xf>
    <xf numFmtId="0" fontId="22" fillId="0" borderId="19" xfId="107" applyFont="1" applyFill="1" applyBorder="1" applyAlignment="1" applyProtection="1">
      <alignment horizontal="center" vertical="center"/>
    </xf>
    <xf numFmtId="0" fontId="22" fillId="0" borderId="24" xfId="107" applyFont="1" applyFill="1" applyBorder="1" applyAlignment="1" applyProtection="1">
      <alignment vertical="center" wrapText="1"/>
    </xf>
    <xf numFmtId="166" fontId="22" fillId="0" borderId="24" xfId="107" applyNumberFormat="1" applyFont="1" applyFill="1" applyBorder="1" applyAlignment="1" applyProtection="1">
      <alignment vertical="center"/>
      <protection locked="0"/>
    </xf>
    <xf numFmtId="166" fontId="22" fillId="0" borderId="78" xfId="107" applyNumberFormat="1" applyFont="1" applyFill="1" applyBorder="1" applyAlignment="1" applyProtection="1">
      <alignment vertical="center"/>
      <protection locked="0"/>
    </xf>
    <xf numFmtId="0" fontId="22" fillId="0" borderId="22" xfId="107" applyFont="1" applyFill="1" applyBorder="1" applyAlignment="1" applyProtection="1">
      <alignment horizontal="center" vertical="center"/>
    </xf>
    <xf numFmtId="0" fontId="22" fillId="0" borderId="28" xfId="107" applyFont="1" applyFill="1" applyBorder="1" applyAlignment="1" applyProtection="1">
      <alignment vertical="center" wrapText="1"/>
    </xf>
    <xf numFmtId="166" fontId="22" fillId="0" borderId="28" xfId="107" applyNumberFormat="1" applyFont="1" applyFill="1" applyBorder="1" applyAlignment="1" applyProtection="1">
      <alignment vertical="center"/>
      <protection locked="0"/>
    </xf>
    <xf numFmtId="166" fontId="22" fillId="0" borderId="76" xfId="107" applyNumberFormat="1" applyFont="1" applyFill="1" applyBorder="1" applyAlignment="1" applyProtection="1">
      <alignment vertical="center"/>
      <protection locked="0"/>
    </xf>
    <xf numFmtId="166" fontId="8" fillId="0" borderId="11" xfId="107" applyNumberFormat="1" applyFont="1" applyFill="1" applyBorder="1" applyAlignment="1" applyProtection="1">
      <alignment vertical="center"/>
    </xf>
    <xf numFmtId="166" fontId="8" fillId="0" borderId="77" xfId="107" applyNumberFormat="1" applyFont="1" applyFill="1" applyBorder="1" applyAlignment="1" applyProtection="1">
      <alignment vertical="center"/>
    </xf>
    <xf numFmtId="166" fontId="8" fillId="0" borderId="36" xfId="107" applyNumberFormat="1" applyFont="1" applyFill="1" applyBorder="1" applyAlignment="1" applyProtection="1">
      <alignment vertical="center"/>
    </xf>
    <xf numFmtId="166" fontId="8" fillId="0" borderId="29" xfId="107" applyNumberFormat="1" applyFont="1" applyFill="1" applyBorder="1" applyAlignment="1" applyProtection="1">
      <alignment vertical="center"/>
    </xf>
    <xf numFmtId="166" fontId="26" fillId="0" borderId="11" xfId="107" applyNumberFormat="1" applyFont="1" applyFill="1" applyBorder="1" applyAlignment="1" applyProtection="1">
      <alignment vertical="center"/>
    </xf>
    <xf numFmtId="0" fontId="15" fillId="0" borderId="10" xfId="107" applyFont="1" applyFill="1" applyBorder="1" applyAlignment="1">
      <alignment horizontal="center" vertical="center" wrapText="1"/>
    </xf>
    <xf numFmtId="0" fontId="15" fillId="0" borderId="36" xfId="107" applyFont="1" applyFill="1" applyBorder="1" applyAlignment="1">
      <alignment horizontal="center" vertical="center" wrapText="1"/>
    </xf>
    <xf numFmtId="0" fontId="49" fillId="0" borderId="10" xfId="107" applyFont="1" applyFill="1" applyBorder="1" applyAlignment="1">
      <alignment horizontal="center" vertical="center" wrapText="1"/>
    </xf>
    <xf numFmtId="0" fontId="49" fillId="0" borderId="11" xfId="107" applyFont="1" applyFill="1" applyBorder="1" applyAlignment="1">
      <alignment horizontal="center" vertical="center" wrapText="1"/>
    </xf>
    <xf numFmtId="0" fontId="49" fillId="0" borderId="36" xfId="107" applyFont="1" applyFill="1" applyBorder="1" applyAlignment="1">
      <alignment horizontal="center" vertical="center" wrapText="1"/>
    </xf>
    <xf numFmtId="0" fontId="22" fillId="0" borderId="17" xfId="107" applyFont="1" applyFill="1" applyBorder="1" applyAlignment="1" applyProtection="1">
      <alignment horizontal="right" vertical="center" wrapText="1" indent="1"/>
    </xf>
    <xf numFmtId="0" fontId="50" fillId="0" borderId="72" xfId="107" applyFont="1" applyFill="1" applyBorder="1" applyAlignment="1" applyProtection="1">
      <alignment horizontal="left" vertical="center" wrapText="1" indent="1"/>
      <protection locked="0"/>
    </xf>
    <xf numFmtId="166" fontId="22" fillId="0" borderId="18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43" xfId="107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07" applyFill="1" applyAlignment="1">
      <alignment vertical="center" wrapText="1"/>
    </xf>
    <xf numFmtId="0" fontId="22" fillId="0" borderId="15" xfId="107" applyFont="1" applyFill="1" applyBorder="1" applyAlignment="1" applyProtection="1">
      <alignment horizontal="right" vertical="center" wrapText="1" indent="1"/>
    </xf>
    <xf numFmtId="0" fontId="50" fillId="0" borderId="23" xfId="107" applyFont="1" applyFill="1" applyBorder="1" applyAlignment="1" applyProtection="1">
      <alignment horizontal="left" vertical="center" wrapText="1" indent="1"/>
      <protection locked="0"/>
    </xf>
    <xf numFmtId="166" fontId="22" fillId="0" borderId="16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45" xfId="107" applyNumberFormat="1" applyFont="1" applyFill="1" applyBorder="1" applyAlignment="1" applyProtection="1">
      <alignment horizontal="right" vertical="center" wrapText="1" indent="2"/>
      <protection locked="0"/>
    </xf>
    <xf numFmtId="0" fontId="22" fillId="0" borderId="15" xfId="107" applyFont="1" applyFill="1" applyBorder="1" applyAlignment="1">
      <alignment horizontal="right" vertical="center" wrapText="1" indent="1"/>
    </xf>
    <xf numFmtId="0" fontId="50" fillId="0" borderId="23" xfId="107" applyFont="1" applyFill="1" applyBorder="1" applyAlignment="1" applyProtection="1">
      <alignment horizontal="left" vertical="center" wrapText="1" indent="8"/>
      <protection locked="0"/>
    </xf>
    <xf numFmtId="0" fontId="22" fillId="0" borderId="16" xfId="107" applyFont="1" applyFill="1" applyBorder="1" applyAlignment="1" applyProtection="1">
      <alignment vertical="center" wrapText="1"/>
      <protection locked="0"/>
    </xf>
    <xf numFmtId="0" fontId="22" fillId="0" borderId="22" xfId="107" applyFont="1" applyFill="1" applyBorder="1" applyAlignment="1">
      <alignment horizontal="right" vertical="center" wrapText="1" indent="1"/>
    </xf>
    <xf numFmtId="0" fontId="22" fillId="0" borderId="28" xfId="107" applyFont="1" applyFill="1" applyBorder="1" applyAlignment="1" applyProtection="1">
      <alignment vertical="center" wrapText="1"/>
      <protection locked="0"/>
    </xf>
    <xf numFmtId="166" fontId="22" fillId="0" borderId="28" xfId="107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29" xfId="107" applyNumberFormat="1" applyFont="1" applyFill="1" applyBorder="1" applyAlignment="1" applyProtection="1">
      <alignment horizontal="right" vertical="center" wrapText="1" indent="2"/>
      <protection locked="0"/>
    </xf>
    <xf numFmtId="0" fontId="8" fillId="0" borderId="10" xfId="107" applyFont="1" applyFill="1" applyBorder="1" applyAlignment="1">
      <alignment horizontal="right" vertical="center" wrapText="1" indent="1"/>
    </xf>
    <xf numFmtId="0" fontId="8" fillId="0" borderId="11" xfId="107" applyFont="1" applyFill="1" applyBorder="1" applyAlignment="1">
      <alignment vertical="center" wrapText="1"/>
    </xf>
    <xf numFmtId="166" fontId="8" fillId="0" borderId="11" xfId="107" applyNumberFormat="1" applyFont="1" applyFill="1" applyBorder="1" applyAlignment="1">
      <alignment horizontal="right" vertical="center" wrapText="1" indent="2"/>
    </xf>
    <xf numFmtId="166" fontId="8" fillId="0" borderId="36" xfId="107" applyNumberFormat="1" applyFont="1" applyFill="1" applyBorder="1" applyAlignment="1">
      <alignment horizontal="right" vertical="center" wrapText="1" indent="2"/>
    </xf>
    <xf numFmtId="0" fontId="21" fillId="0" borderId="0" xfId="107" applyFill="1" applyAlignment="1">
      <alignment horizontal="right" vertical="center" wrapText="1"/>
    </xf>
    <xf numFmtId="0" fontId="21" fillId="0" borderId="0" xfId="107" applyFill="1" applyAlignment="1">
      <alignment horizontal="center" vertical="center" wrapText="1"/>
    </xf>
    <xf numFmtId="0" fontId="55" fillId="0" borderId="0" xfId="105" applyFill="1" applyProtection="1"/>
    <xf numFmtId="0" fontId="61" fillId="0" borderId="0" xfId="105" applyFont="1" applyFill="1" applyProtection="1"/>
    <xf numFmtId="0" fontId="27" fillId="0" borderId="25" xfId="104" applyFont="1" applyFill="1" applyBorder="1" applyAlignment="1" applyProtection="1">
      <alignment horizontal="center" vertical="center" textRotation="90"/>
    </xf>
    <xf numFmtId="0" fontId="51" fillId="0" borderId="22" xfId="105" applyFont="1" applyFill="1" applyBorder="1" applyAlignment="1" applyProtection="1">
      <alignment horizontal="center" vertical="center" wrapText="1"/>
    </xf>
    <xf numFmtId="0" fontId="51" fillId="0" borderId="28" xfId="105" applyFont="1" applyFill="1" applyBorder="1" applyAlignment="1" applyProtection="1">
      <alignment horizontal="center" vertical="center" wrapText="1"/>
    </xf>
    <xf numFmtId="0" fontId="51" fillId="0" borderId="29" xfId="105" applyFont="1" applyFill="1" applyBorder="1" applyAlignment="1" applyProtection="1">
      <alignment horizontal="center" vertical="center" wrapText="1"/>
    </xf>
    <xf numFmtId="0" fontId="55" fillId="0" borderId="0" xfId="105" applyFill="1" applyAlignment="1" applyProtection="1">
      <alignment horizontal="center" vertical="center"/>
    </xf>
    <xf numFmtId="0" fontId="53" fillId="0" borderId="20" xfId="105" applyFont="1" applyFill="1" applyBorder="1" applyAlignment="1" applyProtection="1">
      <alignment vertical="center" wrapText="1"/>
    </xf>
    <xf numFmtId="168" fontId="6" fillId="0" borderId="21" xfId="104" applyNumberFormat="1" applyFont="1" applyFill="1" applyBorder="1" applyAlignment="1" applyProtection="1">
      <alignment horizontal="center" vertical="center"/>
    </xf>
    <xf numFmtId="171" fontId="64" fillId="0" borderId="21" xfId="105" applyNumberFormat="1" applyFont="1" applyFill="1" applyBorder="1" applyAlignment="1" applyProtection="1">
      <alignment horizontal="right" vertical="center" wrapText="1"/>
      <protection locked="0"/>
    </xf>
    <xf numFmtId="171" fontId="64" fillId="0" borderId="63" xfId="105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105" applyFill="1" applyAlignment="1" applyProtection="1">
      <alignment vertical="center"/>
    </xf>
    <xf numFmtId="0" fontId="53" fillId="0" borderId="15" xfId="105" applyFont="1" applyFill="1" applyBorder="1" applyAlignment="1" applyProtection="1">
      <alignment vertical="center" wrapText="1"/>
    </xf>
    <xf numFmtId="168" fontId="6" fillId="0" borderId="16" xfId="104" applyNumberFormat="1" applyFont="1" applyFill="1" applyBorder="1" applyAlignment="1" applyProtection="1">
      <alignment horizontal="center" vertical="center"/>
    </xf>
    <xf numFmtId="171" fontId="64" fillId="0" borderId="16" xfId="105" applyNumberFormat="1" applyFont="1" applyFill="1" applyBorder="1" applyAlignment="1" applyProtection="1">
      <alignment horizontal="right" vertical="center" wrapText="1"/>
    </xf>
    <xf numFmtId="171" fontId="64" fillId="0" borderId="45" xfId="105" applyNumberFormat="1" applyFont="1" applyFill="1" applyBorder="1" applyAlignment="1" applyProtection="1">
      <alignment horizontal="right" vertical="center" wrapText="1"/>
    </xf>
    <xf numFmtId="0" fontId="65" fillId="0" borderId="15" xfId="105" applyFont="1" applyFill="1" applyBorder="1" applyAlignment="1" applyProtection="1">
      <alignment horizontal="left" vertical="center" wrapText="1" indent="1"/>
    </xf>
    <xf numFmtId="171" fontId="66" fillId="0" borderId="45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16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45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16" xfId="105" applyNumberFormat="1" applyFont="1" applyFill="1" applyBorder="1" applyAlignment="1" applyProtection="1">
      <alignment horizontal="right" vertical="center" wrapText="1"/>
    </xf>
    <xf numFmtId="171" fontId="50" fillId="0" borderId="45" xfId="105" applyNumberFormat="1" applyFont="1" applyFill="1" applyBorder="1" applyAlignment="1" applyProtection="1">
      <alignment horizontal="right" vertical="center" wrapText="1"/>
    </xf>
    <xf numFmtId="0" fontId="53" fillId="0" borderId="22" xfId="105" applyFont="1" applyFill="1" applyBorder="1" applyAlignment="1" applyProtection="1">
      <alignment vertical="center" wrapText="1"/>
    </xf>
    <xf numFmtId="168" fontId="6" fillId="0" borderId="28" xfId="104" applyNumberFormat="1" applyFont="1" applyFill="1" applyBorder="1" applyAlignment="1" applyProtection="1">
      <alignment horizontal="center" vertical="center"/>
    </xf>
    <xf numFmtId="171" fontId="64" fillId="0" borderId="28" xfId="105" applyNumberFormat="1" applyFont="1" applyFill="1" applyBorder="1" applyAlignment="1" applyProtection="1">
      <alignment horizontal="right" vertical="center" wrapText="1"/>
    </xf>
    <xf numFmtId="171" fontId="64" fillId="0" borderId="29" xfId="105" applyNumberFormat="1" applyFont="1" applyFill="1" applyBorder="1" applyAlignment="1" applyProtection="1">
      <alignment horizontal="right" vertical="center" wrapText="1"/>
    </xf>
    <xf numFmtId="0" fontId="50" fillId="0" borderId="0" xfId="105" applyFont="1" applyFill="1" applyProtection="1"/>
    <xf numFmtId="3" fontId="55" fillId="0" borderId="0" xfId="105" applyNumberFormat="1" applyFont="1" applyFill="1" applyProtection="1"/>
    <xf numFmtId="3" fontId="55" fillId="0" borderId="0" xfId="105" applyNumberFormat="1" applyFont="1" applyFill="1" applyAlignment="1" applyProtection="1">
      <alignment horizontal="center"/>
    </xf>
    <xf numFmtId="0" fontId="55" fillId="0" borderId="0" xfId="105" applyFont="1" applyFill="1" applyProtection="1"/>
    <xf numFmtId="0" fontId="55" fillId="0" borderId="0" xfId="105" applyFill="1" applyAlignment="1" applyProtection="1">
      <alignment horizontal="center"/>
    </xf>
    <xf numFmtId="0" fontId="21" fillId="0" borderId="0" xfId="104" applyFill="1" applyAlignment="1" applyProtection="1">
      <alignment vertical="center"/>
    </xf>
    <xf numFmtId="0" fontId="21" fillId="0" borderId="0" xfId="104" applyFill="1" applyAlignment="1" applyProtection="1">
      <alignment vertical="center" wrapText="1"/>
    </xf>
    <xf numFmtId="0" fontId="21" fillId="0" borderId="0" xfId="104" applyFill="1" applyAlignment="1" applyProtection="1">
      <alignment horizontal="center" vertical="center"/>
    </xf>
    <xf numFmtId="49" fontId="7" fillId="0" borderId="22" xfId="104" applyNumberFormat="1" applyFont="1" applyFill="1" applyBorder="1" applyAlignment="1" applyProtection="1">
      <alignment horizontal="center" vertical="center" wrapText="1"/>
    </xf>
    <xf numFmtId="49" fontId="7" fillId="0" borderId="28" xfId="104" applyNumberFormat="1" applyFont="1" applyFill="1" applyBorder="1" applyAlignment="1" applyProtection="1">
      <alignment horizontal="center" vertical="center"/>
    </xf>
    <xf numFmtId="49" fontId="7" fillId="0" borderId="29" xfId="104" applyNumberFormat="1" applyFont="1" applyFill="1" applyBorder="1" applyAlignment="1" applyProtection="1">
      <alignment horizontal="center" vertical="center"/>
    </xf>
    <xf numFmtId="49" fontId="2" fillId="0" borderId="0" xfId="104" applyNumberFormat="1" applyFont="1" applyFill="1" applyAlignment="1" applyProtection="1">
      <alignment horizontal="center" vertical="center"/>
    </xf>
    <xf numFmtId="168" fontId="6" fillId="0" borderId="18" xfId="104" applyNumberFormat="1" applyFont="1" applyFill="1" applyBorder="1" applyAlignment="1" applyProtection="1">
      <alignment horizontal="center" vertical="center"/>
    </xf>
    <xf numFmtId="169" fontId="6" fillId="0" borderId="43" xfId="104" applyNumberFormat="1" applyFont="1" applyFill="1" applyBorder="1" applyAlignment="1" applyProtection="1">
      <alignment vertical="center"/>
      <protection locked="0"/>
    </xf>
    <xf numFmtId="169" fontId="6" fillId="0" borderId="45" xfId="104" applyNumberFormat="1" applyFont="1" applyFill="1" applyBorder="1" applyAlignment="1" applyProtection="1">
      <alignment vertical="center"/>
      <protection locked="0"/>
    </xf>
    <xf numFmtId="169" fontId="7" fillId="0" borderId="45" xfId="104" applyNumberFormat="1" applyFont="1" applyFill="1" applyBorder="1" applyAlignment="1" applyProtection="1">
      <alignment vertical="center"/>
    </xf>
    <xf numFmtId="0" fontId="2" fillId="0" borderId="0" xfId="104" applyFont="1" applyFill="1" applyAlignment="1" applyProtection="1">
      <alignment vertical="center"/>
    </xf>
    <xf numFmtId="0" fontId="7" fillId="0" borderId="22" xfId="104" applyFont="1" applyFill="1" applyBorder="1" applyAlignment="1" applyProtection="1">
      <alignment horizontal="left" vertical="center" wrapText="1"/>
    </xf>
    <xf numFmtId="169" fontId="7" fillId="0" borderId="29" xfId="104" applyNumberFormat="1" applyFont="1" applyFill="1" applyBorder="1" applyAlignment="1" applyProtection="1">
      <alignment vertical="center"/>
    </xf>
    <xf numFmtId="0" fontId="55" fillId="0" borderId="0" xfId="105" applyFont="1" applyFill="1" applyAlignment="1" applyProtection="1"/>
    <xf numFmtId="0" fontId="14" fillId="0" borderId="0" xfId="104" applyFont="1" applyFill="1" applyAlignment="1" applyProtection="1">
      <alignment horizontal="center" vertical="center"/>
    </xf>
    <xf numFmtId="0" fontId="55" fillId="0" borderId="0" xfId="105" applyFill="1"/>
    <xf numFmtId="0" fontId="56" fillId="0" borderId="12" xfId="105" applyFont="1" applyFill="1" applyBorder="1" applyAlignment="1">
      <alignment horizontal="center" vertical="center"/>
    </xf>
    <xf numFmtId="0" fontId="56" fillId="0" borderId="25" xfId="105" applyFont="1" applyFill="1" applyBorder="1" applyAlignment="1">
      <alignment horizontal="center" vertical="center" wrapText="1"/>
    </xf>
    <xf numFmtId="0" fontId="56" fillId="0" borderId="67" xfId="105" applyFont="1" applyFill="1" applyBorder="1" applyAlignment="1">
      <alignment horizontal="center" vertical="center" wrapText="1"/>
    </xf>
    <xf numFmtId="0" fontId="56" fillId="0" borderId="10" xfId="105" applyFont="1" applyFill="1" applyBorder="1" applyAlignment="1">
      <alignment horizontal="center" vertical="center"/>
    </xf>
    <xf numFmtId="0" fontId="56" fillId="0" borderId="11" xfId="105" applyFont="1" applyFill="1" applyBorder="1" applyAlignment="1">
      <alignment horizontal="center" vertical="center" wrapText="1"/>
    </xf>
    <xf numFmtId="0" fontId="56" fillId="0" borderId="36" xfId="105" applyFont="1" applyFill="1" applyBorder="1" applyAlignment="1">
      <alignment horizontal="center" vertical="center" wrapText="1"/>
    </xf>
    <xf numFmtId="0" fontId="50" fillId="0" borderId="15" xfId="105" applyFont="1" applyFill="1" applyBorder="1" applyProtection="1">
      <protection locked="0"/>
    </xf>
    <xf numFmtId="0" fontId="50" fillId="0" borderId="18" xfId="105" applyFont="1" applyFill="1" applyBorder="1" applyAlignment="1">
      <alignment horizontal="right" indent="1"/>
    </xf>
    <xf numFmtId="3" fontId="50" fillId="0" borderId="18" xfId="105" applyNumberFormat="1" applyFont="1" applyFill="1" applyBorder="1" applyProtection="1">
      <protection locked="0"/>
    </xf>
    <xf numFmtId="3" fontId="50" fillId="0" borderId="43" xfId="105" applyNumberFormat="1" applyFont="1" applyFill="1" applyBorder="1" applyProtection="1">
      <protection locked="0"/>
    </xf>
    <xf numFmtId="0" fontId="50" fillId="0" borderId="16" xfId="105" applyFont="1" applyFill="1" applyBorder="1" applyAlignment="1">
      <alignment horizontal="right" indent="1"/>
    </xf>
    <xf numFmtId="3" fontId="50" fillId="0" borderId="16" xfId="105" applyNumberFormat="1" applyFont="1" applyFill="1" applyBorder="1" applyProtection="1">
      <protection locked="0"/>
    </xf>
    <xf numFmtId="3" fontId="50" fillId="0" borderId="45" xfId="105" applyNumberFormat="1" applyFont="1" applyFill="1" applyBorder="1" applyProtection="1">
      <protection locked="0"/>
    </xf>
    <xf numFmtId="0" fontId="50" fillId="0" borderId="19" xfId="105" applyFont="1" applyFill="1" applyBorder="1" applyProtection="1">
      <protection locked="0"/>
    </xf>
    <xf numFmtId="0" fontId="50" fillId="0" borderId="24" xfId="105" applyFont="1" applyFill="1" applyBorder="1" applyAlignment="1">
      <alignment horizontal="right" indent="1"/>
    </xf>
    <xf numFmtId="3" fontId="50" fillId="0" borderId="24" xfId="105" applyNumberFormat="1" applyFont="1" applyFill="1" applyBorder="1" applyProtection="1">
      <protection locked="0"/>
    </xf>
    <xf numFmtId="3" fontId="50" fillId="0" borderId="48" xfId="105" applyNumberFormat="1" applyFont="1" applyFill="1" applyBorder="1" applyProtection="1">
      <protection locked="0"/>
    </xf>
    <xf numFmtId="0" fontId="53" fillId="0" borderId="10" xfId="105" applyFont="1" applyFill="1" applyBorder="1" applyProtection="1">
      <protection locked="0"/>
    </xf>
    <xf numFmtId="0" fontId="50" fillId="0" borderId="11" xfId="105" applyFont="1" applyFill="1" applyBorder="1" applyAlignment="1">
      <alignment horizontal="right" indent="1"/>
    </xf>
    <xf numFmtId="3" fontId="50" fillId="0" borderId="11" xfId="105" applyNumberFormat="1" applyFont="1" applyFill="1" applyBorder="1" applyProtection="1">
      <protection locked="0"/>
    </xf>
    <xf numFmtId="169" fontId="7" fillId="0" borderId="36" xfId="104" applyNumberFormat="1" applyFont="1" applyFill="1" applyBorder="1" applyAlignment="1" applyProtection="1">
      <alignment vertical="center"/>
    </xf>
    <xf numFmtId="0" fontId="50" fillId="0" borderId="17" xfId="105" applyFont="1" applyFill="1" applyBorder="1" applyProtection="1">
      <protection locked="0"/>
    </xf>
    <xf numFmtId="3" fontId="50" fillId="0" borderId="79" xfId="105" applyNumberFormat="1" applyFont="1" applyFill="1" applyBorder="1"/>
    <xf numFmtId="0" fontId="58" fillId="0" borderId="0" xfId="105" applyFont="1" applyFill="1"/>
    <xf numFmtId="0" fontId="50" fillId="0" borderId="0" xfId="105" applyFont="1" applyFill="1"/>
    <xf numFmtId="0" fontId="55" fillId="0" borderId="0" xfId="105" applyFont="1" applyFill="1"/>
    <xf numFmtId="3" fontId="55" fillId="0" borderId="0" xfId="105" applyNumberFormat="1" applyFont="1" applyFill="1" applyAlignment="1">
      <alignment horizontal="center"/>
    </xf>
    <xf numFmtId="0" fontId="55" fillId="0" borderId="0" xfId="105" applyFont="1" applyFill="1" applyAlignment="1"/>
    <xf numFmtId="0" fontId="52" fillId="0" borderId="12" xfId="105" applyFont="1" applyFill="1" applyBorder="1" applyAlignment="1">
      <alignment horizontal="center" vertical="center"/>
    </xf>
    <xf numFmtId="0" fontId="52" fillId="0" borderId="25" xfId="105" applyFont="1" applyFill="1" applyBorder="1" applyAlignment="1">
      <alignment horizontal="center" vertical="center" wrapText="1"/>
    </xf>
    <xf numFmtId="0" fontId="52" fillId="0" borderId="67" xfId="105" applyFont="1" applyFill="1" applyBorder="1" applyAlignment="1">
      <alignment horizontal="center" vertical="center" wrapText="1"/>
    </xf>
    <xf numFmtId="0" fontId="52" fillId="0" borderId="10" xfId="105" applyFont="1" applyFill="1" applyBorder="1" applyAlignment="1">
      <alignment horizontal="center" vertical="center"/>
    </xf>
    <xf numFmtId="0" fontId="52" fillId="0" borderId="11" xfId="105" applyFont="1" applyFill="1" applyBorder="1" applyAlignment="1">
      <alignment horizontal="center" vertical="center" wrapText="1"/>
    </xf>
    <xf numFmtId="0" fontId="52" fillId="0" borderId="36" xfId="105" applyFont="1" applyFill="1" applyBorder="1" applyAlignment="1">
      <alignment horizontal="center" vertical="center" wrapText="1"/>
    </xf>
    <xf numFmtId="0" fontId="50" fillId="0" borderId="15" xfId="105" applyFont="1" applyFill="1" applyBorder="1" applyAlignment="1" applyProtection="1">
      <alignment horizontal="left" indent="1"/>
      <protection locked="0"/>
    </xf>
    <xf numFmtId="0" fontId="50" fillId="0" borderId="19" xfId="105" applyFont="1" applyFill="1" applyBorder="1" applyAlignment="1" applyProtection="1">
      <alignment horizontal="left" indent="1"/>
      <protection locked="0"/>
    </xf>
    <xf numFmtId="0" fontId="50" fillId="0" borderId="17" xfId="105" applyFont="1" applyFill="1" applyBorder="1" applyAlignment="1" applyProtection="1">
      <alignment horizontal="left" indent="1"/>
      <protection locked="0"/>
    </xf>
    <xf numFmtId="0" fontId="53" fillId="0" borderId="77" xfId="105" applyNumberFormat="1" applyFont="1" applyFill="1" applyBorder="1"/>
    <xf numFmtId="0" fontId="50" fillId="0" borderId="22" xfId="105" applyFont="1" applyFill="1" applyBorder="1" applyAlignment="1" applyProtection="1">
      <alignment horizontal="left" indent="1"/>
      <protection locked="0"/>
    </xf>
    <xf numFmtId="0" fontId="50" fillId="0" borderId="28" xfId="105" applyFont="1" applyFill="1" applyBorder="1" applyAlignment="1">
      <alignment horizontal="right" indent="1"/>
    </xf>
    <xf numFmtId="3" fontId="50" fillId="0" borderId="28" xfId="105" applyNumberFormat="1" applyFont="1" applyFill="1" applyBorder="1" applyProtection="1">
      <protection locked="0"/>
    </xf>
    <xf numFmtId="3" fontId="50" fillId="0" borderId="29" xfId="105" applyNumberFormat="1" applyFont="1" applyFill="1" applyBorder="1" applyProtection="1">
      <protection locked="0"/>
    </xf>
    <xf numFmtId="0" fontId="67" fillId="0" borderId="0" xfId="107" applyFont="1" applyFill="1"/>
    <xf numFmtId="0" fontId="68" fillId="0" borderId="0" xfId="107" applyFont="1" applyAlignment="1" applyProtection="1">
      <alignment horizontal="right"/>
    </xf>
    <xf numFmtId="0" fontId="21" fillId="0" borderId="0" xfId="107" applyProtection="1"/>
    <xf numFmtId="0" fontId="54" fillId="0" borderId="0" xfId="107" applyFont="1" applyAlignment="1" applyProtection="1">
      <alignment horizontal="center"/>
    </xf>
    <xf numFmtId="0" fontId="69" fillId="0" borderId="10" xfId="107" applyFont="1" applyBorder="1" applyAlignment="1" applyProtection="1">
      <alignment horizontal="center" vertical="center" wrapText="1"/>
    </xf>
    <xf numFmtId="0" fontId="54" fillId="0" borderId="11" xfId="107" applyFont="1" applyBorder="1" applyAlignment="1" applyProtection="1">
      <alignment horizontal="center" vertical="center" wrapText="1"/>
    </xf>
    <xf numFmtId="0" fontId="54" fillId="0" borderId="36" xfId="107" applyFont="1" applyBorder="1" applyAlignment="1" applyProtection="1">
      <alignment horizontal="center" vertical="center" wrapText="1"/>
    </xf>
    <xf numFmtId="0" fontId="54" fillId="0" borderId="17" xfId="107" applyFont="1" applyBorder="1" applyAlignment="1" applyProtection="1">
      <alignment horizontal="center" vertical="top" wrapText="1"/>
    </xf>
    <xf numFmtId="0" fontId="54" fillId="0" borderId="15" xfId="107" applyFont="1" applyBorder="1" applyAlignment="1" applyProtection="1">
      <alignment horizontal="center" vertical="top" wrapText="1"/>
    </xf>
    <xf numFmtId="0" fontId="54" fillId="22" borderId="11" xfId="107" applyFont="1" applyFill="1" applyBorder="1" applyAlignment="1" applyProtection="1">
      <alignment horizontal="center" vertical="top" wrapText="1"/>
    </xf>
    <xf numFmtId="164" fontId="70" fillId="0" borderId="36" xfId="66" applyNumberFormat="1" applyFont="1" applyBorder="1" applyAlignment="1" applyProtection="1">
      <alignment horizontal="center" vertical="top" wrapText="1"/>
    </xf>
    <xf numFmtId="0" fontId="71" fillId="0" borderId="0" xfId="107" applyFont="1" applyFill="1" applyAlignment="1">
      <alignment horizontal="right"/>
    </xf>
    <xf numFmtId="0" fontId="18" fillId="0" borderId="0" xfId="107" applyFont="1" applyFill="1" applyAlignment="1">
      <alignment horizontal="center"/>
    </xf>
    <xf numFmtId="0" fontId="10" fillId="0" borderId="0" xfId="107" applyFont="1" applyFill="1" applyAlignment="1">
      <alignment horizontal="right"/>
    </xf>
    <xf numFmtId="0" fontId="4" fillId="0" borderId="10" xfId="107" applyFont="1" applyFill="1" applyBorder="1" applyAlignment="1">
      <alignment horizontal="center" vertical="center" wrapText="1"/>
    </xf>
    <xf numFmtId="0" fontId="18" fillId="0" borderId="11" xfId="107" applyFont="1" applyFill="1" applyBorder="1" applyAlignment="1">
      <alignment horizontal="center" vertical="center"/>
    </xf>
    <xf numFmtId="0" fontId="18" fillId="0" borderId="36" xfId="107" applyFont="1" applyFill="1" applyBorder="1" applyAlignment="1">
      <alignment horizontal="center" vertical="center" wrapText="1"/>
    </xf>
    <xf numFmtId="0" fontId="21" fillId="0" borderId="0" xfId="107" applyFill="1" applyAlignment="1">
      <alignment horizontal="center"/>
    </xf>
    <xf numFmtId="0" fontId="21" fillId="0" borderId="17" xfId="107" applyFill="1" applyBorder="1" applyAlignment="1">
      <alignment horizontal="center" vertical="center"/>
    </xf>
    <xf numFmtId="170" fontId="26" fillId="0" borderId="43" xfId="107" applyNumberFormat="1" applyFont="1" applyFill="1" applyBorder="1" applyAlignment="1" applyProtection="1">
      <alignment horizontal="right" vertical="center"/>
    </xf>
    <xf numFmtId="0" fontId="21" fillId="0" borderId="15" xfId="107" applyFill="1" applyBorder="1" applyAlignment="1">
      <alignment horizontal="center" vertical="center"/>
    </xf>
    <xf numFmtId="0" fontId="72" fillId="0" borderId="16" xfId="107" applyFont="1" applyFill="1" applyBorder="1" applyAlignment="1">
      <alignment horizontal="left" vertical="center" indent="5"/>
    </xf>
    <xf numFmtId="170" fontId="25" fillId="0" borderId="45" xfId="107" applyNumberFormat="1" applyFont="1" applyFill="1" applyBorder="1" applyAlignment="1" applyProtection="1">
      <alignment horizontal="right" vertical="center"/>
      <protection locked="0"/>
    </xf>
    <xf numFmtId="0" fontId="21" fillId="0" borderId="16" xfId="107" applyFont="1" applyFill="1" applyBorder="1" applyAlignment="1">
      <alignment horizontal="left" vertical="center" indent="1"/>
    </xf>
    <xf numFmtId="170" fontId="26" fillId="0" borderId="63" xfId="107" applyNumberFormat="1" applyFont="1" applyFill="1" applyBorder="1" applyAlignment="1" applyProtection="1">
      <alignment horizontal="right" vertical="center"/>
    </xf>
    <xf numFmtId="0" fontId="72" fillId="0" borderId="28" xfId="107" applyFont="1" applyFill="1" applyBorder="1" applyAlignment="1">
      <alignment horizontal="left" vertical="center" indent="5"/>
    </xf>
    <xf numFmtId="170" fontId="25" fillId="0" borderId="29" xfId="107" applyNumberFormat="1" applyFont="1" applyFill="1" applyBorder="1" applyAlignment="1" applyProtection="1">
      <alignment horizontal="right" vertical="center"/>
      <protection locked="0"/>
    </xf>
    <xf numFmtId="0" fontId="16" fillId="0" borderId="0" xfId="102" applyFont="1" applyFill="1"/>
    <xf numFmtId="166" fontId="18" fillId="0" borderId="0" xfId="102" applyNumberFormat="1" applyFont="1" applyFill="1" applyBorder="1" applyAlignment="1" applyProtection="1">
      <alignment horizontal="centerContinuous" vertical="center"/>
    </xf>
    <xf numFmtId="0" fontId="10" fillId="0" borderId="0" xfId="100" applyFont="1" applyFill="1" applyBorder="1" applyAlignment="1" applyProtection="1">
      <alignment horizontal="right"/>
    </xf>
    <xf numFmtId="0" fontId="71" fillId="0" borderId="0" xfId="100" applyFont="1" applyFill="1" applyBorder="1" applyAlignment="1" applyProtection="1"/>
    <xf numFmtId="0" fontId="8" fillId="0" borderId="20" xfId="102" applyFont="1" applyFill="1" applyBorder="1" applyAlignment="1" applyProtection="1">
      <alignment horizontal="center" vertical="center" wrapText="1"/>
    </xf>
    <xf numFmtId="0" fontId="8" fillId="0" borderId="21" xfId="102" applyFont="1" applyFill="1" applyBorder="1" applyAlignment="1" applyProtection="1">
      <alignment horizontal="center" vertical="center" wrapText="1"/>
    </xf>
    <xf numFmtId="0" fontId="8" fillId="0" borderId="63" xfId="102" applyFont="1" applyFill="1" applyBorder="1" applyAlignment="1" applyProtection="1">
      <alignment horizontal="center" vertical="center" wrapText="1"/>
    </xf>
    <xf numFmtId="0" fontId="22" fillId="0" borderId="10" xfId="102" applyFont="1" applyFill="1" applyBorder="1" applyAlignment="1" applyProtection="1">
      <alignment horizontal="center" vertical="center"/>
    </xf>
    <xf numFmtId="0" fontId="22" fillId="0" borderId="11" xfId="102" applyFont="1" applyFill="1" applyBorder="1" applyAlignment="1" applyProtection="1">
      <alignment horizontal="center" vertical="center"/>
    </xf>
    <xf numFmtId="0" fontId="22" fillId="0" borderId="36" xfId="102" applyFont="1" applyFill="1" applyBorder="1" applyAlignment="1" applyProtection="1">
      <alignment horizontal="center" vertical="center"/>
    </xf>
    <xf numFmtId="0" fontId="22" fillId="0" borderId="20" xfId="102" applyFont="1" applyFill="1" applyBorder="1" applyAlignment="1" applyProtection="1">
      <alignment horizontal="center" vertical="center"/>
    </xf>
    <xf numFmtId="0" fontId="22" fillId="0" borderId="18" xfId="102" applyFont="1" applyFill="1" applyBorder="1" applyProtection="1"/>
    <xf numFmtId="164" fontId="22" fillId="0" borderId="38" xfId="66" applyNumberFormat="1" applyFont="1" applyFill="1" applyBorder="1" applyProtection="1">
      <protection locked="0"/>
    </xf>
    <xf numFmtId="0" fontId="22" fillId="0" borderId="15" xfId="102" applyFont="1" applyFill="1" applyBorder="1" applyAlignment="1" applyProtection="1">
      <alignment horizontal="center" vertical="center"/>
    </xf>
    <xf numFmtId="0" fontId="57" fillId="0" borderId="16" xfId="100" applyFont="1" applyBorder="1" applyAlignment="1">
      <alignment horizontal="justify" wrapText="1"/>
    </xf>
    <xf numFmtId="164" fontId="22" fillId="0" borderId="32" xfId="66" applyNumberFormat="1" applyFont="1" applyFill="1" applyBorder="1" applyProtection="1">
      <protection locked="0"/>
    </xf>
    <xf numFmtId="0" fontId="57" fillId="0" borderId="16" xfId="100" applyFont="1" applyBorder="1" applyAlignment="1">
      <alignment wrapText="1"/>
    </xf>
    <xf numFmtId="164" fontId="22" fillId="0" borderId="33" xfId="66" applyNumberFormat="1" applyFont="1" applyFill="1" applyBorder="1" applyProtection="1">
      <protection locked="0"/>
    </xf>
    <xf numFmtId="0" fontId="57" fillId="0" borderId="28" xfId="100" applyFont="1" applyBorder="1" applyAlignment="1">
      <alignment wrapText="1"/>
    </xf>
    <xf numFmtId="164" fontId="8" fillId="0" borderId="36" xfId="66" applyNumberFormat="1" applyFont="1" applyFill="1" applyBorder="1" applyProtection="1"/>
    <xf numFmtId="166" fontId="73" fillId="0" borderId="16" xfId="102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16" xfId="0" applyNumberFormat="1" applyFont="1" applyFill="1" applyBorder="1" applyAlignment="1" applyProtection="1">
      <alignment vertical="center" wrapText="1"/>
      <protection locked="0"/>
    </xf>
    <xf numFmtId="166" fontId="22" fillId="0" borderId="32" xfId="107" applyNumberFormat="1" applyFont="1" applyFill="1" applyBorder="1" applyAlignment="1" applyProtection="1">
      <alignment horizontal="right" vertical="center" wrapText="1" indent="1"/>
      <protection locked="0"/>
    </xf>
    <xf numFmtId="4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1" fontId="6" fillId="0" borderId="16" xfId="107" applyNumberFormat="1" applyFont="1" applyFill="1" applyBorder="1" applyAlignment="1" applyProtection="1">
      <alignment vertical="center" wrapText="1"/>
      <protection locked="0"/>
    </xf>
    <xf numFmtId="1" fontId="6" fillId="0" borderId="47" xfId="107" applyNumberFormat="1" applyFont="1" applyFill="1" applyBorder="1" applyAlignment="1" applyProtection="1">
      <alignment vertical="center" wrapText="1"/>
      <protection locked="0"/>
    </xf>
    <xf numFmtId="166" fontId="3" fillId="0" borderId="0" xfId="107" applyNumberFormat="1" applyFont="1" applyFill="1" applyAlignment="1">
      <alignment vertical="center" wrapText="1"/>
    </xf>
    <xf numFmtId="166" fontId="3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ont="1" applyFill="1" applyAlignment="1">
      <alignment vertical="center" wrapText="1"/>
    </xf>
    <xf numFmtId="166" fontId="21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ill="1" applyAlignment="1">
      <alignment horizontal="left" vertical="center" wrapText="1"/>
    </xf>
    <xf numFmtId="0" fontId="55" fillId="0" borderId="18" xfId="106" applyFont="1" applyBorder="1" applyAlignment="1" applyProtection="1">
      <alignment horizontal="left" vertical="top" wrapText="1"/>
      <protection locked="0"/>
    </xf>
    <xf numFmtId="0" fontId="55" fillId="0" borderId="18" xfId="106" applyFont="1" applyBorder="1" applyAlignment="1" applyProtection="1">
      <alignment horizontal="right" vertical="top" wrapText="1"/>
      <protection locked="0"/>
    </xf>
    <xf numFmtId="6" fontId="55" fillId="0" borderId="18" xfId="106" applyNumberFormat="1" applyFont="1" applyBorder="1" applyAlignment="1" applyProtection="1">
      <alignment horizontal="right" vertical="top" wrapText="1"/>
      <protection locked="0"/>
    </xf>
    <xf numFmtId="3" fontId="55" fillId="0" borderId="43" xfId="106" applyNumberFormat="1" applyFont="1" applyBorder="1" applyAlignment="1" applyProtection="1">
      <alignment horizontal="center" vertical="top" wrapText="1"/>
      <protection locked="0"/>
    </xf>
    <xf numFmtId="0" fontId="55" fillId="0" borderId="16" xfId="106" applyFont="1" applyBorder="1" applyAlignment="1" applyProtection="1">
      <alignment horizontal="left" vertical="top" wrapText="1"/>
      <protection locked="0"/>
    </xf>
    <xf numFmtId="0" fontId="55" fillId="0" borderId="16" xfId="106" applyFont="1" applyBorder="1" applyAlignment="1" applyProtection="1">
      <alignment horizontal="right" vertical="top" wrapText="1"/>
      <protection locked="0"/>
    </xf>
    <xf numFmtId="6" fontId="55" fillId="0" borderId="16" xfId="106" applyNumberFormat="1" applyFont="1" applyBorder="1" applyAlignment="1" applyProtection="1">
      <alignment horizontal="right" vertical="top" wrapText="1"/>
      <protection locked="0"/>
    </xf>
    <xf numFmtId="3" fontId="55" fillId="0" borderId="45" xfId="106" applyNumberFormat="1" applyFont="1" applyBorder="1" applyAlignment="1" applyProtection="1">
      <alignment horizontal="center" vertical="top" wrapText="1"/>
      <protection locked="0"/>
    </xf>
    <xf numFmtId="0" fontId="55" fillId="0" borderId="16" xfId="106" applyFont="1" applyBorder="1" applyAlignment="1" applyProtection="1">
      <alignment horizontal="center" vertical="top" wrapText="1"/>
      <protection locked="0"/>
    </xf>
    <xf numFmtId="3" fontId="55" fillId="0" borderId="80" xfId="106" applyNumberFormat="1" applyFont="1" applyBorder="1" applyAlignment="1" applyProtection="1">
      <alignment horizontal="center" vertical="top" wrapText="1"/>
      <protection locked="0"/>
    </xf>
    <xf numFmtId="166" fontId="22" fillId="0" borderId="81" xfId="107" applyNumberFormat="1" applyFont="1" applyFill="1" applyBorder="1" applyAlignment="1" applyProtection="1">
      <alignment horizontal="left" vertical="center" wrapText="1" indent="1"/>
    </xf>
    <xf numFmtId="166" fontId="22" fillId="0" borderId="16" xfId="107" applyNumberFormat="1" applyFont="1" applyFill="1" applyBorder="1" applyAlignment="1" applyProtection="1">
      <alignment vertical="center" wrapText="1"/>
    </xf>
    <xf numFmtId="0" fontId="21" fillId="0" borderId="0" xfId="107" applyFont="1" applyProtection="1"/>
    <xf numFmtId="0" fontId="5" fillId="0" borderId="0" xfId="107" applyFont="1" applyFill="1" applyAlignment="1">
      <alignment textRotation="180"/>
    </xf>
    <xf numFmtId="0" fontId="21" fillId="0" borderId="0" xfId="107" applyFont="1" applyFill="1" applyAlignment="1">
      <alignment horizontal="right"/>
    </xf>
    <xf numFmtId="0" fontId="21" fillId="0" borderId="0" xfId="104" applyFont="1" applyFill="1" applyAlignment="1" applyProtection="1">
      <alignment horizontal="right" vertical="center" wrapText="1"/>
    </xf>
    <xf numFmtId="0" fontId="55" fillId="0" borderId="0" xfId="105" applyFont="1" applyFill="1" applyAlignment="1">
      <alignment horizontal="right"/>
    </xf>
    <xf numFmtId="171" fontId="66" fillId="0" borderId="16" xfId="105" applyNumberFormat="1" applyFont="1" applyFill="1" applyBorder="1" applyAlignment="1" applyProtection="1">
      <alignment horizontal="right" vertical="center" wrapText="1"/>
      <protection locked="0"/>
    </xf>
    <xf numFmtId="166" fontId="75" fillId="0" borderId="0" xfId="107" applyNumberFormat="1" applyFont="1" applyFill="1" applyAlignment="1">
      <alignment horizontal="right" vertical="center" wrapText="1"/>
    </xf>
    <xf numFmtId="0" fontId="55" fillId="0" borderId="0" xfId="105" applyFill="1" applyAlignment="1">
      <alignment wrapText="1"/>
    </xf>
    <xf numFmtId="0" fontId="77" fillId="0" borderId="0" xfId="107" applyFont="1" applyProtection="1"/>
    <xf numFmtId="0" fontId="46" fillId="0" borderId="27" xfId="103" applyFont="1" applyFill="1" applyBorder="1" applyAlignment="1" applyProtection="1">
      <alignment horizontal="right" vertical="center"/>
    </xf>
    <xf numFmtId="0" fontId="7" fillId="0" borderId="11" xfId="102" applyFont="1" applyFill="1" applyBorder="1" applyAlignment="1" applyProtection="1">
      <alignment horizontal="left" vertical="center" wrapText="1"/>
    </xf>
    <xf numFmtId="0" fontId="50" fillId="0" borderId="18" xfId="103" applyFont="1" applyBorder="1" applyAlignment="1" applyProtection="1">
      <alignment horizontal="left" vertical="center" wrapText="1"/>
    </xf>
    <xf numFmtId="0" fontId="50" fillId="0" borderId="16" xfId="103" applyFont="1" applyBorder="1" applyAlignment="1" applyProtection="1">
      <alignment horizontal="left" vertical="center" wrapText="1"/>
    </xf>
    <xf numFmtId="166" fontId="6" fillId="23" borderId="16" xfId="102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24" xfId="103" applyFont="1" applyBorder="1" applyAlignment="1" applyProtection="1">
      <alignment horizontal="left" vertical="center" wrapText="1"/>
    </xf>
    <xf numFmtId="166" fontId="6" fillId="23" borderId="24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1" xfId="103" applyFont="1" applyBorder="1" applyAlignment="1" applyProtection="1">
      <alignment horizontal="left" vertical="center" wrapText="1"/>
    </xf>
    <xf numFmtId="0" fontId="53" fillId="0" borderId="10" xfId="103" applyFont="1" applyBorder="1" applyAlignment="1" applyProtection="1">
      <alignment vertical="center" wrapText="1"/>
    </xf>
    <xf numFmtId="0" fontId="50" fillId="0" borderId="24" xfId="103" applyFont="1" applyBorder="1" applyAlignment="1" applyProtection="1">
      <alignment vertical="center" wrapText="1"/>
    </xf>
    <xf numFmtId="0" fontId="50" fillId="0" borderId="17" xfId="103" applyFont="1" applyBorder="1" applyAlignment="1" applyProtection="1">
      <alignment vertical="center" wrapText="1"/>
    </xf>
    <xf numFmtId="0" fontId="50" fillId="0" borderId="15" xfId="103" applyFont="1" applyBorder="1" applyAlignment="1" applyProtection="1">
      <alignment vertical="center" wrapText="1"/>
    </xf>
    <xf numFmtId="0" fontId="50" fillId="0" borderId="19" xfId="103" applyFont="1" applyBorder="1" applyAlignment="1" applyProtection="1">
      <alignment vertical="center" wrapText="1"/>
    </xf>
    <xf numFmtId="0" fontId="53" fillId="0" borderId="11" xfId="103" applyFont="1" applyBorder="1" applyAlignment="1" applyProtection="1">
      <alignment vertical="center" wrapText="1"/>
    </xf>
    <xf numFmtId="0" fontId="53" fillId="0" borderId="34" xfId="103" applyFont="1" applyBorder="1" applyAlignment="1" applyProtection="1">
      <alignment vertical="center" wrapText="1"/>
    </xf>
    <xf numFmtId="0" fontId="53" fillId="0" borderId="35" xfId="103" applyFont="1" applyBorder="1" applyAlignment="1" applyProtection="1">
      <alignment vertical="center" wrapText="1"/>
    </xf>
    <xf numFmtId="0" fontId="46" fillId="0" borderId="27" xfId="103" applyFont="1" applyFill="1" applyBorder="1" applyAlignment="1" applyProtection="1">
      <alignment horizontal="right"/>
    </xf>
    <xf numFmtId="0" fontId="6" fillId="0" borderId="21" xfId="102" applyFont="1" applyFill="1" applyBorder="1" applyAlignment="1" applyProtection="1">
      <alignment horizontal="left" vertical="center" wrapText="1"/>
    </xf>
    <xf numFmtId="0" fontId="6" fillId="0" borderId="16" xfId="102" applyFont="1" applyFill="1" applyBorder="1" applyAlignment="1" applyProtection="1">
      <alignment horizontal="left" vertical="center" wrapText="1"/>
    </xf>
    <xf numFmtId="0" fontId="6" fillId="0" borderId="23" xfId="102" applyFont="1" applyFill="1" applyBorder="1" applyAlignment="1" applyProtection="1">
      <alignment horizontal="left" vertical="center" wrapText="1"/>
    </xf>
    <xf numFmtId="0" fontId="6" fillId="0" borderId="0" xfId="102" applyFont="1" applyFill="1" applyBorder="1" applyAlignment="1" applyProtection="1">
      <alignment horizontal="left" vertical="center" wrapText="1"/>
    </xf>
    <xf numFmtId="0" fontId="6" fillId="0" borderId="16" xfId="102" applyFont="1" applyFill="1" applyBorder="1" applyAlignment="1" applyProtection="1">
      <alignment horizontal="left" vertical="center"/>
    </xf>
    <xf numFmtId="0" fontId="6" fillId="0" borderId="24" xfId="102" applyFont="1" applyFill="1" applyBorder="1" applyAlignment="1" applyProtection="1">
      <alignment horizontal="left" vertical="center" wrapText="1"/>
    </xf>
    <xf numFmtId="0" fontId="6" fillId="0" borderId="28" xfId="102" applyFont="1" applyFill="1" applyBorder="1" applyAlignment="1" applyProtection="1">
      <alignment horizontal="left" vertical="center" wrapText="1"/>
    </xf>
    <xf numFmtId="0" fontId="6" fillId="0" borderId="18" xfId="102" applyFont="1" applyFill="1" applyBorder="1" applyAlignment="1" applyProtection="1">
      <alignment horizontal="left" vertical="center" wrapText="1"/>
    </xf>
    <xf numFmtId="0" fontId="8" fillId="0" borderId="11" xfId="102" applyFont="1" applyFill="1" applyBorder="1" applyAlignment="1" applyProtection="1">
      <alignment horizontal="left" vertical="center" wrapText="1"/>
    </xf>
    <xf numFmtId="0" fontId="6" fillId="0" borderId="14" xfId="102" applyFont="1" applyFill="1" applyBorder="1" applyAlignment="1" applyProtection="1">
      <alignment horizontal="left" vertical="center" wrapText="1"/>
    </xf>
    <xf numFmtId="166" fontId="53" fillId="0" borderId="11" xfId="103" applyNumberFormat="1" applyFont="1" applyBorder="1" applyAlignment="1" applyProtection="1">
      <alignment horizontal="right" vertical="center" wrapText="1" indent="1"/>
    </xf>
    <xf numFmtId="166" fontId="53" fillId="0" borderId="30" xfId="103" applyNumberFormat="1" applyFont="1" applyBorder="1" applyAlignment="1" applyProtection="1">
      <alignment horizontal="right" vertical="center" wrapText="1" indent="1"/>
    </xf>
    <xf numFmtId="166" fontId="56" fillId="0" borderId="11" xfId="103" quotePrefix="1" applyNumberFormat="1" applyFont="1" applyBorder="1" applyAlignment="1" applyProtection="1">
      <alignment horizontal="right" vertical="center" wrapText="1" indent="1"/>
    </xf>
    <xf numFmtId="166" fontId="56" fillId="0" borderId="30" xfId="103" quotePrefix="1" applyNumberFormat="1" applyFont="1" applyBorder="1" applyAlignment="1" applyProtection="1">
      <alignment horizontal="right" vertical="center" wrapText="1" indent="1"/>
    </xf>
    <xf numFmtId="0" fontId="53" fillId="0" borderId="34" xfId="103" applyFont="1" applyBorder="1" applyAlignment="1" applyProtection="1">
      <alignment horizontal="left" vertical="center" wrapText="1" indent="1"/>
    </xf>
    <xf numFmtId="0" fontId="56" fillId="0" borderId="35" xfId="103" applyFont="1" applyBorder="1" applyAlignment="1" applyProtection="1">
      <alignment horizontal="left" vertical="center" wrapText="1"/>
    </xf>
    <xf numFmtId="166" fontId="17" fillId="0" borderId="0" xfId="103" applyNumberFormat="1" applyFont="1" applyFill="1" applyAlignment="1">
      <alignment vertical="center" wrapText="1"/>
    </xf>
    <xf numFmtId="166" fontId="46" fillId="0" borderId="0" xfId="103" applyNumberFormat="1" applyFont="1" applyFill="1" applyAlignment="1">
      <alignment horizontal="right" vertical="center"/>
    </xf>
    <xf numFmtId="166" fontId="18" fillId="0" borderId="0" xfId="103" applyNumberFormat="1" applyFont="1" applyFill="1" applyAlignment="1">
      <alignment vertical="center"/>
    </xf>
    <xf numFmtId="166" fontId="15" fillId="0" borderId="76" xfId="103" applyNumberFormat="1" applyFont="1" applyFill="1" applyBorder="1" applyAlignment="1">
      <alignment horizontal="center" vertical="center"/>
    </xf>
    <xf numFmtId="166" fontId="15" fillId="0" borderId="28" xfId="103" applyNumberFormat="1" applyFont="1" applyFill="1" applyBorder="1" applyAlignment="1">
      <alignment horizontal="center" vertical="center"/>
    </xf>
    <xf numFmtId="166" fontId="18" fillId="0" borderId="0" xfId="103" applyNumberFormat="1" applyFont="1" applyFill="1" applyAlignment="1">
      <alignment horizontal="center" vertical="center"/>
    </xf>
    <xf numFmtId="166" fontId="15" fillId="0" borderId="26" xfId="103" applyNumberFormat="1" applyFont="1" applyFill="1" applyBorder="1" applyAlignment="1">
      <alignment horizontal="center" vertical="center" wrapText="1"/>
    </xf>
    <xf numFmtId="166" fontId="15" fillId="0" borderId="41" xfId="103" applyNumberFormat="1" applyFont="1" applyFill="1" applyBorder="1" applyAlignment="1">
      <alignment horizontal="center" vertical="center" wrapText="1"/>
    </xf>
    <xf numFmtId="166" fontId="15" fillId="0" borderId="77" xfId="103" applyNumberFormat="1" applyFont="1" applyFill="1" applyBorder="1" applyAlignment="1">
      <alignment horizontal="center" vertical="center" wrapText="1"/>
    </xf>
    <xf numFmtId="166" fontId="15" fillId="0" borderId="36" xfId="103" applyNumberFormat="1" applyFont="1" applyFill="1" applyBorder="1" applyAlignment="1">
      <alignment horizontal="center" vertical="center" wrapText="1"/>
    </xf>
    <xf numFmtId="166" fontId="18" fillId="0" borderId="0" xfId="103" applyNumberFormat="1" applyFont="1" applyFill="1" applyAlignment="1">
      <alignment horizontal="center" vertical="center" wrapText="1"/>
    </xf>
    <xf numFmtId="166" fontId="7" fillId="0" borderId="10" xfId="103" applyNumberFormat="1" applyFont="1" applyFill="1" applyBorder="1" applyAlignment="1">
      <alignment horizontal="right" vertical="center" wrapText="1" indent="1"/>
    </xf>
    <xf numFmtId="166" fontId="7" fillId="0" borderId="41" xfId="103" applyNumberFormat="1" applyFont="1" applyFill="1" applyBorder="1" applyAlignment="1">
      <alignment horizontal="left" vertical="center" wrapText="1" indent="1"/>
    </xf>
    <xf numFmtId="166" fontId="2" fillId="21" borderId="41" xfId="103" applyNumberFormat="1" applyFont="1" applyFill="1" applyBorder="1" applyAlignment="1">
      <alignment horizontal="left" vertical="center" wrapText="1" indent="2"/>
    </xf>
    <xf numFmtId="166" fontId="2" fillId="21" borderId="40" xfId="103" applyNumberFormat="1" applyFont="1" applyFill="1" applyBorder="1" applyAlignment="1">
      <alignment horizontal="left" vertical="center" wrapText="1" indent="2"/>
    </xf>
    <xf numFmtId="166" fontId="7" fillId="0" borderId="10" xfId="103" applyNumberFormat="1" applyFont="1" applyFill="1" applyBorder="1" applyAlignment="1">
      <alignment vertical="center" wrapText="1"/>
    </xf>
    <xf numFmtId="166" fontId="7" fillId="0" borderId="11" xfId="103" applyNumberFormat="1" applyFont="1" applyFill="1" applyBorder="1" applyAlignment="1">
      <alignment vertical="center" wrapText="1"/>
    </xf>
    <xf numFmtId="166" fontId="7" fillId="0" borderId="36" xfId="103" applyNumberFormat="1" applyFont="1" applyFill="1" applyBorder="1" applyAlignment="1">
      <alignment vertical="center" wrapText="1"/>
    </xf>
    <xf numFmtId="166" fontId="21" fillId="0" borderId="0" xfId="103" applyNumberFormat="1" applyFill="1" applyAlignment="1">
      <alignment vertical="center" wrapText="1"/>
    </xf>
    <xf numFmtId="166" fontId="7" fillId="0" borderId="15" xfId="103" applyNumberFormat="1" applyFont="1" applyFill="1" applyBorder="1" applyAlignment="1">
      <alignment horizontal="right" vertical="center" wrapText="1" indent="1"/>
    </xf>
    <xf numFmtId="166" fontId="6" fillId="0" borderId="44" xfId="103" applyNumberFormat="1" applyFont="1" applyFill="1" applyBorder="1" applyAlignment="1" applyProtection="1">
      <alignment horizontal="left" vertical="center" wrapText="1" indent="1"/>
      <protection locked="0"/>
    </xf>
    <xf numFmtId="167" fontId="2" fillId="0" borderId="44" xfId="103" applyNumberFormat="1" applyFont="1" applyFill="1" applyBorder="1" applyAlignment="1" applyProtection="1">
      <alignment horizontal="right" vertical="center" wrapText="1" indent="2"/>
      <protection locked="0"/>
    </xf>
    <xf numFmtId="167" fontId="2" fillId="0" borderId="16" xfId="103" applyNumberFormat="1" applyFont="1" applyFill="1" applyBorder="1" applyAlignment="1" applyProtection="1">
      <alignment horizontal="right" vertical="center" wrapText="1" indent="2"/>
      <protection locked="0"/>
    </xf>
    <xf numFmtId="166" fontId="6" fillId="0" borderId="15" xfId="103" applyNumberFormat="1" applyFont="1" applyFill="1" applyBorder="1" applyAlignment="1" applyProtection="1">
      <alignment vertical="center" wrapText="1"/>
      <protection locked="0"/>
    </xf>
    <xf numFmtId="166" fontId="6" fillId="0" borderId="16" xfId="103" applyNumberFormat="1" applyFont="1" applyFill="1" applyBorder="1" applyAlignment="1" applyProtection="1">
      <alignment vertical="center" wrapText="1"/>
      <protection locked="0"/>
    </xf>
    <xf numFmtId="166" fontId="6" fillId="0" borderId="45" xfId="103" applyNumberFormat="1" applyFont="1" applyFill="1" applyBorder="1" applyAlignment="1" applyProtection="1">
      <alignment vertical="center" wrapText="1"/>
      <protection locked="0"/>
    </xf>
    <xf numFmtId="166" fontId="2" fillId="21" borderId="41" xfId="103" applyNumberFormat="1" applyFont="1" applyFill="1" applyBorder="1" applyAlignment="1">
      <alignment horizontal="right" vertical="center" wrapText="1" indent="2"/>
    </xf>
    <xf numFmtId="166" fontId="2" fillId="21" borderId="40" xfId="103" applyNumberFormat="1" applyFont="1" applyFill="1" applyBorder="1" applyAlignment="1">
      <alignment horizontal="right" vertical="center" wrapText="1" indent="2"/>
    </xf>
    <xf numFmtId="166" fontId="21" fillId="0" borderId="0" xfId="103" applyNumberFormat="1" applyFill="1" applyAlignment="1">
      <alignment horizontal="center" vertical="center" wrapText="1"/>
    </xf>
    <xf numFmtId="164" fontId="26" fillId="0" borderId="74" xfId="66" applyNumberFormat="1" applyFont="1" applyFill="1" applyBorder="1" applyAlignment="1" applyProtection="1">
      <alignment vertical="center"/>
    </xf>
    <xf numFmtId="164" fontId="26" fillId="0" borderId="38" xfId="66" applyNumberFormat="1" applyFont="1" applyFill="1" applyBorder="1" applyAlignment="1" applyProtection="1">
      <alignment vertical="center"/>
    </xf>
    <xf numFmtId="164" fontId="26" fillId="0" borderId="75" xfId="66" applyNumberFormat="1" applyFont="1" applyFill="1" applyBorder="1" applyAlignment="1" applyProtection="1">
      <alignment horizontal="center" vertical="center"/>
    </xf>
    <xf numFmtId="49" fontId="6" fillId="0" borderId="16" xfId="102" applyNumberFormat="1" applyFont="1" applyFill="1" applyBorder="1" applyAlignment="1" applyProtection="1">
      <alignment horizontal="left" vertical="center" wrapText="1" indent="1"/>
    </xf>
    <xf numFmtId="166" fontId="74" fillId="0" borderId="0" xfId="107" applyNumberFormat="1" applyFont="1" applyFill="1" applyAlignment="1">
      <alignment vertical="center" wrapText="1"/>
    </xf>
    <xf numFmtId="0" fontId="21" fillId="0" borderId="18" xfId="107" applyFont="1" applyFill="1" applyBorder="1" applyAlignment="1" applyProtection="1">
      <alignment horizontal="left" vertical="center" wrapText="1" indent="1"/>
      <protection locked="0"/>
    </xf>
    <xf numFmtId="0" fontId="21" fillId="0" borderId="21" xfId="107" applyFont="1" applyFill="1" applyBorder="1" applyAlignment="1" applyProtection="1">
      <alignment horizontal="left" vertical="center" wrapText="1" indent="1"/>
      <protection locked="0"/>
    </xf>
    <xf numFmtId="169" fontId="22" fillId="0" borderId="45" xfId="104" applyNumberFormat="1" applyFont="1" applyFill="1" applyBorder="1" applyAlignment="1" applyProtection="1">
      <alignment vertical="center"/>
      <protection locked="0"/>
    </xf>
    <xf numFmtId="166" fontId="22" fillId="0" borderId="16" xfId="0" applyNumberFormat="1" applyFont="1" applyFill="1" applyBorder="1" applyAlignment="1" applyProtection="1">
      <alignment vertical="center" wrapText="1"/>
      <protection locked="0"/>
    </xf>
    <xf numFmtId="49" fontId="22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80" fillId="0" borderId="16" xfId="107" applyNumberFormat="1" applyFont="1" applyFill="1" applyBorder="1" applyAlignment="1" applyProtection="1">
      <alignment vertical="center" wrapText="1"/>
      <protection locked="0"/>
    </xf>
    <xf numFmtId="166" fontId="21" fillId="0" borderId="0" xfId="107" applyNumberFormat="1" applyFont="1" applyFill="1" applyAlignment="1" applyProtection="1">
      <alignment vertical="center" wrapText="1"/>
    </xf>
    <xf numFmtId="3" fontId="53" fillId="0" borderId="11" xfId="105" applyNumberFormat="1" applyFont="1" applyFill="1" applyBorder="1" applyProtection="1">
      <protection locked="0"/>
    </xf>
    <xf numFmtId="171" fontId="53" fillId="0" borderId="16" xfId="105" applyNumberFormat="1" applyFont="1" applyFill="1" applyBorder="1" applyAlignment="1" applyProtection="1">
      <alignment horizontal="right" vertical="center" wrapText="1"/>
    </xf>
    <xf numFmtId="4" fontId="4" fillId="0" borderId="11" xfId="107" applyNumberFormat="1" applyFont="1" applyFill="1" applyBorder="1" applyAlignment="1" applyProtection="1">
      <alignment horizontal="right" vertical="center" wrapText="1" indent="1"/>
      <protection locked="0"/>
    </xf>
    <xf numFmtId="166" fontId="48" fillId="0" borderId="0" xfId="107" applyNumberFormat="1" applyFont="1" applyFill="1" applyAlignment="1" applyProtection="1">
      <alignment horizontal="centerContinuous" vertical="center" wrapText="1"/>
    </xf>
    <xf numFmtId="166" fontId="21" fillId="0" borderId="0" xfId="107" applyNumberFormat="1" applyFont="1" applyFill="1" applyAlignment="1" applyProtection="1">
      <alignment horizontal="centerContinuous" vertical="center"/>
    </xf>
    <xf numFmtId="166" fontId="2" fillId="0" borderId="16" xfId="0" applyNumberFormat="1" applyFont="1" applyFill="1" applyBorder="1" applyAlignment="1" applyProtection="1">
      <alignment vertical="center" wrapText="1"/>
      <protection locked="0"/>
    </xf>
    <xf numFmtId="166" fontId="4" fillId="0" borderId="45" xfId="107" applyNumberFormat="1" applyFont="1" applyFill="1" applyBorder="1" applyAlignment="1" applyProtection="1">
      <alignment vertical="center" wrapText="1"/>
    </xf>
    <xf numFmtId="166" fontId="6" fillId="0" borderId="21" xfId="102" applyNumberFormat="1" applyFont="1" applyFill="1" applyBorder="1" applyAlignment="1" applyProtection="1">
      <alignment vertical="center" wrapText="1"/>
      <protection locked="0"/>
    </xf>
    <xf numFmtId="166" fontId="6" fillId="0" borderId="38" xfId="102" applyNumberFormat="1" applyFont="1" applyFill="1" applyBorder="1" applyAlignment="1" applyProtection="1">
      <alignment vertical="center" wrapText="1"/>
      <protection locked="0"/>
    </xf>
    <xf numFmtId="166" fontId="6" fillId="0" borderId="16" xfId="102" applyNumberFormat="1" applyFont="1" applyFill="1" applyBorder="1" applyAlignment="1" applyProtection="1">
      <alignment vertical="center" wrapText="1"/>
      <protection locked="0"/>
    </xf>
    <xf numFmtId="166" fontId="6" fillId="0" borderId="32" xfId="102" applyNumberFormat="1" applyFont="1" applyFill="1" applyBorder="1" applyAlignment="1" applyProtection="1">
      <alignment vertical="center" wrapText="1"/>
      <protection locked="0"/>
    </xf>
    <xf numFmtId="166" fontId="6" fillId="0" borderId="24" xfId="102" applyNumberFormat="1" applyFont="1" applyFill="1" applyBorder="1" applyAlignment="1" applyProtection="1">
      <alignment vertical="center" wrapText="1"/>
      <protection locked="0"/>
    </xf>
    <xf numFmtId="166" fontId="6" fillId="0" borderId="33" xfId="102" applyNumberFormat="1" applyFont="1" applyFill="1" applyBorder="1" applyAlignment="1" applyProtection="1">
      <alignment vertical="center" wrapText="1"/>
      <protection locked="0"/>
    </xf>
    <xf numFmtId="0" fontId="84" fillId="0" borderId="0" xfId="105" applyFont="1" applyFill="1" applyProtection="1"/>
    <xf numFmtId="0" fontId="79" fillId="0" borderId="20" xfId="99" applyFont="1" applyBorder="1" applyAlignment="1">
      <alignment vertical="center"/>
    </xf>
    <xf numFmtId="166" fontId="80" fillId="0" borderId="0" xfId="107" applyNumberFormat="1" applyFont="1" applyFill="1" applyAlignment="1">
      <alignment vertical="center" wrapText="1"/>
    </xf>
    <xf numFmtId="3" fontId="6" fillId="0" borderId="16" xfId="107" applyNumberFormat="1" applyFont="1" applyFill="1" applyBorder="1" applyAlignment="1" applyProtection="1">
      <alignment vertical="center" wrapText="1"/>
      <protection locked="0"/>
    </xf>
    <xf numFmtId="171" fontId="84" fillId="0" borderId="16" xfId="105" applyNumberFormat="1" applyFont="1" applyFill="1" applyBorder="1" applyAlignment="1" applyProtection="1">
      <alignment horizontal="right" vertical="center" wrapText="1"/>
      <protection locked="0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171" fontId="53" fillId="0" borderId="21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28" xfId="105" applyNumberFormat="1" applyFont="1" applyFill="1" applyBorder="1" applyAlignment="1" applyProtection="1">
      <alignment horizontal="right" vertical="center" wrapText="1"/>
    </xf>
    <xf numFmtId="171" fontId="53" fillId="0" borderId="45" xfId="105" applyNumberFormat="1" applyFont="1" applyFill="1" applyBorder="1" applyAlignment="1" applyProtection="1">
      <alignment horizontal="right" vertical="center" wrapText="1"/>
    </xf>
    <xf numFmtId="171" fontId="53" fillId="0" borderId="16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45" xfId="105" applyNumberFormat="1" applyFont="1" applyFill="1" applyBorder="1" applyAlignment="1" applyProtection="1">
      <alignment horizontal="right" vertical="center" wrapText="1"/>
      <protection locked="0"/>
    </xf>
    <xf numFmtId="164" fontId="70" fillId="0" borderId="11" xfId="66" applyNumberFormat="1" applyFont="1" applyFill="1" applyBorder="1" applyAlignment="1" applyProtection="1">
      <alignment horizontal="center" vertical="center" wrapText="1"/>
    </xf>
    <xf numFmtId="170" fontId="21" fillId="0" borderId="0" xfId="107" applyNumberFormat="1" applyFill="1"/>
    <xf numFmtId="0" fontId="21" fillId="0" borderId="20" xfId="107" applyFont="1" applyFill="1" applyBorder="1" applyAlignment="1">
      <alignment horizontal="center" vertical="center"/>
    </xf>
    <xf numFmtId="0" fontId="21" fillId="0" borderId="15" xfId="107" applyFont="1" applyFill="1" applyBorder="1" applyAlignment="1">
      <alignment horizontal="center" vertical="center"/>
    </xf>
    <xf numFmtId="0" fontId="21" fillId="0" borderId="22" xfId="107" applyFont="1" applyFill="1" applyBorder="1" applyAlignment="1">
      <alignment horizontal="center" vertical="center"/>
    </xf>
    <xf numFmtId="166" fontId="7" fillId="0" borderId="14" xfId="107" applyNumberFormat="1" applyFont="1" applyFill="1" applyBorder="1" applyAlignment="1" applyProtection="1">
      <alignment horizontal="center" vertical="center" wrapText="1"/>
    </xf>
    <xf numFmtId="166" fontId="7" fillId="0" borderId="50" xfId="107" applyNumberFormat="1" applyFont="1" applyFill="1" applyBorder="1" applyAlignment="1" applyProtection="1">
      <alignment horizontal="center" vertical="center" wrapText="1"/>
    </xf>
    <xf numFmtId="166" fontId="7" fillId="0" borderId="82" xfId="107" applyNumberFormat="1" applyFont="1" applyFill="1" applyBorder="1" applyAlignment="1" applyProtection="1">
      <alignment horizontal="center" vertical="center" wrapText="1"/>
    </xf>
    <xf numFmtId="166" fontId="21" fillId="0" borderId="16" xfId="107" applyNumberFormat="1" applyFill="1" applyBorder="1" applyAlignment="1">
      <alignment vertical="center" wrapText="1"/>
    </xf>
    <xf numFmtId="166" fontId="7" fillId="0" borderId="13" xfId="107" applyNumberFormat="1" applyFont="1" applyFill="1" applyBorder="1" applyAlignment="1" applyProtection="1">
      <alignment horizontal="center" vertical="center" wrapText="1"/>
    </xf>
    <xf numFmtId="166" fontId="2" fillId="0" borderId="21" xfId="0" applyNumberFormat="1" applyFont="1" applyFill="1" applyBorder="1" applyAlignment="1" applyProtection="1">
      <alignment vertical="center" wrapText="1"/>
      <protection locked="0"/>
    </xf>
    <xf numFmtId="166" fontId="21" fillId="0" borderId="21" xfId="107" applyNumberFormat="1" applyFill="1" applyBorder="1" applyAlignment="1">
      <alignment vertical="center" wrapText="1"/>
    </xf>
    <xf numFmtId="166" fontId="4" fillId="0" borderId="63" xfId="107" applyNumberFormat="1" applyFont="1" applyFill="1" applyBorder="1" applyAlignment="1" applyProtection="1">
      <alignment vertical="center" wrapText="1"/>
    </xf>
    <xf numFmtId="172" fontId="4" fillId="0" borderId="36" xfId="107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47" xfId="107" applyNumberFormat="1" applyFont="1" applyFill="1" applyBorder="1" applyAlignment="1" applyProtection="1">
      <alignment vertical="center" wrapText="1"/>
      <protection locked="0"/>
    </xf>
    <xf numFmtId="1" fontId="21" fillId="0" borderId="16" xfId="107" applyNumberFormat="1" applyFont="1" applyFill="1" applyBorder="1" applyAlignment="1" applyProtection="1">
      <alignment horizontal="center" vertical="center" wrapText="1"/>
    </xf>
    <xf numFmtId="166" fontId="15" fillId="0" borderId="76" xfId="107" applyNumberFormat="1" applyFont="1" applyFill="1" applyBorder="1" applyAlignment="1" applyProtection="1">
      <alignment horizontal="center" vertical="center" wrapText="1"/>
    </xf>
    <xf numFmtId="166" fontId="8" fillId="0" borderId="77" xfId="107" applyNumberFormat="1" applyFont="1" applyFill="1" applyBorder="1" applyAlignment="1" applyProtection="1">
      <alignment vertical="center" wrapText="1"/>
    </xf>
    <xf numFmtId="166" fontId="80" fillId="0" borderId="45" xfId="107" applyNumberFormat="1" applyFont="1" applyFill="1" applyBorder="1" applyAlignment="1" applyProtection="1">
      <alignment vertical="center" wrapText="1"/>
    </xf>
    <xf numFmtId="166" fontId="80" fillId="0" borderId="18" xfId="107" applyNumberFormat="1" applyFont="1" applyFill="1" applyBorder="1" applyAlignment="1" applyProtection="1">
      <alignment vertical="center" wrapText="1"/>
      <protection locked="0"/>
    </xf>
    <xf numFmtId="0" fontId="41" fillId="0" borderId="10" xfId="99" applyFont="1" applyBorder="1" applyAlignment="1">
      <alignment vertical="center"/>
    </xf>
    <xf numFmtId="166" fontId="81" fillId="0" borderId="11" xfId="107" applyNumberFormat="1" applyFont="1" applyFill="1" applyBorder="1" applyAlignment="1" applyProtection="1">
      <alignment vertical="center" wrapText="1"/>
      <protection locked="0"/>
    </xf>
    <xf numFmtId="166" fontId="81" fillId="0" borderId="36" xfId="107" applyNumberFormat="1" applyFont="1" applyFill="1" applyBorder="1" applyAlignment="1" applyProtection="1">
      <alignment vertical="center" wrapText="1"/>
      <protection locked="0"/>
    </xf>
    <xf numFmtId="0" fontId="79" fillId="0" borderId="17" xfId="99" applyFont="1" applyBorder="1" applyAlignment="1">
      <alignment vertical="center"/>
    </xf>
    <xf numFmtId="166" fontId="80" fillId="0" borderId="31" xfId="107" applyNumberFormat="1" applyFont="1" applyFill="1" applyBorder="1" applyAlignment="1" applyProtection="1">
      <alignment vertical="center" wrapText="1"/>
    </xf>
    <xf numFmtId="166" fontId="81" fillId="0" borderId="11" xfId="107" applyNumberFormat="1" applyFont="1" applyFill="1" applyBorder="1" applyAlignment="1" applyProtection="1">
      <alignment vertical="center" wrapText="1"/>
    </xf>
    <xf numFmtId="166" fontId="81" fillId="0" borderId="30" xfId="107" applyNumberFormat="1" applyFont="1" applyFill="1" applyBorder="1" applyAlignment="1" applyProtection="1">
      <alignment vertical="center" wrapText="1"/>
    </xf>
    <xf numFmtId="166" fontId="81" fillId="0" borderId="11" xfId="107" applyNumberFormat="1" applyFont="1" applyFill="1" applyBorder="1" applyAlignment="1">
      <alignment vertical="center" wrapText="1"/>
    </xf>
    <xf numFmtId="0" fontId="79" fillId="0" borderId="17" xfId="99" applyFont="1" applyBorder="1" applyAlignment="1">
      <alignment vertical="center" wrapText="1"/>
    </xf>
    <xf numFmtId="3" fontId="28" fillId="0" borderId="18" xfId="99" applyNumberFormat="1" applyFont="1" applyBorder="1" applyAlignment="1">
      <alignment vertical="center"/>
    </xf>
    <xf numFmtId="3" fontId="41" fillId="0" borderId="11" xfId="99" applyNumberFormat="1" applyFont="1" applyFill="1" applyBorder="1" applyAlignment="1">
      <alignment vertical="center"/>
    </xf>
    <xf numFmtId="3" fontId="41" fillId="0" borderId="11" xfId="99" applyNumberFormat="1" applyFont="1" applyBorder="1" applyAlignment="1">
      <alignment vertical="center"/>
    </xf>
    <xf numFmtId="0" fontId="82" fillId="0" borderId="0" xfId="105" applyFont="1" applyFill="1"/>
    <xf numFmtId="166" fontId="6" fillId="0" borderId="45" xfId="107" applyNumberFormat="1" applyFont="1" applyFill="1" applyBorder="1" applyAlignment="1" applyProtection="1">
      <alignment vertical="center" wrapText="1"/>
    </xf>
    <xf numFmtId="166" fontId="22" fillId="0" borderId="43" xfId="102" applyNumberFormat="1" applyFont="1" applyFill="1" applyBorder="1" applyAlignment="1" applyProtection="1">
      <alignment horizontal="right" vertical="center" wrapText="1" indent="1"/>
    </xf>
    <xf numFmtId="166" fontId="22" fillId="0" borderId="45" xfId="102" applyNumberFormat="1" applyFont="1" applyFill="1" applyBorder="1" applyAlignment="1" applyProtection="1">
      <alignment horizontal="right" vertical="center" wrapText="1" indent="1"/>
    </xf>
    <xf numFmtId="166" fontId="22" fillId="0" borderId="48" xfId="102" applyNumberFormat="1" applyFont="1" applyFill="1" applyBorder="1" applyAlignment="1" applyProtection="1">
      <alignment horizontal="right" vertical="center" wrapText="1" indent="1"/>
    </xf>
    <xf numFmtId="166" fontId="8" fillId="0" borderId="52" xfId="102" applyNumberFormat="1" applyFont="1" applyFill="1" applyBorder="1" applyAlignment="1" applyProtection="1">
      <alignment horizontal="right" vertical="center" wrapText="1" indent="1"/>
    </xf>
    <xf numFmtId="166" fontId="22" fillId="0" borderId="36" xfId="102" applyNumberFormat="1" applyFont="1" applyFill="1" applyBorder="1" applyAlignment="1" applyProtection="1">
      <alignment horizontal="right" vertical="center" wrapText="1" indent="1"/>
    </xf>
    <xf numFmtId="166" fontId="8" fillId="0" borderId="67" xfId="102" applyNumberFormat="1" applyFont="1" applyFill="1" applyBorder="1" applyAlignment="1" applyProtection="1">
      <alignment horizontal="right" vertical="center" wrapText="1" indent="1"/>
    </xf>
    <xf numFmtId="0" fontId="50" fillId="0" borderId="14" xfId="107" applyFont="1" applyBorder="1" applyAlignment="1" applyProtection="1">
      <alignment horizontal="left" vertical="center" wrapText="1" indent="1"/>
    </xf>
    <xf numFmtId="166" fontId="22" fillId="0" borderId="14" xfId="102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68" xfId="102" applyNumberFormat="1" applyFont="1" applyFill="1" applyBorder="1" applyAlignment="1" applyProtection="1">
      <alignment horizontal="right" vertical="center" wrapText="1" indent="1"/>
      <protection locked="0"/>
    </xf>
    <xf numFmtId="0" fontId="53" fillId="0" borderId="13" xfId="107" applyFont="1" applyBorder="1" applyAlignment="1" applyProtection="1">
      <alignment horizontal="center" vertical="center" wrapText="1"/>
    </xf>
    <xf numFmtId="166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7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3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5" xfId="0" applyNumberFormat="1" applyFont="1" applyFill="1" applyBorder="1" applyAlignment="1" applyProtection="1">
      <alignment horizontal="right" vertical="center" wrapText="1" indent="1"/>
      <protection locked="0"/>
    </xf>
    <xf numFmtId="166" fontId="22" fillId="0" borderId="44" xfId="0" applyNumberFormat="1" applyFont="1" applyFill="1" applyBorder="1" applyAlignment="1" applyProtection="1">
      <alignment horizontal="left" vertical="center" wrapText="1"/>
      <protection locked="0"/>
    </xf>
    <xf numFmtId="166" fontId="22" fillId="0" borderId="15" xfId="0" applyNumberFormat="1" applyFont="1" applyFill="1" applyBorder="1" applyAlignment="1" applyProtection="1">
      <alignment vertical="center" wrapText="1"/>
      <protection locked="0"/>
    </xf>
    <xf numFmtId="0" fontId="22" fillId="0" borderId="15" xfId="102" applyFont="1" applyFill="1" applyBorder="1" applyAlignment="1" applyProtection="1">
      <alignment horizontal="left"/>
      <protection locked="0"/>
    </xf>
    <xf numFmtId="49" fontId="6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49" xfId="0" applyNumberFormat="1" applyFont="1" applyFill="1" applyBorder="1" applyAlignment="1" applyProtection="1">
      <alignment horizontal="left" vertical="center" wrapText="1"/>
      <protection locked="0"/>
    </xf>
    <xf numFmtId="0" fontId="6" fillId="0" borderId="44" xfId="102" applyFont="1" applyFill="1" applyBorder="1" applyProtection="1">
      <protection locked="0"/>
    </xf>
    <xf numFmtId="166" fontId="25" fillId="0" borderId="15" xfId="0" applyNumberFormat="1" applyFont="1" applyFill="1" applyBorder="1" applyAlignment="1" applyProtection="1">
      <alignment vertical="center" wrapText="1"/>
      <protection locked="0"/>
    </xf>
    <xf numFmtId="166" fontId="25" fillId="0" borderId="16" xfId="0" applyNumberFormat="1" applyFont="1" applyFill="1" applyBorder="1" applyAlignment="1" applyProtection="1">
      <alignment vertical="center" wrapText="1"/>
      <protection locked="0"/>
    </xf>
    <xf numFmtId="166" fontId="6" fillId="0" borderId="44" xfId="0" applyNumberFormat="1" applyFont="1" applyFill="1" applyBorder="1" applyAlignment="1" applyProtection="1">
      <alignment horizontal="left" vertical="center" wrapText="1"/>
      <protection locked="0"/>
    </xf>
    <xf numFmtId="166" fontId="6" fillId="0" borderId="15" xfId="0" applyNumberFormat="1" applyFont="1" applyFill="1" applyBorder="1" applyAlignment="1" applyProtection="1">
      <alignment vertical="center" wrapText="1"/>
      <protection locked="0"/>
    </xf>
    <xf numFmtId="0" fontId="78" fillId="0" borderId="44" xfId="0" applyFont="1" applyFill="1" applyBorder="1" applyAlignment="1">
      <alignment vertical="center"/>
    </xf>
    <xf numFmtId="166" fontId="6" fillId="0" borderId="23" xfId="0" applyNumberFormat="1" applyFont="1" applyFill="1" applyBorder="1" applyAlignment="1" applyProtection="1">
      <alignment vertical="center" wrapText="1"/>
      <protection locked="0"/>
    </xf>
    <xf numFmtId="166" fontId="6" fillId="0" borderId="72" xfId="0" applyNumberFormat="1" applyFont="1" applyFill="1" applyBorder="1" applyAlignment="1" applyProtection="1">
      <alignment vertical="center" wrapText="1"/>
      <protection locked="0"/>
    </xf>
    <xf numFmtId="49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8" xfId="0" applyNumberFormat="1" applyFont="1" applyFill="1" applyBorder="1" applyAlignment="1" applyProtection="1">
      <alignment vertical="center" wrapText="1"/>
      <protection locked="0"/>
    </xf>
    <xf numFmtId="0" fontId="78" fillId="0" borderId="42" xfId="0" applyFont="1" applyFill="1" applyBorder="1" applyAlignment="1">
      <alignment vertical="center"/>
    </xf>
    <xf numFmtId="166" fontId="6" fillId="0" borderId="70" xfId="0" applyNumberFormat="1" applyFont="1" applyFill="1" applyBorder="1" applyAlignment="1" applyProtection="1">
      <alignment vertical="center" wrapText="1"/>
      <protection locked="0"/>
    </xf>
    <xf numFmtId="49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4" xfId="0" applyNumberFormat="1" applyFont="1" applyFill="1" applyBorder="1" applyAlignment="1" applyProtection="1">
      <alignment vertical="center" wrapText="1"/>
      <protection locked="0"/>
    </xf>
    <xf numFmtId="166" fontId="1" fillId="0" borderId="49" xfId="0" applyNumberFormat="1" applyFont="1" applyFill="1" applyBorder="1" applyAlignment="1" applyProtection="1">
      <alignment horizontal="left" vertical="center" wrapText="1"/>
      <protection locked="0"/>
    </xf>
    <xf numFmtId="0" fontId="78" fillId="0" borderId="49" xfId="0" applyFont="1" applyFill="1" applyBorder="1" applyAlignment="1">
      <alignment vertical="center"/>
    </xf>
    <xf numFmtId="166" fontId="6" fillId="0" borderId="78" xfId="107" applyNumberFormat="1" applyFont="1" applyFill="1" applyBorder="1" applyAlignment="1" applyProtection="1">
      <alignment vertical="center" wrapText="1"/>
      <protection locked="0"/>
    </xf>
    <xf numFmtId="166" fontId="6" fillId="0" borderId="48" xfId="107" applyNumberFormat="1" applyFont="1" applyFill="1" applyBorder="1" applyAlignment="1" applyProtection="1">
      <alignment vertical="center" wrapText="1"/>
    </xf>
    <xf numFmtId="0" fontId="4" fillId="0" borderId="12" xfId="107" applyFont="1" applyFill="1" applyBorder="1" applyAlignment="1" applyProtection="1">
      <alignment horizontal="left" vertical="center"/>
    </xf>
    <xf numFmtId="0" fontId="4" fillId="0" borderId="86" xfId="107" applyFont="1" applyFill="1" applyBorder="1" applyAlignment="1" applyProtection="1">
      <alignment vertical="center" wrapText="1"/>
    </xf>
    <xf numFmtId="0" fontId="4" fillId="0" borderId="16" xfId="107" applyFont="1" applyFill="1" applyBorder="1" applyAlignment="1" applyProtection="1">
      <alignment vertical="center" wrapText="1"/>
    </xf>
    <xf numFmtId="0" fontId="4" fillId="0" borderId="15" xfId="107" applyFont="1" applyFill="1" applyBorder="1" applyAlignment="1" applyProtection="1">
      <alignment horizontal="left" vertical="center"/>
    </xf>
    <xf numFmtId="0" fontId="21" fillId="0" borderId="0" xfId="117"/>
    <xf numFmtId="0" fontId="48" fillId="0" borderId="0" xfId="117" applyFont="1" applyAlignment="1">
      <alignment horizontal="center" wrapText="1"/>
    </xf>
    <xf numFmtId="0" fontId="21" fillId="0" borderId="0" xfId="117" applyProtection="1"/>
    <xf numFmtId="0" fontId="3" fillId="0" borderId="12" xfId="117" applyFont="1" applyBorder="1" applyAlignment="1" applyProtection="1">
      <alignment horizontal="center" vertical="center" wrapText="1"/>
    </xf>
    <xf numFmtId="0" fontId="3" fillId="0" borderId="25" xfId="117" applyFont="1" applyBorder="1" applyAlignment="1" applyProtection="1">
      <alignment horizontal="center" vertical="center"/>
    </xf>
    <xf numFmtId="0" fontId="3" fillId="0" borderId="67" xfId="117" applyFont="1" applyBorder="1" applyAlignment="1" applyProtection="1">
      <alignment horizontal="center" vertical="center" wrapText="1"/>
    </xf>
    <xf numFmtId="0" fontId="22" fillId="0" borderId="15" xfId="117" applyFont="1" applyBorder="1" applyAlignment="1" applyProtection="1">
      <alignment horizontal="right" vertical="center" indent="1"/>
    </xf>
    <xf numFmtId="0" fontId="22" fillId="0" borderId="21" xfId="117" applyFont="1" applyBorder="1" applyAlignment="1" applyProtection="1">
      <alignment horizontal="left" vertical="center" indent="1"/>
      <protection locked="0"/>
    </xf>
    <xf numFmtId="0" fontId="22" fillId="0" borderId="25" xfId="117" applyFont="1" applyBorder="1" applyAlignment="1" applyProtection="1">
      <alignment horizontal="left" vertical="center" indent="1"/>
      <protection locked="0"/>
    </xf>
    <xf numFmtId="3" fontId="22" fillId="0" borderId="63" xfId="117" applyNumberFormat="1" applyFont="1" applyBorder="1" applyAlignment="1" applyProtection="1">
      <alignment horizontal="right" vertical="center" indent="1"/>
      <protection locked="0"/>
    </xf>
    <xf numFmtId="0" fontId="21" fillId="0" borderId="0" xfId="117" applyFill="1"/>
    <xf numFmtId="0" fontId="22" fillId="0" borderId="16" xfId="117" applyFont="1" applyBorder="1" applyAlignment="1" applyProtection="1">
      <alignment horizontal="left" vertical="center" indent="1"/>
      <protection locked="0"/>
    </xf>
    <xf numFmtId="0" fontId="22" fillId="0" borderId="24" xfId="117" applyFont="1" applyBorder="1" applyAlignment="1" applyProtection="1">
      <alignment horizontal="left" vertical="center" indent="1"/>
      <protection locked="0"/>
    </xf>
    <xf numFmtId="3" fontId="22" fillId="0" borderId="45" xfId="117" applyNumberFormat="1" applyFont="1" applyBorder="1" applyAlignment="1" applyProtection="1">
      <alignment horizontal="right" vertical="center" indent="1"/>
      <protection locked="0"/>
    </xf>
    <xf numFmtId="0" fontId="74" fillId="0" borderId="0" xfId="117" applyFont="1" applyFill="1"/>
    <xf numFmtId="3" fontId="22" fillId="0" borderId="45" xfId="117" applyNumberFormat="1" applyFont="1" applyFill="1" applyBorder="1" applyAlignment="1" applyProtection="1">
      <alignment horizontal="right" vertical="center" indent="1"/>
      <protection locked="0"/>
    </xf>
    <xf numFmtId="0" fontId="22" fillId="0" borderId="16" xfId="117" applyFont="1" applyBorder="1" applyAlignment="1" applyProtection="1">
      <alignment horizontal="left" vertical="center" wrapText="1" indent="1"/>
      <protection locked="0"/>
    </xf>
    <xf numFmtId="3" fontId="22" fillId="0" borderId="48" xfId="117" applyNumberFormat="1" applyFont="1" applyBorder="1" applyAlignment="1" applyProtection="1">
      <alignment horizontal="right" vertical="center" indent="1"/>
      <protection locked="0"/>
    </xf>
    <xf numFmtId="0" fontId="50" fillId="0" borderId="16" xfId="0" applyFont="1" applyBorder="1" applyAlignment="1">
      <alignment horizontal="left" indent="1"/>
    </xf>
    <xf numFmtId="0" fontId="50" fillId="0" borderId="16" xfId="0" applyFont="1" applyFill="1" applyBorder="1" applyAlignment="1">
      <alignment horizontal="left" indent="1"/>
    </xf>
    <xf numFmtId="166" fontId="2" fillId="24" borderId="54" xfId="117" applyNumberFormat="1" applyFont="1" applyFill="1" applyBorder="1" applyAlignment="1" applyProtection="1">
      <alignment horizontal="left" vertical="center" wrapText="1" indent="2"/>
    </xf>
    <xf numFmtId="3" fontId="3" fillId="0" borderId="52" xfId="117" applyNumberFormat="1" applyFont="1" applyFill="1" applyBorder="1" applyAlignment="1" applyProtection="1">
      <alignment horizontal="right" vertical="center" indent="1"/>
    </xf>
    <xf numFmtId="0" fontId="82" fillId="0" borderId="0" xfId="105" applyFont="1" applyFill="1" applyAlignment="1" applyProtection="1">
      <alignment horizontal="right"/>
    </xf>
    <xf numFmtId="3" fontId="55" fillId="25" borderId="43" xfId="106" applyNumberFormat="1" applyFont="1" applyFill="1" applyBorder="1" applyAlignment="1" applyProtection="1">
      <alignment horizontal="center" vertical="top" wrapText="1"/>
      <protection locked="0"/>
    </xf>
    <xf numFmtId="166" fontId="21" fillId="0" borderId="46" xfId="107" applyNumberFormat="1" applyFont="1" applyFill="1" applyBorder="1" applyAlignment="1" applyProtection="1">
      <alignment horizontal="left" vertical="center" wrapText="1" indent="1"/>
    </xf>
    <xf numFmtId="166" fontId="6" fillId="0" borderId="72" xfId="107" applyNumberFormat="1" applyFont="1" applyFill="1" applyBorder="1" applyAlignment="1" applyProtection="1">
      <alignment horizontal="left" vertical="center" wrapText="1" indent="1"/>
    </xf>
    <xf numFmtId="166" fontId="21" fillId="0" borderId="58" xfId="107" applyNumberFormat="1" applyFont="1" applyFill="1" applyBorder="1" applyAlignment="1" applyProtection="1">
      <alignment horizontal="left" vertical="center" wrapText="1" indent="1"/>
    </xf>
    <xf numFmtId="166" fontId="22" fillId="0" borderId="23" xfId="107" applyNumberFormat="1" applyFont="1" applyFill="1" applyBorder="1" applyAlignment="1" applyProtection="1">
      <alignment horizontal="left" vertical="center" wrapText="1" indent="1"/>
    </xf>
    <xf numFmtId="166" fontId="22" fillId="0" borderId="70" xfId="107" applyNumberFormat="1" applyFont="1" applyFill="1" applyBorder="1" applyAlignment="1" applyProtection="1">
      <alignment horizontal="left" vertical="center" wrapText="1" indent="1"/>
    </xf>
    <xf numFmtId="166" fontId="6" fillId="0" borderId="23" xfId="107" applyNumberFormat="1" applyFont="1" applyFill="1" applyBorder="1" applyAlignment="1" applyProtection="1">
      <alignment horizontal="left" vertical="center" wrapText="1" indent="1"/>
      <protection locked="0"/>
    </xf>
    <xf numFmtId="166" fontId="22" fillId="0" borderId="12" xfId="107" applyNumberFormat="1" applyFont="1" applyFill="1" applyBorder="1" applyAlignment="1" applyProtection="1">
      <alignment horizontal="left" vertical="center" wrapText="1" indent="1"/>
    </xf>
    <xf numFmtId="166" fontId="11" fillId="0" borderId="25" xfId="107" applyNumberFormat="1" applyFont="1" applyFill="1" applyBorder="1" applyAlignment="1" applyProtection="1">
      <alignment horizontal="right" vertical="center" wrapText="1" indent="1"/>
    </xf>
    <xf numFmtId="166" fontId="11" fillId="0" borderId="67" xfId="107" applyNumberFormat="1" applyFont="1" applyFill="1" applyBorder="1" applyAlignment="1" applyProtection="1">
      <alignment horizontal="right" vertical="center" wrapText="1" indent="1"/>
    </xf>
    <xf numFmtId="166" fontId="11" fillId="0" borderId="45" xfId="107" applyNumberFormat="1" applyFont="1" applyFill="1" applyBorder="1" applyAlignment="1" applyProtection="1">
      <alignment horizontal="right" vertical="center" wrapText="1" indent="1"/>
    </xf>
    <xf numFmtId="166" fontId="22" fillId="0" borderId="22" xfId="107" applyNumberFormat="1" applyFont="1" applyFill="1" applyBorder="1" applyAlignment="1" applyProtection="1">
      <alignment horizontal="left" vertical="center" wrapText="1" indent="1"/>
    </xf>
    <xf numFmtId="166" fontId="22" fillId="0" borderId="29" xfId="107" applyNumberFormat="1" applyFont="1" applyFill="1" applyBorder="1" applyAlignment="1" applyProtection="1">
      <alignment horizontal="right" vertical="center" wrapText="1" indent="1"/>
      <protection locked="0"/>
    </xf>
    <xf numFmtId="3" fontId="22" fillId="25" borderId="45" xfId="117" applyNumberFormat="1" applyFont="1" applyFill="1" applyBorder="1" applyAlignment="1" applyProtection="1">
      <alignment horizontal="right" vertical="center" indent="1"/>
      <protection locked="0"/>
    </xf>
    <xf numFmtId="0" fontId="21" fillId="25" borderId="0" xfId="117" applyFill="1"/>
    <xf numFmtId="164" fontId="22" fillId="25" borderId="32" xfId="66" applyNumberFormat="1" applyFont="1" applyFill="1" applyBorder="1" applyProtection="1">
      <protection locked="0"/>
    </xf>
    <xf numFmtId="166" fontId="8" fillId="0" borderId="25" xfId="102" applyNumberFormat="1" applyFont="1" applyFill="1" applyBorder="1" applyAlignment="1" applyProtection="1">
      <alignment horizontal="right" vertical="center" wrapText="1" indent="1"/>
    </xf>
    <xf numFmtId="166" fontId="22" fillId="0" borderId="16" xfId="102" applyNumberFormat="1" applyFont="1" applyFill="1" applyBorder="1" applyAlignment="1" applyProtection="1">
      <alignment horizontal="right" vertical="center" wrapText="1" indent="1"/>
    </xf>
    <xf numFmtId="0" fontId="7" fillId="0" borderId="25" xfId="102" applyFont="1" applyFill="1" applyBorder="1" applyAlignment="1" applyProtection="1">
      <alignment horizontal="left" vertical="center" wrapText="1" indent="1"/>
    </xf>
    <xf numFmtId="0" fontId="50" fillId="0" borderId="21" xfId="107" applyFont="1" applyBorder="1" applyAlignment="1" applyProtection="1">
      <alignment horizontal="left" wrapText="1" indent="1"/>
    </xf>
    <xf numFmtId="166" fontId="22" fillId="0" borderId="21" xfId="102" applyNumberFormat="1" applyFont="1" applyFill="1" applyBorder="1" applyAlignment="1" applyProtection="1">
      <alignment horizontal="right" vertical="center" wrapText="1" indent="1"/>
    </xf>
    <xf numFmtId="166" fontId="22" fillId="0" borderId="38" xfId="102" applyNumberFormat="1" applyFont="1" applyFill="1" applyBorder="1" applyAlignment="1" applyProtection="1">
      <alignment horizontal="right" vertical="center" wrapText="1" indent="1"/>
    </xf>
    <xf numFmtId="0" fontId="50" fillId="0" borderId="28" xfId="107" applyFont="1" applyBorder="1" applyAlignment="1" applyProtection="1">
      <alignment horizontal="left" wrapText="1" indent="1"/>
    </xf>
    <xf numFmtId="166" fontId="22" fillId="0" borderId="29" xfId="102" applyNumberFormat="1" applyFont="1" applyFill="1" applyBorder="1" applyAlignment="1" applyProtection="1">
      <alignment horizontal="right" vertical="center" wrapText="1" indent="1"/>
    </xf>
    <xf numFmtId="165" fontId="3" fillId="0" borderId="29" xfId="107" applyNumberFormat="1" applyFont="1" applyFill="1" applyBorder="1" applyAlignment="1" applyProtection="1">
      <alignment vertical="center" wrapText="1"/>
    </xf>
    <xf numFmtId="165" fontId="3" fillId="0" borderId="28" xfId="66" applyNumberFormat="1" applyFont="1" applyFill="1" applyBorder="1" applyAlignment="1" applyProtection="1">
      <alignment vertical="center" wrapText="1"/>
    </xf>
    <xf numFmtId="165" fontId="21" fillId="0" borderId="28" xfId="107" applyNumberFormat="1" applyFill="1" applyBorder="1" applyAlignment="1" applyProtection="1">
      <alignment vertical="center" wrapText="1"/>
    </xf>
    <xf numFmtId="165" fontId="4" fillId="0" borderId="45" xfId="107" applyNumberFormat="1" applyFont="1" applyFill="1" applyBorder="1" applyAlignment="1" applyProtection="1">
      <alignment vertical="center" wrapText="1"/>
      <protection locked="0"/>
    </xf>
    <xf numFmtId="165" fontId="4" fillId="0" borderId="16" xfId="107" applyNumberFormat="1" applyFont="1" applyFill="1" applyBorder="1" applyAlignment="1" applyProtection="1">
      <alignment vertical="center" wrapText="1"/>
      <protection locked="0"/>
    </xf>
    <xf numFmtId="165" fontId="4" fillId="0" borderId="67" xfId="107" applyNumberFormat="1" applyFont="1" applyFill="1" applyBorder="1" applyAlignment="1" applyProtection="1">
      <alignment vertical="center" wrapText="1"/>
      <protection locked="0"/>
    </xf>
    <xf numFmtId="165" fontId="4" fillId="0" borderId="25" xfId="107" applyNumberFormat="1" applyFont="1" applyFill="1" applyBorder="1" applyAlignment="1" applyProtection="1">
      <alignment vertical="center" wrapText="1"/>
      <protection locked="0"/>
    </xf>
    <xf numFmtId="165" fontId="4" fillId="0" borderId="36" xfId="107" applyNumberFormat="1" applyFont="1" applyFill="1" applyBorder="1" applyAlignment="1" applyProtection="1">
      <alignment vertical="center" wrapText="1"/>
      <protection locked="0"/>
    </xf>
    <xf numFmtId="165" fontId="4" fillId="0" borderId="11" xfId="107" applyNumberFormat="1" applyFont="1" applyFill="1" applyBorder="1" applyAlignment="1" applyProtection="1">
      <alignment vertical="center" wrapText="1"/>
      <protection locked="0"/>
    </xf>
    <xf numFmtId="166" fontId="22" fillId="0" borderId="45" xfId="107" quotePrefix="1" applyNumberFormat="1" applyFont="1" applyFill="1" applyBorder="1" applyAlignment="1" applyProtection="1">
      <alignment horizontal="right" vertical="center" wrapText="1" indent="2"/>
      <protection locked="0"/>
    </xf>
    <xf numFmtId="166" fontId="22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6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6" fillId="0" borderId="18" xfId="0" quotePrefix="1" applyNumberFormat="1" applyFont="1" applyFill="1" applyBorder="1" applyAlignment="1" applyProtection="1">
      <alignment vertical="center" wrapText="1"/>
      <protection locked="0"/>
    </xf>
    <xf numFmtId="166" fontId="7" fillId="0" borderId="41" xfId="107" applyNumberFormat="1" applyFont="1" applyFill="1" applyBorder="1" applyAlignment="1">
      <alignment horizontal="center" vertical="center" wrapText="1"/>
    </xf>
    <xf numFmtId="166" fontId="7" fillId="0" borderId="41" xfId="107" applyNumberFormat="1" applyFont="1" applyFill="1" applyBorder="1" applyAlignment="1">
      <alignment horizontal="center" vertical="center"/>
    </xf>
    <xf numFmtId="0" fontId="15" fillId="0" borderId="26" xfId="107" applyFont="1" applyFill="1" applyBorder="1" applyAlignment="1" applyProtection="1">
      <alignment horizontal="center" vertical="center" wrapText="1"/>
    </xf>
    <xf numFmtId="0" fontId="15" fillId="0" borderId="25" xfId="107" applyFont="1" applyFill="1" applyBorder="1" applyAlignment="1" applyProtection="1">
      <alignment horizontal="center" vertical="center" wrapText="1"/>
    </xf>
    <xf numFmtId="166" fontId="25" fillId="0" borderId="16" xfId="0" quotePrefix="1" applyNumberFormat="1" applyFont="1" applyFill="1" applyBorder="1" applyAlignment="1" applyProtection="1">
      <alignment vertical="center" wrapText="1"/>
      <protection locked="0"/>
    </xf>
    <xf numFmtId="166" fontId="0" fillId="0" borderId="20" xfId="0" applyNumberFormat="1" applyFont="1" applyFill="1" applyBorder="1" applyAlignment="1" applyProtection="1">
      <alignment horizontal="left" vertical="center" wrapText="1"/>
      <protection locked="0"/>
    </xf>
    <xf numFmtId="166" fontId="22" fillId="0" borderId="21" xfId="0" applyNumberFormat="1" applyFont="1" applyFill="1" applyBorder="1" applyAlignment="1" applyProtection="1">
      <alignment vertical="center" wrapText="1"/>
      <protection locked="0"/>
    </xf>
    <xf numFmtId="49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6" xfId="0" applyNumberFormat="1" applyFont="1" applyFill="1" applyBorder="1" applyAlignment="1" applyProtection="1">
      <alignment horizontal="center" vertical="center" wrapText="1"/>
      <protection locked="0"/>
    </xf>
    <xf numFmtId="166" fontId="25" fillId="0" borderId="15" xfId="0" applyNumberFormat="1" applyFont="1" applyFill="1" applyBorder="1" applyAlignment="1" applyProtection="1">
      <alignment horizontal="left" vertical="center" wrapText="1"/>
      <protection locked="0"/>
    </xf>
    <xf numFmtId="166" fontId="0" fillId="0" borderId="15" xfId="0" applyNumberFormat="1" applyFont="1" applyFill="1" applyBorder="1" applyAlignment="1" applyProtection="1">
      <alignment horizontal="left" vertical="center" wrapText="1"/>
      <protection locked="0"/>
    </xf>
    <xf numFmtId="166" fontId="7" fillId="0" borderId="16" xfId="107" applyNumberFormat="1" applyFont="1" applyFill="1" applyBorder="1" applyAlignment="1" applyProtection="1">
      <alignment vertical="center" wrapText="1"/>
    </xf>
    <xf numFmtId="166" fontId="6" fillId="0" borderId="14" xfId="0" quotePrefix="1" applyNumberFormat="1" applyFont="1" applyFill="1" applyBorder="1" applyAlignment="1" applyProtection="1">
      <alignment vertical="center" wrapText="1"/>
      <protection locked="0"/>
    </xf>
    <xf numFmtId="166" fontId="22" fillId="0" borderId="45" xfId="107" applyNumberFormat="1" applyFont="1" applyFill="1" applyBorder="1" applyAlignment="1" applyProtection="1">
      <alignment vertical="center" wrapText="1"/>
    </xf>
    <xf numFmtId="49" fontId="80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6" xfId="122" applyNumberFormat="1" applyFont="1" applyFill="1" applyBorder="1" applyAlignment="1" applyProtection="1">
      <alignment vertical="center" wrapText="1"/>
      <protection locked="0"/>
    </xf>
    <xf numFmtId="0" fontId="50" fillId="0" borderId="15" xfId="122" quotePrefix="1" applyFont="1" applyFill="1" applyBorder="1" applyAlignment="1">
      <alignment vertical="center" wrapText="1"/>
    </xf>
    <xf numFmtId="49" fontId="6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6" fillId="0" borderId="16" xfId="122" applyNumberFormat="1" applyFont="1" applyFill="1" applyBorder="1" applyAlignment="1" applyProtection="1">
      <alignment vertical="center" wrapText="1"/>
      <protection locked="0"/>
    </xf>
    <xf numFmtId="166" fontId="89" fillId="0" borderId="45" xfId="122" applyNumberFormat="1" applyFont="1" applyFill="1" applyBorder="1" applyAlignment="1" applyProtection="1">
      <alignment vertical="center" wrapText="1"/>
    </xf>
    <xf numFmtId="0" fontId="22" fillId="0" borderId="15" xfId="102" applyFont="1" applyFill="1" applyBorder="1" applyProtection="1">
      <protection locked="0"/>
    </xf>
    <xf numFmtId="166" fontId="25" fillId="0" borderId="16" xfId="122" applyNumberFormat="1" applyFont="1" applyFill="1" applyBorder="1" applyAlignment="1" applyProtection="1">
      <alignment vertical="center" wrapText="1"/>
      <protection locked="0"/>
    </xf>
    <xf numFmtId="49" fontId="22" fillId="0" borderId="16" xfId="122" applyNumberFormat="1" applyFont="1" applyFill="1" applyBorder="1" applyAlignment="1" applyProtection="1">
      <alignment horizontal="center" vertical="center" wrapText="1"/>
      <protection locked="0"/>
    </xf>
    <xf numFmtId="17" fontId="57" fillId="0" borderId="19" xfId="122" applyNumberFormat="1" applyFont="1" applyBorder="1" applyAlignment="1">
      <alignment horizontal="left" vertical="center" wrapText="1"/>
    </xf>
    <xf numFmtId="49" fontId="14" fillId="0" borderId="24" xfId="122" applyNumberFormat="1" applyFont="1" applyFill="1" applyBorder="1" applyAlignment="1" applyProtection="1">
      <alignment horizontal="center" vertical="center" wrapText="1"/>
      <protection locked="0"/>
    </xf>
    <xf numFmtId="166" fontId="25" fillId="0" borderId="24" xfId="122" applyNumberFormat="1" applyFont="1" applyFill="1" applyBorder="1" applyAlignment="1" applyProtection="1">
      <alignment vertical="center" wrapText="1"/>
      <protection locked="0"/>
    </xf>
    <xf numFmtId="166" fontId="90" fillId="0" borderId="48" xfId="122" applyNumberFormat="1" applyFont="1" applyFill="1" applyBorder="1" applyAlignment="1" applyProtection="1">
      <alignment vertical="center" wrapText="1"/>
    </xf>
    <xf numFmtId="49" fontId="80" fillId="0" borderId="11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1" xfId="122" applyNumberFormat="1" applyFont="1" applyFill="1" applyBorder="1" applyAlignment="1" applyProtection="1">
      <alignment vertical="center" wrapText="1"/>
      <protection locked="0"/>
    </xf>
    <xf numFmtId="49" fontId="80" fillId="0" borderId="18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18" xfId="122" applyNumberFormat="1" applyFont="1" applyFill="1" applyBorder="1" applyAlignment="1" applyProtection="1">
      <alignment vertical="center" wrapText="1"/>
      <protection locked="0"/>
    </xf>
    <xf numFmtId="166" fontId="6" fillId="0" borderId="15" xfId="122" applyNumberFormat="1" applyFont="1" applyFill="1" applyBorder="1" applyAlignment="1" applyProtection="1">
      <alignment horizontal="left" vertical="center" wrapText="1"/>
      <protection locked="0"/>
    </xf>
    <xf numFmtId="166" fontId="22" fillId="0" borderId="15" xfId="122" applyNumberFormat="1" applyFont="1" applyFill="1" applyBorder="1" applyAlignment="1" applyProtection="1">
      <alignment horizontal="left" vertical="center" wrapText="1"/>
      <protection locked="0"/>
    </xf>
    <xf numFmtId="166" fontId="22" fillId="0" borderId="16" xfId="122" applyNumberFormat="1" applyFont="1" applyFill="1" applyBorder="1" applyAlignment="1" applyProtection="1">
      <alignment vertical="center" wrapText="1"/>
      <protection locked="0"/>
    </xf>
    <xf numFmtId="17" fontId="50" fillId="0" borderId="15" xfId="122" applyNumberFormat="1" applyFont="1" applyBorder="1" applyAlignment="1">
      <alignment horizontal="left" vertical="center" wrapText="1"/>
    </xf>
    <xf numFmtId="0" fontId="65" fillId="0" borderId="15" xfId="122" applyFont="1" applyFill="1" applyBorder="1" applyAlignment="1">
      <alignment vertical="center"/>
    </xf>
    <xf numFmtId="49" fontId="91" fillId="0" borderId="16" xfId="122" applyNumberFormat="1" applyFont="1" applyFill="1" applyBorder="1" applyAlignment="1" applyProtection="1">
      <alignment horizontal="center" vertical="center" wrapText="1"/>
      <protection locked="0"/>
    </xf>
    <xf numFmtId="166" fontId="91" fillId="0" borderId="16" xfId="122" applyNumberFormat="1" applyFont="1" applyFill="1" applyBorder="1" applyAlignment="1" applyProtection="1">
      <alignment vertical="center" wrapText="1"/>
      <protection locked="0"/>
    </xf>
    <xf numFmtId="166" fontId="92" fillId="0" borderId="45" xfId="122" applyNumberFormat="1" applyFont="1" applyFill="1" applyBorder="1" applyAlignment="1" applyProtection="1">
      <alignment vertical="center" wrapText="1"/>
    </xf>
    <xf numFmtId="0" fontId="50" fillId="0" borderId="15" xfId="122" applyFont="1" applyFill="1" applyBorder="1" applyAlignment="1">
      <alignment vertical="center"/>
    </xf>
    <xf numFmtId="0" fontId="50" fillId="0" borderId="15" xfId="122" applyFont="1" applyFill="1" applyBorder="1" applyAlignment="1">
      <alignment vertical="center" wrapText="1"/>
    </xf>
    <xf numFmtId="0" fontId="50" fillId="0" borderId="15" xfId="123" applyFont="1" applyFill="1" applyBorder="1" applyAlignment="1">
      <alignment vertical="center"/>
    </xf>
    <xf numFmtId="3" fontId="22" fillId="0" borderId="15" xfId="119" applyNumberFormat="1" applyFont="1" applyFill="1" applyBorder="1" applyAlignment="1">
      <alignment vertical="center" wrapText="1"/>
    </xf>
    <xf numFmtId="49" fontId="80" fillId="0" borderId="21" xfId="122" applyNumberFormat="1" applyFont="1" applyFill="1" applyBorder="1" applyAlignment="1" applyProtection="1">
      <alignment horizontal="center" vertical="center" wrapText="1"/>
      <protection locked="0"/>
    </xf>
    <xf numFmtId="166" fontId="80" fillId="0" borderId="21" xfId="122" applyNumberFormat="1" applyFont="1" applyFill="1" applyBorder="1" applyAlignment="1" applyProtection="1">
      <alignment vertical="center" wrapText="1"/>
      <protection locked="0"/>
    </xf>
    <xf numFmtId="166" fontId="80" fillId="0" borderId="21" xfId="107" applyNumberFormat="1" applyFont="1" applyFill="1" applyBorder="1" applyAlignment="1" applyProtection="1">
      <alignment vertical="center" wrapText="1"/>
      <protection locked="0"/>
    </xf>
    <xf numFmtId="166" fontId="80" fillId="0" borderId="38" xfId="107" applyNumberFormat="1" applyFont="1" applyFill="1" applyBorder="1" applyAlignment="1" applyProtection="1">
      <alignment vertical="center" wrapText="1"/>
    </xf>
    <xf numFmtId="0" fontId="50" fillId="0" borderId="15" xfId="122" quotePrefix="1" applyFont="1" applyFill="1" applyBorder="1" applyAlignment="1">
      <alignment vertical="center"/>
    </xf>
    <xf numFmtId="0" fontId="1" fillId="0" borderId="0" xfId="122"/>
    <xf numFmtId="17" fontId="50" fillId="0" borderId="22" xfId="122" applyNumberFormat="1" applyFont="1" applyBorder="1" applyAlignment="1">
      <alignment horizontal="left" vertical="center" wrapText="1"/>
    </xf>
    <xf numFmtId="49" fontId="6" fillId="0" borderId="28" xfId="122" applyNumberFormat="1" applyFont="1" applyFill="1" applyBorder="1" applyAlignment="1" applyProtection="1">
      <alignment horizontal="center" vertical="center" wrapText="1"/>
      <protection locked="0"/>
    </xf>
    <xf numFmtId="166" fontId="22" fillId="0" borderId="28" xfId="122" applyNumberFormat="1" applyFont="1" applyFill="1" applyBorder="1" applyAlignment="1" applyProtection="1">
      <alignment vertical="center" wrapText="1"/>
      <protection locked="0"/>
    </xf>
    <xf numFmtId="166" fontId="89" fillId="0" borderId="29" xfId="122" applyNumberFormat="1" applyFont="1" applyFill="1" applyBorder="1" applyAlignment="1" applyProtection="1">
      <alignment vertical="center" wrapText="1"/>
    </xf>
    <xf numFmtId="166" fontId="81" fillId="0" borderId="11" xfId="122" applyNumberFormat="1" applyFont="1" applyFill="1" applyBorder="1" applyAlignment="1" applyProtection="1">
      <alignment vertical="center" wrapText="1"/>
      <protection locked="0"/>
    </xf>
    <xf numFmtId="166" fontId="21" fillId="0" borderId="16" xfId="107" applyNumberFormat="1" applyFont="1" applyFill="1" applyBorder="1" applyAlignment="1">
      <alignment vertical="center" wrapText="1"/>
    </xf>
    <xf numFmtId="166" fontId="22" fillId="0" borderId="16" xfId="107" applyNumberFormat="1" applyFont="1" applyFill="1" applyBorder="1" applyAlignment="1" applyProtection="1">
      <alignment vertical="center" wrapText="1"/>
      <protection locked="0"/>
    </xf>
    <xf numFmtId="166" fontId="21" fillId="0" borderId="45" xfId="107" applyNumberFormat="1" applyFont="1" applyFill="1" applyBorder="1" applyAlignment="1" applyProtection="1">
      <alignment vertical="center" wrapText="1"/>
    </xf>
    <xf numFmtId="166" fontId="21" fillId="0" borderId="28" xfId="107" applyNumberFormat="1" applyFont="1" applyFill="1" applyBorder="1" applyAlignment="1">
      <alignment vertical="center" wrapText="1"/>
    </xf>
    <xf numFmtId="166" fontId="22" fillId="0" borderId="28" xfId="107" applyNumberFormat="1" applyFont="1" applyFill="1" applyBorder="1" applyAlignment="1" applyProtection="1">
      <alignment vertical="center" wrapText="1"/>
      <protection locked="0"/>
    </xf>
    <xf numFmtId="166" fontId="21" fillId="0" borderId="29" xfId="107" applyNumberFormat="1" applyFont="1" applyFill="1" applyBorder="1" applyAlignment="1" applyProtection="1">
      <alignment vertical="center" wrapText="1"/>
    </xf>
    <xf numFmtId="166" fontId="25" fillId="0" borderId="22" xfId="0" applyNumberFormat="1" applyFont="1" applyFill="1" applyBorder="1" applyAlignment="1" applyProtection="1">
      <alignment horizontal="left" vertical="center" wrapText="1"/>
      <protection locked="0"/>
    </xf>
    <xf numFmtId="166" fontId="25" fillId="0" borderId="28" xfId="0" applyNumberFormat="1" applyFont="1" applyFill="1" applyBorder="1" applyAlignment="1" applyProtection="1">
      <alignment vertical="center" wrapText="1"/>
      <protection locked="0"/>
    </xf>
    <xf numFmtId="49" fontId="25" fillId="0" borderId="28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6" xfId="107" applyNumberFormat="1" applyFont="1" applyFill="1" applyBorder="1" applyAlignment="1" applyProtection="1">
      <alignment horizontal="center" vertical="center" wrapText="1"/>
      <protection locked="0"/>
    </xf>
    <xf numFmtId="167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22" fillId="0" borderId="81" xfId="0" applyNumberFormat="1" applyFont="1" applyFill="1" applyBorder="1" applyAlignment="1" applyProtection="1">
      <alignment horizontal="left" vertical="center" wrapText="1" indent="1"/>
      <protection locked="0"/>
    </xf>
    <xf numFmtId="166" fontId="8" fillId="0" borderId="11" xfId="107" applyNumberFormat="1" applyFont="1" applyFill="1" applyBorder="1" applyAlignment="1" applyProtection="1">
      <alignment horizontal="left" vertical="center" wrapText="1" indent="1"/>
    </xf>
    <xf numFmtId="166" fontId="22" fillId="0" borderId="16" xfId="107" quotePrefix="1" applyNumberFormat="1" applyFont="1" applyFill="1" applyBorder="1" applyAlignment="1" applyProtection="1">
      <alignment horizontal="right" vertical="center" wrapText="1"/>
    </xf>
    <xf numFmtId="166" fontId="22" fillId="0" borderId="47" xfId="107" quotePrefix="1" applyNumberFormat="1" applyFont="1" applyFill="1" applyBorder="1" applyAlignment="1" applyProtection="1">
      <alignment horizontal="right" vertical="center" wrapText="1"/>
    </xf>
    <xf numFmtId="166" fontId="22" fillId="0" borderId="44" xfId="107" quotePrefix="1" applyNumberFormat="1" applyFont="1" applyFill="1" applyBorder="1" applyAlignment="1" applyProtection="1">
      <alignment horizontal="right" vertical="center" wrapText="1"/>
    </xf>
    <xf numFmtId="166" fontId="6" fillId="0" borderId="61" xfId="107" applyNumberFormat="1" applyFont="1" applyFill="1" applyBorder="1" applyAlignment="1" applyProtection="1">
      <alignment vertical="center" wrapText="1"/>
    </xf>
    <xf numFmtId="166" fontId="8" fillId="0" borderId="44" xfId="107" quotePrefix="1" applyNumberFormat="1" applyFont="1" applyFill="1" applyBorder="1" applyAlignment="1" applyProtection="1">
      <alignment horizontal="right" vertical="center" wrapText="1"/>
    </xf>
    <xf numFmtId="166" fontId="7" fillId="0" borderId="85" xfId="107" applyNumberFormat="1" applyFont="1" applyFill="1" applyBorder="1" applyAlignment="1" applyProtection="1">
      <alignment horizontal="center" vertical="center" wrapText="1"/>
    </xf>
    <xf numFmtId="166" fontId="8" fillId="0" borderId="69" xfId="107" applyNumberFormat="1" applyFont="1" applyFill="1" applyBorder="1" applyAlignment="1" applyProtection="1">
      <alignment horizontal="left" vertical="center" wrapText="1" indent="1"/>
    </xf>
    <xf numFmtId="166" fontId="22" fillId="0" borderId="23" xfId="107" applyNumberFormat="1" applyFont="1" applyFill="1" applyBorder="1" applyAlignment="1" applyProtection="1">
      <alignment horizontal="left" vertical="center" wrapText="1" indent="1"/>
      <protection locked="0"/>
    </xf>
    <xf numFmtId="166" fontId="8" fillId="0" borderId="23" xfId="107" applyNumberFormat="1" applyFont="1" applyFill="1" applyBorder="1" applyAlignment="1" applyProtection="1">
      <alignment horizontal="left" vertical="center" wrapText="1" indent="1"/>
    </xf>
    <xf numFmtId="0" fontId="22" fillId="0" borderId="23" xfId="102" applyFont="1" applyFill="1" applyBorder="1" applyAlignment="1" applyProtection="1">
      <alignment horizontal="left" vertical="center" wrapText="1" indent="1"/>
      <protection locked="0"/>
    </xf>
    <xf numFmtId="0" fontId="22" fillId="0" borderId="70" xfId="102" applyFont="1" applyFill="1" applyBorder="1" applyAlignment="1" applyProtection="1">
      <alignment horizontal="left" vertical="center" wrapText="1" indent="1"/>
      <protection locked="0"/>
    </xf>
    <xf numFmtId="166" fontId="8" fillId="0" borderId="70" xfId="107" applyNumberFormat="1" applyFont="1" applyFill="1" applyBorder="1" applyAlignment="1" applyProtection="1">
      <alignment horizontal="left" vertical="center" wrapText="1" indent="1"/>
    </xf>
    <xf numFmtId="166" fontId="7" fillId="0" borderId="57" xfId="107" applyNumberFormat="1" applyFont="1" applyFill="1" applyBorder="1" applyAlignment="1" applyProtection="1">
      <alignment horizontal="right" vertical="center" wrapText="1" indent="1"/>
    </xf>
    <xf numFmtId="166" fontId="7" fillId="0" borderId="44" xfId="107" applyNumberFormat="1" applyFont="1" applyFill="1" applyBorder="1" applyAlignment="1" applyProtection="1">
      <alignment horizontal="right" vertical="center" wrapText="1" indent="1"/>
    </xf>
    <xf numFmtId="166" fontId="7" fillId="0" borderId="61" xfId="107" applyNumberFormat="1" applyFont="1" applyFill="1" applyBorder="1" applyAlignment="1" applyProtection="1">
      <alignment horizontal="right" vertical="center" wrapText="1" indent="1"/>
    </xf>
    <xf numFmtId="166" fontId="7" fillId="0" borderId="10" xfId="107" applyNumberFormat="1" applyFont="1" applyFill="1" applyBorder="1" applyAlignment="1" applyProtection="1">
      <alignment horizontal="right" vertical="center" wrapText="1" indent="1"/>
    </xf>
    <xf numFmtId="0" fontId="55" fillId="0" borderId="0" xfId="105" applyFill="1" applyBorder="1" applyProtection="1"/>
    <xf numFmtId="0" fontId="51" fillId="0" borderId="0" xfId="105" applyFont="1" applyFill="1" applyBorder="1" applyAlignment="1" applyProtection="1">
      <alignment horizontal="center" vertical="center" wrapText="1"/>
    </xf>
    <xf numFmtId="0" fontId="55" fillId="0" borderId="0" xfId="105" applyFill="1" applyBorder="1" applyAlignment="1" applyProtection="1">
      <alignment horizontal="center" vertical="center"/>
    </xf>
    <xf numFmtId="171" fontId="64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3" fillId="0" borderId="0" xfId="105" applyNumberFormat="1" applyFont="1" applyFill="1" applyBorder="1" applyAlignment="1" applyProtection="1">
      <alignment horizontal="right" vertical="center" wrapText="1"/>
      <protection locked="0"/>
    </xf>
    <xf numFmtId="0" fontId="55" fillId="0" borderId="0" xfId="105" applyFill="1" applyBorder="1" applyAlignment="1" applyProtection="1">
      <alignment vertical="center"/>
    </xf>
    <xf numFmtId="171" fontId="64" fillId="0" borderId="0" xfId="105" applyNumberFormat="1" applyFont="1" applyFill="1" applyBorder="1" applyAlignment="1" applyProtection="1">
      <alignment horizontal="right" vertical="center" wrapText="1"/>
    </xf>
    <xf numFmtId="171" fontId="53" fillId="0" borderId="0" xfId="105" applyNumberFormat="1" applyFont="1" applyFill="1" applyBorder="1" applyAlignment="1" applyProtection="1">
      <alignment horizontal="right" vertical="center" wrapText="1"/>
    </xf>
    <xf numFmtId="171" fontId="51" fillId="25" borderId="16" xfId="105" applyNumberFormat="1" applyFont="1" applyFill="1" applyBorder="1" applyAlignment="1" applyProtection="1">
      <alignment horizontal="right" vertical="center" wrapText="1"/>
      <protection locked="0"/>
    </xf>
    <xf numFmtId="171" fontId="66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1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0" fillId="0" borderId="0" xfId="105" applyNumberFormat="1" applyFont="1" applyFill="1" applyBorder="1" applyAlignment="1" applyProtection="1">
      <alignment horizontal="right" vertical="center" wrapText="1"/>
    </xf>
    <xf numFmtId="171" fontId="50" fillId="25" borderId="16" xfId="105" applyNumberFormat="1" applyFont="1" applyFill="1" applyBorder="1" applyAlignment="1" applyProtection="1">
      <alignment horizontal="right" vertical="center" wrapText="1"/>
      <protection locked="0"/>
    </xf>
    <xf numFmtId="171" fontId="84" fillId="0" borderId="0" xfId="105" applyNumberFormat="1" applyFont="1" applyFill="1" applyBorder="1" applyAlignment="1" applyProtection="1">
      <alignment horizontal="right" vertical="center" wrapText="1"/>
      <protection locked="0"/>
    </xf>
    <xf numFmtId="171" fontId="53" fillId="25" borderId="0" xfId="105" applyNumberFormat="1" applyFont="1" applyFill="1" applyBorder="1" applyAlignment="1" applyProtection="1">
      <alignment horizontal="right" vertical="center" wrapText="1"/>
      <protection locked="0"/>
    </xf>
    <xf numFmtId="169" fontId="7" fillId="0" borderId="36" xfId="104" applyNumberFormat="1" applyFont="1" applyFill="1" applyBorder="1" applyAlignment="1" applyProtection="1">
      <alignment horizontal="right" vertical="center"/>
    </xf>
    <xf numFmtId="0" fontId="48" fillId="0" borderId="0" xfId="102" applyFont="1" applyFill="1" applyAlignment="1" applyProtection="1">
      <alignment horizontal="center"/>
    </xf>
    <xf numFmtId="166" fontId="20" fillId="0" borderId="0" xfId="102" applyNumberFormat="1" applyFont="1" applyFill="1" applyBorder="1" applyAlignment="1" applyProtection="1">
      <alignment horizontal="center" vertical="center"/>
    </xf>
    <xf numFmtId="0" fontId="15" fillId="0" borderId="20" xfId="102" applyFont="1" applyFill="1" applyBorder="1" applyAlignment="1" applyProtection="1">
      <alignment horizontal="center" vertical="center" wrapText="1"/>
    </xf>
    <xf numFmtId="0" fontId="15" fillId="0" borderId="22" xfId="102" applyFont="1" applyFill="1" applyBorder="1" applyAlignment="1" applyProtection="1">
      <alignment horizontal="center" vertical="center" wrapText="1"/>
    </xf>
    <xf numFmtId="0" fontId="15" fillId="0" borderId="21" xfId="102" applyFont="1" applyFill="1" applyBorder="1" applyAlignment="1" applyProtection="1">
      <alignment horizontal="center" vertical="center" wrapText="1"/>
    </xf>
    <xf numFmtId="0" fontId="15" fillId="0" borderId="28" xfId="102" applyFont="1" applyFill="1" applyBorder="1" applyAlignment="1" applyProtection="1">
      <alignment horizontal="center" vertical="center" wrapText="1"/>
    </xf>
    <xf numFmtId="166" fontId="26" fillId="0" borderId="21" xfId="102" applyNumberFormat="1" applyFont="1" applyFill="1" applyBorder="1" applyAlignment="1" applyProtection="1">
      <alignment horizontal="center" vertical="center"/>
    </xf>
    <xf numFmtId="166" fontId="26" fillId="0" borderId="63" xfId="102" applyNumberFormat="1" applyFont="1" applyFill="1" applyBorder="1" applyAlignment="1" applyProtection="1">
      <alignment horizontal="center" vertical="center"/>
    </xf>
    <xf numFmtId="166" fontId="26" fillId="0" borderId="56" xfId="107" applyNumberFormat="1" applyFont="1" applyFill="1" applyBorder="1" applyAlignment="1" applyProtection="1">
      <alignment horizontal="center" vertical="center" wrapText="1"/>
    </xf>
    <xf numFmtId="166" fontId="26" fillId="0" borderId="54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 applyProtection="1">
      <alignment horizontal="center" textRotation="180" wrapText="1"/>
    </xf>
    <xf numFmtId="166" fontId="26" fillId="0" borderId="57" xfId="107" applyNumberFormat="1" applyFont="1" applyFill="1" applyBorder="1" applyAlignment="1" applyProtection="1">
      <alignment horizontal="center" vertical="center" wrapText="1"/>
    </xf>
    <xf numFmtId="166" fontId="26" fillId="0" borderId="61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 applyProtection="1">
      <alignment horizontal="center" textRotation="180" wrapText="1"/>
      <protection locked="0"/>
    </xf>
    <xf numFmtId="166" fontId="46" fillId="0" borderId="27" xfId="107" applyNumberFormat="1" applyFont="1" applyFill="1" applyBorder="1" applyAlignment="1" applyProtection="1">
      <alignment horizontal="right" wrapText="1"/>
    </xf>
    <xf numFmtId="166" fontId="48" fillId="0" borderId="0" xfId="107" applyNumberFormat="1" applyFont="1" applyFill="1" applyAlignment="1">
      <alignment horizontal="center" vertical="center" wrapText="1"/>
    </xf>
    <xf numFmtId="0" fontId="5" fillId="0" borderId="0" xfId="107" applyNumberFormat="1" applyFont="1" applyFill="1" applyAlignment="1" applyProtection="1">
      <alignment horizontal="center" textRotation="180" wrapText="1"/>
      <protection locked="0"/>
    </xf>
    <xf numFmtId="166" fontId="48" fillId="0" borderId="27" xfId="107" applyNumberFormat="1" applyFont="1" applyFill="1" applyBorder="1" applyAlignment="1" applyProtection="1">
      <alignment horizontal="center" vertical="center" wrapText="1"/>
    </xf>
    <xf numFmtId="166" fontId="5" fillId="0" borderId="0" xfId="107" applyNumberFormat="1" applyFont="1" applyFill="1" applyAlignment="1">
      <alignment horizontal="center" vertical="center" textRotation="180" wrapText="1"/>
    </xf>
    <xf numFmtId="166" fontId="21" fillId="0" borderId="64" xfId="107" applyNumberFormat="1" applyFill="1" applyBorder="1" applyAlignment="1" applyProtection="1">
      <alignment horizontal="left" vertical="center" wrapText="1"/>
      <protection locked="0"/>
    </xf>
    <xf numFmtId="166" fontId="21" fillId="0" borderId="84" xfId="107" applyNumberFormat="1" applyFill="1" applyBorder="1" applyAlignment="1" applyProtection="1">
      <alignment horizontal="left" vertical="center" wrapText="1"/>
      <protection locked="0"/>
    </xf>
    <xf numFmtId="165" fontId="51" fillId="0" borderId="62" xfId="107" applyNumberFormat="1" applyFont="1" applyFill="1" applyBorder="1" applyAlignment="1">
      <alignment horizontal="left" vertical="center" wrapText="1"/>
    </xf>
    <xf numFmtId="165" fontId="20" fillId="0" borderId="0" xfId="107" applyNumberFormat="1" applyFont="1" applyFill="1" applyBorder="1" applyAlignment="1">
      <alignment horizontal="center" vertical="center" wrapText="1"/>
    </xf>
    <xf numFmtId="166" fontId="46" fillId="0" borderId="27" xfId="107" applyNumberFormat="1" applyFont="1" applyFill="1" applyBorder="1" applyAlignment="1">
      <alignment horizontal="right" vertical="center"/>
    </xf>
    <xf numFmtId="166" fontId="3" fillId="0" borderId="26" xfId="107" applyNumberFormat="1" applyFont="1" applyFill="1" applyBorder="1" applyAlignment="1">
      <alignment horizontal="center" vertical="center" wrapText="1"/>
    </xf>
    <xf numFmtId="166" fontId="3" fillId="0" borderId="83" xfId="107" applyNumberFormat="1" applyFont="1" applyFill="1" applyBorder="1" applyAlignment="1">
      <alignment horizontal="center" vertical="center" wrapText="1"/>
    </xf>
    <xf numFmtId="166" fontId="21" fillId="0" borderId="55" xfId="107" applyNumberFormat="1" applyFill="1" applyBorder="1" applyAlignment="1" applyProtection="1">
      <alignment horizontal="left" vertical="center" wrapText="1"/>
      <protection locked="0"/>
    </xf>
    <xf numFmtId="166" fontId="21" fillId="0" borderId="75" xfId="107" applyNumberFormat="1" applyFill="1" applyBorder="1" applyAlignment="1" applyProtection="1">
      <alignment horizontal="left" vertical="center" wrapText="1"/>
      <protection locked="0"/>
    </xf>
    <xf numFmtId="166" fontId="48" fillId="0" borderId="0" xfId="107" applyNumberFormat="1" applyFont="1" applyFill="1" applyAlignment="1">
      <alignment horizontal="left" vertical="center" wrapText="1"/>
    </xf>
    <xf numFmtId="166" fontId="21" fillId="0" borderId="0" xfId="107" applyNumberFormat="1" applyFont="1" applyFill="1" applyAlignment="1" applyProtection="1">
      <alignment horizontal="left" vertical="center" wrapText="1"/>
      <protection locked="0"/>
    </xf>
    <xf numFmtId="166" fontId="21" fillId="0" borderId="0" xfId="107" applyNumberFormat="1" applyFill="1" applyAlignment="1" applyProtection="1">
      <alignment horizontal="left" vertical="center" wrapText="1"/>
      <protection locked="0"/>
    </xf>
    <xf numFmtId="0" fontId="5" fillId="0" borderId="0" xfId="107" applyFont="1" applyFill="1" applyAlignment="1">
      <alignment horizontal="center" textRotation="180"/>
    </xf>
    <xf numFmtId="166" fontId="17" fillId="0" borderId="27" xfId="107" applyNumberFormat="1" applyFont="1" applyFill="1" applyBorder="1" applyAlignment="1">
      <alignment horizontal="center" vertical="center" wrapText="1"/>
    </xf>
    <xf numFmtId="166" fontId="15" fillId="0" borderId="85" xfId="107" applyNumberFormat="1" applyFont="1" applyFill="1" applyBorder="1" applyAlignment="1">
      <alignment horizontal="center" vertical="center"/>
    </xf>
    <xf numFmtId="166" fontId="15" fillId="0" borderId="46" xfId="107" applyNumberFormat="1" applyFont="1" applyFill="1" applyBorder="1" applyAlignment="1">
      <alignment horizontal="center" vertical="center"/>
    </xf>
    <xf numFmtId="166" fontId="15" fillId="0" borderId="53" xfId="107" applyNumberFormat="1" applyFont="1" applyFill="1" applyBorder="1" applyAlignment="1">
      <alignment horizontal="center" vertical="center"/>
    </xf>
    <xf numFmtId="166" fontId="26" fillId="0" borderId="41" xfId="107" applyNumberFormat="1" applyFont="1" applyFill="1" applyBorder="1" applyAlignment="1">
      <alignment horizontal="center" vertical="center" wrapText="1"/>
    </xf>
    <xf numFmtId="166" fontId="15" fillId="0" borderId="56" xfId="107" applyNumberFormat="1" applyFont="1" applyFill="1" applyBorder="1" applyAlignment="1">
      <alignment horizontal="center" vertical="center" wrapText="1"/>
    </xf>
    <xf numFmtId="166" fontId="15" fillId="0" borderId="49" xfId="107" applyNumberFormat="1" applyFont="1" applyFill="1" applyBorder="1" applyAlignment="1">
      <alignment horizontal="center" vertical="center" wrapText="1"/>
    </xf>
    <xf numFmtId="166" fontId="7" fillId="0" borderId="41" xfId="107" applyNumberFormat="1" applyFont="1" applyFill="1" applyBorder="1" applyAlignment="1">
      <alignment horizontal="center" vertical="center"/>
    </xf>
    <xf numFmtId="166" fontId="7" fillId="0" borderId="41" xfId="107" applyNumberFormat="1" applyFont="1" applyFill="1" applyBorder="1" applyAlignment="1">
      <alignment horizontal="center" vertical="center" wrapText="1"/>
    </xf>
    <xf numFmtId="166" fontId="3" fillId="0" borderId="26" xfId="107" applyNumberFormat="1" applyFont="1" applyFill="1" applyBorder="1" applyAlignment="1">
      <alignment horizontal="left" vertical="center" wrapText="1" indent="2"/>
    </xf>
    <xf numFmtId="166" fontId="3" fillId="0" borderId="83" xfId="107" applyNumberFormat="1" applyFont="1" applyFill="1" applyBorder="1" applyAlignment="1">
      <alignment horizontal="left" vertical="center" wrapText="1" indent="2"/>
    </xf>
    <xf numFmtId="166" fontId="15" fillId="0" borderId="41" xfId="107" applyNumberFormat="1" applyFont="1" applyFill="1" applyBorder="1" applyAlignment="1">
      <alignment horizontal="center" vertical="center" wrapText="1"/>
    </xf>
    <xf numFmtId="0" fontId="48" fillId="0" borderId="0" xfId="122" applyFont="1" applyFill="1" applyAlignment="1" applyProtection="1">
      <alignment horizontal="left" wrapText="1"/>
    </xf>
    <xf numFmtId="0" fontId="4" fillId="0" borderId="26" xfId="107" applyFont="1" applyFill="1" applyBorder="1" applyAlignment="1" applyProtection="1">
      <alignment horizontal="left" vertical="center"/>
    </xf>
    <xf numFmtId="0" fontId="4" fillId="0" borderId="40" xfId="107" applyFont="1" applyFill="1" applyBorder="1" applyAlignment="1" applyProtection="1">
      <alignment horizontal="left" vertical="center"/>
    </xf>
    <xf numFmtId="0" fontId="15" fillId="0" borderId="26" xfId="107" applyFont="1" applyFill="1" applyBorder="1" applyAlignment="1" applyProtection="1">
      <alignment horizontal="center" vertical="center" wrapText="1"/>
    </xf>
    <xf numFmtId="0" fontId="15" fillId="0" borderId="83" xfId="107" applyFont="1" applyFill="1" applyBorder="1" applyAlignment="1" applyProtection="1">
      <alignment horizontal="center" vertical="center" wrapText="1"/>
    </xf>
    <xf numFmtId="0" fontId="15" fillId="0" borderId="30" xfId="107" applyFont="1" applyFill="1" applyBorder="1" applyAlignment="1" applyProtection="1">
      <alignment horizontal="center" vertical="center" wrapText="1"/>
    </xf>
    <xf numFmtId="0" fontId="15" fillId="0" borderId="74" xfId="107" applyFont="1" applyFill="1" applyBorder="1" applyAlignment="1" applyProtection="1">
      <alignment horizontal="center" vertical="center"/>
      <protection locked="0"/>
    </xf>
    <xf numFmtId="0" fontId="15" fillId="0" borderId="75" xfId="107" applyFont="1" applyFill="1" applyBorder="1" applyAlignment="1" applyProtection="1">
      <alignment horizontal="center" vertical="center"/>
      <protection locked="0"/>
    </xf>
    <xf numFmtId="0" fontId="15" fillId="0" borderId="38" xfId="107" applyFont="1" applyFill="1" applyBorder="1" applyAlignment="1" applyProtection="1">
      <alignment horizontal="center" vertical="center"/>
      <protection locked="0"/>
    </xf>
    <xf numFmtId="0" fontId="15" fillId="0" borderId="76" xfId="107" applyFont="1" applyFill="1" applyBorder="1" applyAlignment="1" applyProtection="1">
      <alignment horizontal="center" vertical="center"/>
    </xf>
    <xf numFmtId="0" fontId="15" fillId="0" borderId="84" xfId="107" applyFont="1" applyFill="1" applyBorder="1" applyAlignment="1" applyProtection="1">
      <alignment horizontal="center" vertical="center"/>
    </xf>
    <xf numFmtId="0" fontId="15" fillId="0" borderId="39" xfId="107" applyFont="1" applyFill="1" applyBorder="1" applyAlignment="1" applyProtection="1">
      <alignment horizontal="center" vertical="center"/>
    </xf>
    <xf numFmtId="0" fontId="15" fillId="0" borderId="84" xfId="107" quotePrefix="1" applyFont="1" applyFill="1" applyBorder="1" applyAlignment="1" applyProtection="1">
      <alignment horizontal="center" vertical="center"/>
    </xf>
    <xf numFmtId="0" fontId="15" fillId="0" borderId="39" xfId="107" quotePrefix="1" applyFont="1" applyFill="1" applyBorder="1" applyAlignment="1" applyProtection="1">
      <alignment horizontal="center" vertical="center"/>
    </xf>
    <xf numFmtId="0" fontId="3" fillId="0" borderId="64" xfId="107" applyFont="1" applyFill="1" applyBorder="1" applyAlignment="1" applyProtection="1">
      <alignment horizontal="left" vertical="center" wrapText="1"/>
    </xf>
    <xf numFmtId="0" fontId="3" fillId="0" borderId="73" xfId="107" applyFont="1" applyFill="1" applyBorder="1" applyAlignment="1" applyProtection="1">
      <alignment horizontal="left" vertical="center" wrapText="1"/>
    </xf>
    <xf numFmtId="0" fontId="4" fillId="0" borderId="15" xfId="107" applyFont="1" applyFill="1" applyBorder="1" applyAlignment="1" applyProtection="1">
      <alignment horizontal="left" vertical="center" wrapText="1"/>
    </xf>
    <xf numFmtId="0" fontId="4" fillId="0" borderId="16" xfId="107" applyFont="1" applyFill="1" applyBorder="1" applyAlignment="1" applyProtection="1">
      <alignment horizontal="left" vertical="center" wrapText="1"/>
    </xf>
    <xf numFmtId="0" fontId="26" fillId="0" borderId="11" xfId="107" applyFont="1" applyFill="1" applyBorder="1" applyAlignment="1" applyProtection="1">
      <alignment horizontal="center" vertical="center" wrapText="1"/>
    </xf>
    <xf numFmtId="0" fontId="26" fillId="0" borderId="36" xfId="107" applyFont="1" applyFill="1" applyBorder="1" applyAlignment="1" applyProtection="1">
      <alignment horizontal="center" vertical="center" wrapText="1"/>
    </xf>
    <xf numFmtId="0" fontId="15" fillId="0" borderId="26" xfId="107" applyFont="1" applyFill="1" applyBorder="1" applyAlignment="1" applyProtection="1">
      <alignment horizontal="left" vertical="center" wrapText="1" indent="1"/>
    </xf>
    <xf numFmtId="0" fontId="15" fillId="0" borderId="40" xfId="107" applyFont="1" applyFill="1" applyBorder="1" applyAlignment="1" applyProtection="1">
      <alignment horizontal="left" vertical="center" wrapText="1" indent="1"/>
    </xf>
    <xf numFmtId="0" fontId="15" fillId="0" borderId="12" xfId="107" applyFont="1" applyFill="1" applyBorder="1" applyAlignment="1" applyProtection="1">
      <alignment horizontal="center" vertical="center" wrapText="1"/>
    </xf>
    <xf numFmtId="0" fontId="15" fillId="0" borderId="34" xfId="107" applyFont="1" applyFill="1" applyBorder="1" applyAlignment="1" applyProtection="1">
      <alignment horizontal="center" vertical="center" wrapText="1"/>
    </xf>
    <xf numFmtId="0" fontId="15" fillId="0" borderId="25" xfId="107" applyFont="1" applyFill="1" applyBorder="1" applyAlignment="1" applyProtection="1">
      <alignment horizontal="center" vertical="center" wrapText="1"/>
    </xf>
    <xf numFmtId="0" fontId="15" fillId="0" borderId="35" xfId="107" applyFont="1" applyFill="1" applyBorder="1" applyAlignment="1" applyProtection="1">
      <alignment horizontal="center" vertical="center" wrapText="1"/>
    </xf>
    <xf numFmtId="166" fontId="21" fillId="0" borderId="27" xfId="107" applyNumberFormat="1" applyFont="1" applyFill="1" applyBorder="1" applyAlignment="1" applyProtection="1">
      <alignment horizontal="center" vertical="center" wrapText="1"/>
      <protection locked="0"/>
    </xf>
    <xf numFmtId="166" fontId="5" fillId="0" borderId="0" xfId="107" applyNumberFormat="1" applyFont="1" applyFill="1" applyAlignment="1">
      <alignment horizontal="center" textRotation="180" wrapText="1"/>
    </xf>
    <xf numFmtId="166" fontId="15" fillId="0" borderId="12" xfId="107" applyNumberFormat="1" applyFont="1" applyFill="1" applyBorder="1" applyAlignment="1" applyProtection="1">
      <alignment horizontal="center" vertical="center" wrapText="1"/>
    </xf>
    <xf numFmtId="166" fontId="15" fillId="0" borderId="34" xfId="107" applyNumberFormat="1" applyFont="1" applyFill="1" applyBorder="1" applyAlignment="1" applyProtection="1">
      <alignment horizontal="center" vertical="center" wrapText="1"/>
    </xf>
    <xf numFmtId="166" fontId="15" fillId="0" borderId="25" xfId="107" applyNumberFormat="1" applyFont="1" applyFill="1" applyBorder="1" applyAlignment="1" applyProtection="1">
      <alignment horizontal="center" vertical="center" wrapText="1"/>
    </xf>
    <xf numFmtId="166" fontId="15" fillId="0" borderId="35" xfId="107" applyNumberFormat="1" applyFont="1" applyFill="1" applyBorder="1" applyAlignment="1" applyProtection="1">
      <alignment horizontal="center" vertical="center"/>
    </xf>
    <xf numFmtId="166" fontId="15" fillId="0" borderId="35" xfId="107" applyNumberFormat="1" applyFont="1" applyFill="1" applyBorder="1" applyAlignment="1" applyProtection="1">
      <alignment horizontal="center" vertical="center" wrapText="1"/>
    </xf>
    <xf numFmtId="166" fontId="15" fillId="0" borderId="56" xfId="107" applyNumberFormat="1" applyFont="1" applyFill="1" applyBorder="1" applyAlignment="1" applyProtection="1">
      <alignment horizontal="center" vertical="center" wrapText="1"/>
    </xf>
    <xf numFmtId="166" fontId="15" fillId="0" borderId="54" xfId="107" applyNumberFormat="1" applyFont="1" applyFill="1" applyBorder="1" applyAlignment="1" applyProtection="1">
      <alignment horizontal="center" vertical="center" wrapText="1"/>
    </xf>
    <xf numFmtId="166" fontId="17" fillId="0" borderId="0" xfId="107" applyNumberFormat="1" applyFont="1" applyFill="1" applyAlignment="1">
      <alignment horizontal="center" textRotation="180" wrapText="1"/>
    </xf>
    <xf numFmtId="0" fontId="74" fillId="0" borderId="27" xfId="107" applyFont="1" applyFill="1" applyBorder="1" applyAlignment="1">
      <alignment horizontal="center"/>
    </xf>
    <xf numFmtId="0" fontId="24" fillId="0" borderId="27" xfId="107" applyFont="1" applyFill="1" applyBorder="1" applyAlignment="1">
      <alignment horizontal="right"/>
    </xf>
    <xf numFmtId="0" fontId="15" fillId="0" borderId="85" xfId="107" applyFont="1" applyFill="1" applyBorder="1" applyAlignment="1">
      <alignment horizontal="center" vertical="center" wrapText="1"/>
    </xf>
    <xf numFmtId="0" fontId="15" fillId="0" borderId="53" xfId="107" applyFont="1" applyFill="1" applyBorder="1" applyAlignment="1">
      <alignment horizontal="center" vertical="center" wrapText="1"/>
    </xf>
    <xf numFmtId="0" fontId="15" fillId="0" borderId="25" xfId="107" applyFont="1" applyFill="1" applyBorder="1" applyAlignment="1">
      <alignment horizontal="center" vertical="center" wrapText="1"/>
    </xf>
    <xf numFmtId="0" fontId="15" fillId="0" borderId="35" xfId="107" applyFont="1" applyFill="1" applyBorder="1" applyAlignment="1">
      <alignment horizontal="center" vertical="center" wrapText="1"/>
    </xf>
    <xf numFmtId="0" fontId="15" fillId="0" borderId="62" xfId="107" applyFont="1" applyFill="1" applyBorder="1" applyAlignment="1">
      <alignment horizontal="center" vertical="center" wrapText="1"/>
    </xf>
    <xf numFmtId="0" fontId="15" fillId="0" borderId="27" xfId="107" applyFont="1" applyFill="1" applyBorder="1" applyAlignment="1">
      <alignment horizontal="center" vertical="center" wrapText="1"/>
    </xf>
    <xf numFmtId="0" fontId="26" fillId="0" borderId="77" xfId="107" applyFont="1" applyFill="1" applyBorder="1" applyAlignment="1">
      <alignment horizontal="center"/>
    </xf>
    <xf numFmtId="0" fontId="26" fillId="0" borderId="83" xfId="107" applyFont="1" applyFill="1" applyBorder="1" applyAlignment="1">
      <alignment horizontal="center"/>
    </xf>
    <xf numFmtId="0" fontId="15" fillId="0" borderId="67" xfId="107" applyFont="1" applyFill="1" applyBorder="1" applyAlignment="1">
      <alignment horizontal="center" vertical="center" wrapText="1"/>
    </xf>
    <xf numFmtId="0" fontId="15" fillId="0" borderId="52" xfId="107" applyFont="1" applyFill="1" applyBorder="1" applyAlignment="1">
      <alignment horizontal="center" vertical="center" wrapText="1"/>
    </xf>
    <xf numFmtId="0" fontId="15" fillId="0" borderId="85" xfId="107" applyFont="1" applyFill="1" applyBorder="1" applyAlignment="1">
      <alignment horizontal="left" vertical="center" wrapText="1"/>
    </xf>
    <xf numFmtId="0" fontId="15" fillId="0" borderId="62" xfId="107" applyFont="1" applyFill="1" applyBorder="1" applyAlignment="1">
      <alignment horizontal="left" vertical="center" wrapText="1"/>
    </xf>
    <xf numFmtId="0" fontId="15" fillId="0" borderId="37" xfId="107" applyFont="1" applyFill="1" applyBorder="1" applyAlignment="1">
      <alignment horizontal="left" vertical="center" wrapText="1"/>
    </xf>
    <xf numFmtId="0" fontId="8" fillId="0" borderId="26" xfId="107" applyFont="1" applyFill="1" applyBorder="1" applyAlignment="1" applyProtection="1">
      <alignment horizontal="left" vertical="center"/>
    </xf>
    <xf numFmtId="0" fontId="8" fillId="0" borderId="40" xfId="107" applyFont="1" applyFill="1" applyBorder="1" applyAlignment="1" applyProtection="1">
      <alignment horizontal="left" vertical="center"/>
    </xf>
    <xf numFmtId="0" fontId="15" fillId="0" borderId="85" xfId="107" applyFont="1" applyFill="1" applyBorder="1" applyAlignment="1" applyProtection="1">
      <alignment horizontal="left" vertical="center" wrapText="1"/>
    </xf>
    <xf numFmtId="0" fontId="15" fillId="0" borderId="62" xfId="107" applyFont="1" applyFill="1" applyBorder="1" applyAlignment="1" applyProtection="1">
      <alignment horizontal="left" vertical="center" wrapText="1"/>
    </xf>
    <xf numFmtId="0" fontId="15" fillId="0" borderId="37" xfId="107" applyFont="1" applyFill="1" applyBorder="1" applyAlignment="1" applyProtection="1">
      <alignment horizontal="left" vertical="center" wrapText="1"/>
    </xf>
    <xf numFmtId="0" fontId="3" fillId="0" borderId="26" xfId="107" applyFont="1" applyFill="1" applyBorder="1" applyAlignment="1" applyProtection="1">
      <alignment horizontal="left" vertical="center"/>
    </xf>
    <xf numFmtId="0" fontId="3" fillId="0" borderId="40" xfId="107" applyFont="1" applyFill="1" applyBorder="1" applyAlignment="1" applyProtection="1">
      <alignment horizontal="left" vertical="center"/>
    </xf>
    <xf numFmtId="0" fontId="48" fillId="0" borderId="0" xfId="107" applyFont="1" applyFill="1" applyAlignment="1">
      <alignment horizontal="center" vertical="center" wrapText="1"/>
    </xf>
    <xf numFmtId="0" fontId="48" fillId="0" borderId="0" xfId="107" applyFont="1" applyFill="1" applyAlignment="1">
      <alignment horizontal="center" vertical="center"/>
    </xf>
    <xf numFmtId="0" fontId="22" fillId="0" borderId="62" xfId="107" applyFont="1" applyFill="1" applyBorder="1" applyAlignment="1">
      <alignment horizontal="justify" vertical="center" wrapText="1"/>
    </xf>
    <xf numFmtId="0" fontId="48" fillId="0" borderId="0" xfId="117" applyFont="1" applyAlignment="1">
      <alignment horizontal="center" wrapText="1"/>
    </xf>
    <xf numFmtId="0" fontId="45" fillId="0" borderId="0" xfId="117" applyFont="1" applyAlignment="1" applyProtection="1">
      <alignment horizontal="right"/>
    </xf>
    <xf numFmtId="0" fontId="26" fillId="0" borderId="53" xfId="117" applyFont="1" applyBorder="1" applyAlignment="1" applyProtection="1">
      <alignment horizontal="left" vertical="center" indent="2"/>
    </xf>
    <xf numFmtId="0" fontId="26" fillId="0" borderId="65" xfId="117" applyFont="1" applyBorder="1" applyAlignment="1" applyProtection="1">
      <alignment horizontal="left" vertical="center" indent="2"/>
    </xf>
    <xf numFmtId="0" fontId="62" fillId="0" borderId="0" xfId="105" applyFont="1" applyFill="1" applyBorder="1" applyAlignment="1" applyProtection="1">
      <alignment horizontal="right"/>
    </xf>
    <xf numFmtId="0" fontId="62" fillId="0" borderId="21" xfId="105" applyFont="1" applyFill="1" applyBorder="1" applyAlignment="1" applyProtection="1">
      <alignment horizontal="center" vertical="center" wrapText="1"/>
    </xf>
    <xf numFmtId="0" fontId="62" fillId="0" borderId="16" xfId="105" applyFont="1" applyFill="1" applyBorder="1" applyAlignment="1" applyProtection="1">
      <alignment horizontal="center" vertical="center" wrapText="1"/>
    </xf>
    <xf numFmtId="0" fontId="62" fillId="0" borderId="67" xfId="105" applyFont="1" applyFill="1" applyBorder="1" applyAlignment="1" applyProtection="1">
      <alignment horizontal="center" vertical="center" wrapText="1"/>
    </xf>
    <xf numFmtId="0" fontId="62" fillId="0" borderId="43" xfId="105" applyFont="1" applyFill="1" applyBorder="1" applyAlignment="1" applyProtection="1">
      <alignment horizontal="center" vertical="center" wrapText="1"/>
    </xf>
    <xf numFmtId="0" fontId="62" fillId="0" borderId="0" xfId="105" applyFont="1" applyFill="1" applyBorder="1" applyAlignment="1" applyProtection="1">
      <alignment horizontal="center" vertical="center" wrapText="1"/>
    </xf>
    <xf numFmtId="0" fontId="82" fillId="0" borderId="0" xfId="105" applyFont="1" applyFill="1" applyAlignment="1" applyProtection="1">
      <alignment horizontal="center" vertical="center" wrapText="1"/>
    </xf>
    <xf numFmtId="0" fontId="55" fillId="0" borderId="0" xfId="105" applyFont="1" applyFill="1" applyAlignment="1" applyProtection="1">
      <alignment horizontal="left"/>
    </xf>
    <xf numFmtId="0" fontId="62" fillId="0" borderId="16" xfId="105" applyFont="1" applyFill="1" applyBorder="1" applyAlignment="1" applyProtection="1">
      <alignment horizontal="center" wrapText="1"/>
    </xf>
    <xf numFmtId="0" fontId="62" fillId="0" borderId="45" xfId="105" applyFont="1" applyFill="1" applyBorder="1" applyAlignment="1" applyProtection="1">
      <alignment horizontal="center" wrapText="1"/>
    </xf>
    <xf numFmtId="0" fontId="62" fillId="0" borderId="0" xfId="105" applyFont="1" applyFill="1" applyBorder="1" applyAlignment="1" applyProtection="1">
      <alignment horizontal="center" wrapText="1"/>
    </xf>
    <xf numFmtId="0" fontId="63" fillId="0" borderId="12" xfId="105" applyFont="1" applyFill="1" applyBorder="1" applyAlignment="1" applyProtection="1">
      <alignment horizontal="center" vertical="center" wrapText="1"/>
    </xf>
    <xf numFmtId="0" fontId="63" fillId="0" borderId="13" xfId="105" applyFont="1" applyFill="1" applyBorder="1" applyAlignment="1" applyProtection="1">
      <alignment horizontal="center" vertical="center" wrapText="1"/>
    </xf>
    <xf numFmtId="0" fontId="63" fillId="0" borderId="17" xfId="105" applyFont="1" applyFill="1" applyBorder="1" applyAlignment="1" applyProtection="1">
      <alignment horizontal="center" vertical="center" wrapText="1"/>
    </xf>
    <xf numFmtId="0" fontId="27" fillId="0" borderId="25" xfId="104" applyFont="1" applyFill="1" applyBorder="1" applyAlignment="1" applyProtection="1">
      <alignment horizontal="center" vertical="center" textRotation="90"/>
    </xf>
    <xf numFmtId="0" fontId="27" fillId="0" borderId="14" xfId="104" applyFont="1" applyFill="1" applyBorder="1" applyAlignment="1" applyProtection="1">
      <alignment horizontal="center" vertical="center" textRotation="90"/>
    </xf>
    <xf numFmtId="0" fontId="27" fillId="0" borderId="18" xfId="104" applyFont="1" applyFill="1" applyBorder="1" applyAlignment="1" applyProtection="1">
      <alignment horizontal="center" vertical="center" textRotation="90"/>
    </xf>
    <xf numFmtId="0" fontId="55" fillId="0" borderId="0" xfId="105" applyFont="1" applyFill="1" applyAlignment="1" applyProtection="1">
      <alignment horizontal="center"/>
    </xf>
    <xf numFmtId="0" fontId="3" fillId="0" borderId="0" xfId="104" applyFont="1" applyFill="1" applyAlignment="1" applyProtection="1">
      <alignment horizontal="center" vertical="center" wrapText="1"/>
    </xf>
    <xf numFmtId="0" fontId="76" fillId="0" borderId="0" xfId="104" applyFont="1" applyFill="1" applyAlignment="1" applyProtection="1">
      <alignment horizontal="center" vertical="center" wrapText="1"/>
    </xf>
    <xf numFmtId="0" fontId="45" fillId="0" borderId="0" xfId="104" applyFont="1" applyFill="1" applyBorder="1" applyAlignment="1" applyProtection="1">
      <alignment horizontal="right" vertical="center"/>
    </xf>
    <xf numFmtId="0" fontId="48" fillId="0" borderId="20" xfId="104" applyFont="1" applyFill="1" applyBorder="1" applyAlignment="1" applyProtection="1">
      <alignment horizontal="center" vertical="center" wrapText="1"/>
    </xf>
    <xf numFmtId="0" fontId="48" fillId="0" borderId="15" xfId="104" applyFont="1" applyFill="1" applyBorder="1" applyAlignment="1" applyProtection="1">
      <alignment horizontal="center" vertical="center" wrapText="1"/>
    </xf>
    <xf numFmtId="0" fontId="27" fillId="0" borderId="21" xfId="104" applyFont="1" applyFill="1" applyBorder="1" applyAlignment="1" applyProtection="1">
      <alignment horizontal="center" vertical="center" textRotation="90"/>
    </xf>
    <xf numFmtId="0" fontId="27" fillId="0" borderId="16" xfId="104" applyFont="1" applyFill="1" applyBorder="1" applyAlignment="1" applyProtection="1">
      <alignment horizontal="center" vertical="center" textRotation="90"/>
    </xf>
    <xf numFmtId="0" fontId="46" fillId="0" borderId="63" xfId="104" applyFont="1" applyFill="1" applyBorder="1" applyAlignment="1" applyProtection="1">
      <alignment horizontal="center" vertical="center" wrapText="1"/>
    </xf>
    <xf numFmtId="0" fontId="46" fillId="0" borderId="45" xfId="104" applyFont="1" applyFill="1" applyBorder="1" applyAlignment="1" applyProtection="1">
      <alignment horizontal="center" vertical="center"/>
    </xf>
    <xf numFmtId="0" fontId="82" fillId="0" borderId="0" xfId="105" applyFont="1" applyFill="1" applyAlignment="1">
      <alignment horizontal="center" vertical="center" wrapText="1"/>
    </xf>
    <xf numFmtId="0" fontId="56" fillId="0" borderId="26" xfId="105" applyFont="1" applyFill="1" applyBorder="1" applyAlignment="1">
      <alignment horizontal="left"/>
    </xf>
    <xf numFmtId="0" fontId="56" fillId="0" borderId="40" xfId="105" applyFont="1" applyFill="1" applyBorder="1" applyAlignment="1">
      <alignment horizontal="left"/>
    </xf>
    <xf numFmtId="3" fontId="55" fillId="0" borderId="0" xfId="105" applyNumberFormat="1" applyFont="1" applyFill="1" applyAlignment="1">
      <alignment horizontal="center"/>
    </xf>
    <xf numFmtId="0" fontId="82" fillId="0" borderId="0" xfId="105" applyFont="1" applyFill="1" applyAlignment="1">
      <alignment horizontal="center" wrapText="1"/>
    </xf>
    <xf numFmtId="0" fontId="82" fillId="0" borderId="0" xfId="105" applyFont="1" applyFill="1" applyAlignment="1">
      <alignment horizontal="center"/>
    </xf>
    <xf numFmtId="0" fontId="56" fillId="0" borderId="26" xfId="105" applyFont="1" applyFill="1" applyBorder="1" applyAlignment="1">
      <alignment horizontal="left" indent="1"/>
    </xf>
    <xf numFmtId="0" fontId="56" fillId="0" borderId="40" xfId="105" applyFont="1" applyFill="1" applyBorder="1" applyAlignment="1">
      <alignment horizontal="left" indent="1"/>
    </xf>
    <xf numFmtId="0" fontId="83" fillId="0" borderId="0" xfId="107" applyFont="1" applyAlignment="1" applyProtection="1">
      <alignment horizontal="center" vertical="center" wrapText="1"/>
      <protection locked="0"/>
    </xf>
    <xf numFmtId="0" fontId="54" fillId="0" borderId="10" xfId="107" applyFont="1" applyBorder="1" applyAlignment="1" applyProtection="1">
      <alignment wrapText="1"/>
    </xf>
    <xf numFmtId="0" fontId="54" fillId="0" borderId="11" xfId="107" applyFont="1" applyBorder="1" applyAlignment="1" applyProtection="1">
      <alignment wrapText="1"/>
    </xf>
    <xf numFmtId="0" fontId="5" fillId="0" borderId="0" xfId="107" applyFont="1" applyAlignment="1" applyProtection="1">
      <alignment horizontal="center" textRotation="180"/>
    </xf>
    <xf numFmtId="0" fontId="18" fillId="0" borderId="0" xfId="107" applyFont="1" applyFill="1" applyAlignment="1" applyProtection="1">
      <alignment horizontal="center" vertical="top" wrapText="1"/>
      <protection locked="0"/>
    </xf>
    <xf numFmtId="166" fontId="18" fillId="0" borderId="0" xfId="102" applyNumberFormat="1" applyFont="1" applyFill="1" applyBorder="1" applyAlignment="1" applyProtection="1">
      <alignment horizontal="center" vertical="center" wrapText="1"/>
    </xf>
    <xf numFmtId="0" fontId="26" fillId="0" borderId="10" xfId="102" applyFont="1" applyFill="1" applyBorder="1" applyAlignment="1" applyProtection="1">
      <alignment horizontal="left"/>
    </xf>
    <xf numFmtId="0" fontId="26" fillId="0" borderId="11" xfId="102" applyFont="1" applyFill="1" applyBorder="1" applyAlignment="1" applyProtection="1">
      <alignment horizontal="left"/>
    </xf>
    <xf numFmtId="0" fontId="6" fillId="0" borderId="62" xfId="102" applyFont="1" applyFill="1" applyBorder="1" applyAlignment="1">
      <alignment horizontal="justify" vertical="center" wrapText="1"/>
    </xf>
    <xf numFmtId="0" fontId="15" fillId="0" borderId="25" xfId="102" applyFont="1" applyFill="1" applyBorder="1" applyAlignment="1" applyProtection="1">
      <alignment horizontal="center" vertical="center" wrapText="1"/>
    </xf>
    <xf numFmtId="0" fontId="15" fillId="0" borderId="35" xfId="102" applyFont="1" applyFill="1" applyBorder="1" applyAlignment="1" applyProtection="1">
      <alignment horizontal="center" vertical="center" wrapText="1"/>
    </xf>
    <xf numFmtId="166" fontId="17" fillId="0" borderId="0" xfId="103" applyNumberFormat="1" applyFont="1" applyFill="1" applyAlignment="1">
      <alignment horizontal="center" textRotation="180" wrapText="1"/>
    </xf>
    <xf numFmtId="166" fontId="15" fillId="0" borderId="37" xfId="103" applyNumberFormat="1" applyFont="1" applyFill="1" applyBorder="1" applyAlignment="1">
      <alignment horizontal="center" vertical="center" wrapText="1"/>
    </xf>
    <xf numFmtId="166" fontId="15" fillId="0" borderId="65" xfId="103" applyNumberFormat="1" applyFont="1" applyFill="1" applyBorder="1" applyAlignment="1">
      <alignment horizontal="center" vertical="center" wrapText="1"/>
    </xf>
    <xf numFmtId="166" fontId="15" fillId="0" borderId="56" xfId="103" applyNumberFormat="1" applyFont="1" applyFill="1" applyBorder="1" applyAlignment="1">
      <alignment horizontal="center" vertical="center" wrapText="1"/>
    </xf>
    <xf numFmtId="166" fontId="15" fillId="0" borderId="54" xfId="103" applyNumberFormat="1" applyFont="1" applyFill="1" applyBorder="1" applyAlignment="1">
      <alignment horizontal="center" vertical="center" wrapText="1"/>
    </xf>
    <xf numFmtId="166" fontId="15" fillId="0" borderId="56" xfId="103" applyNumberFormat="1" applyFont="1" applyFill="1" applyBorder="1" applyAlignment="1">
      <alignment horizontal="center" vertical="center"/>
    </xf>
    <xf numFmtId="166" fontId="15" fillId="0" borderId="54" xfId="103" applyNumberFormat="1" applyFont="1" applyFill="1" applyBorder="1" applyAlignment="1">
      <alignment horizontal="center" vertical="center"/>
    </xf>
    <xf numFmtId="166" fontId="15" fillId="0" borderId="85" xfId="103" applyNumberFormat="1" applyFont="1" applyFill="1" applyBorder="1" applyAlignment="1">
      <alignment horizontal="center" vertical="center" wrapText="1"/>
    </xf>
    <xf numFmtId="166" fontId="15" fillId="0" borderId="53" xfId="103" applyNumberFormat="1" applyFont="1" applyFill="1" applyBorder="1" applyAlignment="1">
      <alignment horizontal="center" vertical="center" wrapText="1"/>
    </xf>
    <xf numFmtId="166" fontId="15" fillId="0" borderId="74" xfId="103" applyNumberFormat="1" applyFont="1" applyFill="1" applyBorder="1" applyAlignment="1">
      <alignment horizontal="center" vertical="center" wrapText="1"/>
    </xf>
    <xf numFmtId="166" fontId="15" fillId="0" borderId="69" xfId="103" applyNumberFormat="1" applyFont="1" applyFill="1" applyBorder="1" applyAlignment="1">
      <alignment horizontal="center" vertical="center" wrapText="1"/>
    </xf>
    <xf numFmtId="166" fontId="76" fillId="0" borderId="27" xfId="103" applyNumberFormat="1" applyFont="1" applyFill="1" applyBorder="1" applyAlignment="1">
      <alignment horizontal="center" vertical="center" wrapText="1"/>
    </xf>
  </cellXfs>
  <cellStyles count="124">
    <cellStyle name="1. jelölőszín" xfId="1"/>
    <cellStyle name="1. jelölőszín 2" xfId="2"/>
    <cellStyle name="2. jelölőszín" xfId="3"/>
    <cellStyle name="2. jelölőszín 2" xfId="4"/>
    <cellStyle name="20% - 1. jelölőszín" xfId="5" builtinId="30" customBuiltin="1"/>
    <cellStyle name="20% - 2. jelölőszín" xfId="6" builtinId="34" customBuiltin="1"/>
    <cellStyle name="20% - 3. jelölőszín" xfId="7" builtinId="38" customBuiltin="1"/>
    <cellStyle name="20% - 4. jelölőszín" xfId="8" builtinId="42" customBuiltin="1"/>
    <cellStyle name="20% - 5. jelölőszín" xfId="9" builtinId="46" customBuiltin="1"/>
    <cellStyle name="20% - 6. jelölőszín" xfId="10" builtinId="50" customBuiltin="1"/>
    <cellStyle name="20% - Accent1" xfId="11"/>
    <cellStyle name="20% - Accent2" xfId="12"/>
    <cellStyle name="20% - Accent3" xfId="13"/>
    <cellStyle name="20% - Accent4" xfId="14"/>
    <cellStyle name="20% - Accent5" xfId="15"/>
    <cellStyle name="20% - Accent6" xfId="16"/>
    <cellStyle name="3. jelölőszín" xfId="17"/>
    <cellStyle name="3. jelölőszín 2" xfId="18"/>
    <cellStyle name="4. jelölőszín" xfId="19"/>
    <cellStyle name="4. jelölőszín 2" xfId="20"/>
    <cellStyle name="40% - 1. jelölőszín" xfId="21" builtinId="31" customBuiltin="1"/>
    <cellStyle name="40% - 2. jelölőszín" xfId="22" builtinId="35" customBuiltin="1"/>
    <cellStyle name="40% - 3. jelölőszín" xfId="23" builtinId="39" customBuiltin="1"/>
    <cellStyle name="40% - 4. jelölőszín" xfId="24" builtinId="43" customBuiltin="1"/>
    <cellStyle name="40% - 5. jelölőszín" xfId="25" builtinId="47" customBuiltin="1"/>
    <cellStyle name="40% - 6. jelölőszín" xfId="26" builtinId="51" customBuiltin="1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5. jelölőszín" xfId="33"/>
    <cellStyle name="5. jelölőszín 2" xfId="34"/>
    <cellStyle name="6. jelölőszín" xfId="35"/>
    <cellStyle name="6. jelölőszín 2" xfId="36"/>
    <cellStyle name="60% - 1. jelölőszín" xfId="37" builtinId="32" customBuiltin="1"/>
    <cellStyle name="60% - 2. jelölőszín" xfId="38" builtinId="36" customBuiltin="1"/>
    <cellStyle name="60% - 3. jelölőszín" xfId="39" builtinId="40" customBuiltin="1"/>
    <cellStyle name="60% - 4. jelölőszín" xfId="40" builtinId="44" customBuiltin="1"/>
    <cellStyle name="60% - 5. jelölőszín" xfId="41" builtinId="48" customBuiltin="1"/>
    <cellStyle name="60% - 6. jelölőszín" xfId="42" builtinId="52" customBuiltin="1"/>
    <cellStyle name="60% - Accent1" xfId="43"/>
    <cellStyle name="60% - Accent2" xfId="44"/>
    <cellStyle name="60% - Accent3" xfId="45"/>
    <cellStyle name="60% - Accent4" xfId="46"/>
    <cellStyle name="60% - Accent5" xfId="47"/>
    <cellStyle name="60% - Accent6" xfId="48"/>
    <cellStyle name="Accent1" xfId="49"/>
    <cellStyle name="Accent2" xfId="50"/>
    <cellStyle name="Accent3" xfId="51"/>
    <cellStyle name="Accent4" xfId="52"/>
    <cellStyle name="Accent5" xfId="53"/>
    <cellStyle name="Accent6" xfId="54"/>
    <cellStyle name="Bad" xfId="55"/>
    <cellStyle name="Bevitel" xfId="56" builtinId="20" customBuiltin="1"/>
    <cellStyle name="Calculation" xfId="57"/>
    <cellStyle name="Check Cell" xfId="58"/>
    <cellStyle name="Cím" xfId="59" builtinId="15" customBuiltin="1"/>
    <cellStyle name="Címsor 1" xfId="60" builtinId="16" customBuiltin="1"/>
    <cellStyle name="Címsor 2" xfId="61" builtinId="17" customBuiltin="1"/>
    <cellStyle name="Címsor 3" xfId="62" builtinId="18" customBuiltin="1"/>
    <cellStyle name="Címsor 4" xfId="63" builtinId="19" customBuiltin="1"/>
    <cellStyle name="Ellenőrzőcella" xfId="64" builtinId="23" customBuiltin="1"/>
    <cellStyle name="Explanatory Text" xfId="65"/>
    <cellStyle name="Ezres" xfId="66" builtinId="3"/>
    <cellStyle name="Ezres 2" xfId="67"/>
    <cellStyle name="Ezres 2 2" xfId="68"/>
    <cellStyle name="Ezres 3" xfId="69"/>
    <cellStyle name="Ezres 3 2" xfId="70"/>
    <cellStyle name="Ezres 4" xfId="71"/>
    <cellStyle name="Ezres 4 2" xfId="118"/>
    <cellStyle name="Ezres 4 2 2" xfId="119"/>
    <cellStyle name="Figyelmeztetés" xfId="72" builtinId="11" customBuiltin="1"/>
    <cellStyle name="Good" xfId="73"/>
    <cellStyle name="Heading 1" xfId="74"/>
    <cellStyle name="Heading 2" xfId="75"/>
    <cellStyle name="Heading 3" xfId="76"/>
    <cellStyle name="Heading 4" xfId="77"/>
    <cellStyle name="hetmál kút" xfId="78"/>
    <cellStyle name="Hiperhivatkozás" xfId="120"/>
    <cellStyle name="Hivatkozott cella" xfId="79" builtinId="24" customBuiltin="1"/>
    <cellStyle name="Input" xfId="80"/>
    <cellStyle name="Jegyzet" xfId="81" builtinId="10" customBuiltin="1"/>
    <cellStyle name="Jelölőszín (1)" xfId="82" builtinId="29" customBuiltin="1"/>
    <cellStyle name="Jelölőszín (1) 2" xfId="83"/>
    <cellStyle name="Jelölőszín (2)" xfId="84" builtinId="33" customBuiltin="1"/>
    <cellStyle name="Jelölőszín (2) 2" xfId="85"/>
    <cellStyle name="Jelölőszín (3)" xfId="86" builtinId="37" customBuiltin="1"/>
    <cellStyle name="Jelölőszín (3) 2" xfId="87"/>
    <cellStyle name="Jelölőszín (4)" xfId="88" builtinId="41" customBuiltin="1"/>
    <cellStyle name="Jelölőszín (4) 2" xfId="89"/>
    <cellStyle name="Jelölőszín (5)" xfId="90" builtinId="45" customBuiltin="1"/>
    <cellStyle name="Jelölőszín (5) 2" xfId="91"/>
    <cellStyle name="Jelölőszín (6)" xfId="92" builtinId="49" customBuiltin="1"/>
    <cellStyle name="Jelölőszín (6) 2" xfId="93"/>
    <cellStyle name="Jó" xfId="94" builtinId="26" customBuiltin="1"/>
    <cellStyle name="Kimenet" xfId="95" builtinId="21" customBuiltin="1"/>
    <cellStyle name="Linked Cell" xfId="96"/>
    <cellStyle name="Magyarázó szöveg" xfId="97" builtinId="53" customBuiltin="1"/>
    <cellStyle name="Már látott hiperhivatkozás" xfId="121"/>
    <cellStyle name="Neutral" xfId="98"/>
    <cellStyle name="Normál" xfId="0" builtinId="0"/>
    <cellStyle name="Normál 2" xfId="99"/>
    <cellStyle name="Normál 3" xfId="117"/>
    <cellStyle name="Normál 3 2" xfId="122"/>
    <cellStyle name="Normál 3 2 2" xfId="123"/>
    <cellStyle name="Normál_4_2014. önk.rendelet-2014. évi költségvetési rendelet melléklet" xfId="100"/>
    <cellStyle name="Normal_KARSZJ3" xfId="101"/>
    <cellStyle name="Normál_KVRENMUNKA" xfId="102"/>
    <cellStyle name="Normál_MINTA" xfId="103"/>
    <cellStyle name="Normál_VAGYONK" xfId="104"/>
    <cellStyle name="Normál_VAGYONKIM" xfId="105"/>
    <cellStyle name="Normál_ZARSZREND12" xfId="106"/>
    <cellStyle name="Normál_ZARSZREND14" xfId="107"/>
    <cellStyle name="Note" xfId="108"/>
    <cellStyle name="Output" xfId="109"/>
    <cellStyle name="Összesen" xfId="110" builtinId="25" customBuiltin="1"/>
    <cellStyle name="Rossz" xfId="111" builtinId="27" customBuiltin="1"/>
    <cellStyle name="Semleges" xfId="112" builtinId="28" customBuiltin="1"/>
    <cellStyle name="Számítás" xfId="113" builtinId="22" customBuiltin="1"/>
    <cellStyle name="Title" xfId="114"/>
    <cellStyle name="Total" xfId="115"/>
    <cellStyle name="Warning Text" xfId="116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3"/>
  </sheetPr>
  <dimension ref="A1:I164"/>
  <sheetViews>
    <sheetView view="pageLayout" zoomScaleNormal="130" zoomScaleSheetLayoutView="100" workbookViewId="0">
      <selection activeCell="E26" sqref="E26"/>
    </sheetView>
  </sheetViews>
  <sheetFormatPr defaultColWidth="8" defaultRowHeight="15.75" x14ac:dyDescent="0.25"/>
  <cols>
    <col min="1" max="1" width="8.140625" style="94" customWidth="1"/>
    <col min="2" max="2" width="52.140625" style="94" customWidth="1"/>
    <col min="3" max="5" width="13.5703125" style="92" customWidth="1"/>
    <col min="6" max="16384" width="8" style="25"/>
  </cols>
  <sheetData>
    <row r="1" spans="1:8" ht="15.95" customHeight="1" x14ac:dyDescent="0.25">
      <c r="A1" s="934" t="s">
        <v>318</v>
      </c>
      <c r="B1" s="934"/>
      <c r="C1" s="934"/>
      <c r="D1" s="934"/>
      <c r="E1" s="934"/>
    </row>
    <row r="2" spans="1:8" ht="15.95" customHeight="1" thickBot="1" x14ac:dyDescent="0.3">
      <c r="A2" s="26" t="s">
        <v>319</v>
      </c>
      <c r="B2" s="26"/>
      <c r="C2" s="27"/>
      <c r="D2" s="27"/>
      <c r="E2" s="27" t="s">
        <v>469</v>
      </c>
    </row>
    <row r="3" spans="1:8" ht="15.95" customHeight="1" x14ac:dyDescent="0.25">
      <c r="A3" s="935" t="s">
        <v>405</v>
      </c>
      <c r="B3" s="937" t="s">
        <v>321</v>
      </c>
      <c r="C3" s="939" t="s">
        <v>772</v>
      </c>
      <c r="D3" s="939"/>
      <c r="E3" s="940"/>
    </row>
    <row r="4" spans="1:8" ht="38.1" customHeight="1" thickBot="1" x14ac:dyDescent="0.3">
      <c r="A4" s="936"/>
      <c r="B4" s="938"/>
      <c r="C4" s="28" t="s">
        <v>455</v>
      </c>
      <c r="D4" s="28" t="s">
        <v>456</v>
      </c>
      <c r="E4" s="29" t="s">
        <v>228</v>
      </c>
      <c r="F4" s="94"/>
      <c r="G4" s="94"/>
      <c r="H4" s="94"/>
    </row>
    <row r="5" spans="1:8" s="31" customFormat="1" ht="12" customHeight="1" thickBot="1" x14ac:dyDescent="0.25">
      <c r="A5" s="1" t="s">
        <v>457</v>
      </c>
      <c r="B5" s="2" t="s">
        <v>458</v>
      </c>
      <c r="C5" s="2" t="s">
        <v>459</v>
      </c>
      <c r="D5" s="2" t="s">
        <v>460</v>
      </c>
      <c r="E5" s="30" t="s">
        <v>461</v>
      </c>
    </row>
    <row r="6" spans="1:8" s="34" customFormat="1" ht="12" customHeight="1" thickBot="1" x14ac:dyDescent="0.25">
      <c r="A6" s="4" t="s">
        <v>235</v>
      </c>
      <c r="B6" s="5" t="s">
        <v>462</v>
      </c>
      <c r="C6" s="275">
        <f>SUM(C7:C12)</f>
        <v>1190343400</v>
      </c>
      <c r="D6" s="32">
        <f>SUM(D7:D12)</f>
        <v>1136384587</v>
      </c>
      <c r="E6" s="93">
        <f>SUM(E7:E12)</f>
        <v>1136384587</v>
      </c>
    </row>
    <row r="7" spans="1:8" s="34" customFormat="1" ht="12" customHeight="1" x14ac:dyDescent="0.2">
      <c r="A7" s="10" t="s">
        <v>340</v>
      </c>
      <c r="B7" s="35" t="s">
        <v>464</v>
      </c>
      <c r="C7" s="730">
        <v>227512539</v>
      </c>
      <c r="D7" s="36">
        <v>228418282</v>
      </c>
      <c r="E7" s="37">
        <v>228418282</v>
      </c>
    </row>
    <row r="8" spans="1:8" s="34" customFormat="1" ht="12" customHeight="1" x14ac:dyDescent="0.2">
      <c r="A8" s="8" t="s">
        <v>342</v>
      </c>
      <c r="B8" s="38" t="s">
        <v>465</v>
      </c>
      <c r="C8" s="731">
        <v>218107294</v>
      </c>
      <c r="D8" s="39">
        <v>224090111</v>
      </c>
      <c r="E8" s="40">
        <v>224090111</v>
      </c>
    </row>
    <row r="9" spans="1:8" s="34" customFormat="1" ht="12" customHeight="1" x14ac:dyDescent="0.2">
      <c r="A9" s="8" t="s">
        <v>343</v>
      </c>
      <c r="B9" s="38" t="s">
        <v>466</v>
      </c>
      <c r="C9" s="731">
        <v>540914065</v>
      </c>
      <c r="D9" s="39">
        <v>600182523</v>
      </c>
      <c r="E9" s="40">
        <v>600182523</v>
      </c>
    </row>
    <row r="10" spans="1:8" s="34" customFormat="1" ht="12" customHeight="1" x14ac:dyDescent="0.2">
      <c r="A10" s="8" t="s">
        <v>345</v>
      </c>
      <c r="B10" s="38" t="s">
        <v>467</v>
      </c>
      <c r="C10" s="731">
        <v>30304060</v>
      </c>
      <c r="D10" s="39">
        <v>31318596</v>
      </c>
      <c r="E10" s="40">
        <v>31318596</v>
      </c>
    </row>
    <row r="11" spans="1:8" s="34" customFormat="1" ht="12" customHeight="1" x14ac:dyDescent="0.2">
      <c r="A11" s="8" t="s">
        <v>468</v>
      </c>
      <c r="B11" s="38" t="s">
        <v>504</v>
      </c>
      <c r="C11" s="731">
        <v>173505442</v>
      </c>
      <c r="D11" s="39">
        <v>52375075</v>
      </c>
      <c r="E11" s="40">
        <v>52375075</v>
      </c>
    </row>
    <row r="12" spans="1:8" s="34" customFormat="1" ht="12" customHeight="1" thickBot="1" x14ac:dyDescent="0.25">
      <c r="A12" s="12" t="s">
        <v>347</v>
      </c>
      <c r="B12" s="41" t="s">
        <v>470</v>
      </c>
      <c r="C12" s="732">
        <f t="shared" ref="C12:C17" si="0">SUM(D12:F12)</f>
        <v>0</v>
      </c>
      <c r="D12" s="42"/>
      <c r="E12" s="43"/>
    </row>
    <row r="13" spans="1:8" s="34" customFormat="1" ht="26.25" customHeight="1" thickBot="1" x14ac:dyDescent="0.25">
      <c r="A13" s="4" t="s">
        <v>243</v>
      </c>
      <c r="B13" s="44" t="s">
        <v>471</v>
      </c>
      <c r="C13" s="275">
        <f t="shared" si="0"/>
        <v>665457483</v>
      </c>
      <c r="D13" s="32">
        <f>SUM(D14:D18)</f>
        <v>336112913</v>
      </c>
      <c r="E13" s="33">
        <f>SUM(E14:E18)</f>
        <v>329344570</v>
      </c>
    </row>
    <row r="14" spans="1:8" s="34" customFormat="1" ht="12" customHeight="1" x14ac:dyDescent="0.2">
      <c r="A14" s="10" t="s">
        <v>354</v>
      </c>
      <c r="B14" s="35" t="s">
        <v>472</v>
      </c>
      <c r="C14" s="730">
        <f t="shared" si="0"/>
        <v>0</v>
      </c>
      <c r="D14" s="36"/>
      <c r="E14" s="37"/>
    </row>
    <row r="15" spans="1:8" s="34" customFormat="1" ht="12" customHeight="1" x14ac:dyDescent="0.2">
      <c r="A15" s="8" t="s">
        <v>355</v>
      </c>
      <c r="B15" s="38" t="s">
        <v>473</v>
      </c>
      <c r="C15" s="731">
        <f t="shared" si="0"/>
        <v>0</v>
      </c>
      <c r="D15" s="39"/>
      <c r="E15" s="40"/>
    </row>
    <row r="16" spans="1:8" s="34" customFormat="1" ht="12" customHeight="1" x14ac:dyDescent="0.2">
      <c r="A16" s="8" t="s">
        <v>356</v>
      </c>
      <c r="B16" s="38" t="s">
        <v>474</v>
      </c>
      <c r="C16" s="731">
        <f t="shared" si="0"/>
        <v>0</v>
      </c>
      <c r="D16" s="39"/>
      <c r="E16" s="40"/>
    </row>
    <row r="17" spans="1:5" s="34" customFormat="1" ht="12" customHeight="1" x14ac:dyDescent="0.2">
      <c r="A17" s="8" t="s">
        <v>357</v>
      </c>
      <c r="B17" s="38" t="s">
        <v>475</v>
      </c>
      <c r="C17" s="731">
        <f t="shared" si="0"/>
        <v>0</v>
      </c>
      <c r="D17" s="39"/>
      <c r="E17" s="40"/>
    </row>
    <row r="18" spans="1:5" s="34" customFormat="1" ht="12" customHeight="1" x14ac:dyDescent="0.2">
      <c r="A18" s="8" t="s">
        <v>358</v>
      </c>
      <c r="B18" s="38" t="s">
        <v>476</v>
      </c>
      <c r="C18" s="731">
        <v>183768000</v>
      </c>
      <c r="D18" s="39">
        <v>336112913</v>
      </c>
      <c r="E18" s="40">
        <v>329344570</v>
      </c>
    </row>
    <row r="19" spans="1:5" s="34" customFormat="1" ht="12" customHeight="1" thickBot="1" x14ac:dyDescent="0.25">
      <c r="A19" s="12" t="s">
        <v>359</v>
      </c>
      <c r="B19" s="41" t="s">
        <v>477</v>
      </c>
      <c r="C19" s="732">
        <f>SUM(D19:F19)</f>
        <v>40489346</v>
      </c>
      <c r="D19" s="42">
        <v>16877134</v>
      </c>
      <c r="E19" s="43">
        <v>23612212</v>
      </c>
    </row>
    <row r="20" spans="1:5" s="34" customFormat="1" ht="25.5" customHeight="1" thickBot="1" x14ac:dyDescent="0.25">
      <c r="A20" s="4" t="s">
        <v>244</v>
      </c>
      <c r="B20" s="5" t="s">
        <v>478</v>
      </c>
      <c r="C20" s="275">
        <f>SUM(C21:C25)</f>
        <v>35178364</v>
      </c>
      <c r="D20" s="32">
        <f>SUM(D21:D25)</f>
        <v>531996708</v>
      </c>
      <c r="E20" s="33">
        <f>SUM(E21:E25)</f>
        <v>519310318</v>
      </c>
    </row>
    <row r="21" spans="1:5" s="34" customFormat="1" ht="12" customHeight="1" x14ac:dyDescent="0.2">
      <c r="A21" s="10" t="s">
        <v>322</v>
      </c>
      <c r="B21" s="35" t="s">
        <v>479</v>
      </c>
      <c r="C21" s="730">
        <f>SUM(D21:F21)</f>
        <v>31381064</v>
      </c>
      <c r="D21" s="36">
        <v>15690532</v>
      </c>
      <c r="E21" s="37">
        <v>15690532</v>
      </c>
    </row>
    <row r="22" spans="1:5" s="34" customFormat="1" ht="12" customHeight="1" x14ac:dyDescent="0.2">
      <c r="A22" s="8" t="s">
        <v>323</v>
      </c>
      <c r="B22" s="38" t="s">
        <v>480</v>
      </c>
      <c r="C22" s="731">
        <f>SUM(D22:F22)</f>
        <v>0</v>
      </c>
      <c r="D22" s="39"/>
      <c r="E22" s="40"/>
    </row>
    <row r="23" spans="1:5" s="34" customFormat="1" ht="12" customHeight="1" x14ac:dyDescent="0.2">
      <c r="A23" s="8" t="s">
        <v>325</v>
      </c>
      <c r="B23" s="38" t="s">
        <v>481</v>
      </c>
      <c r="C23" s="731">
        <f>SUM(D23:F23)</f>
        <v>0</v>
      </c>
      <c r="D23" s="39"/>
      <c r="E23" s="40"/>
    </row>
    <row r="24" spans="1:5" s="34" customFormat="1" ht="12" customHeight="1" x14ac:dyDescent="0.2">
      <c r="A24" s="8" t="s">
        <v>326</v>
      </c>
      <c r="B24" s="38" t="s">
        <v>482</v>
      </c>
      <c r="C24" s="731">
        <f>SUM(D24:F24)</f>
        <v>0</v>
      </c>
      <c r="D24" s="39"/>
      <c r="E24" s="40"/>
    </row>
    <row r="25" spans="1:5" s="34" customFormat="1" ht="12" customHeight="1" x14ac:dyDescent="0.2">
      <c r="A25" s="8" t="s">
        <v>436</v>
      </c>
      <c r="B25" s="38" t="s">
        <v>483</v>
      </c>
      <c r="C25" s="731">
        <v>3797300</v>
      </c>
      <c r="D25" s="39">
        <v>516306176</v>
      </c>
      <c r="E25" s="40">
        <v>503619786</v>
      </c>
    </row>
    <row r="26" spans="1:5" s="34" customFormat="1" ht="12" customHeight="1" thickBot="1" x14ac:dyDescent="0.25">
      <c r="A26" s="12" t="s">
        <v>437</v>
      </c>
      <c r="B26" s="45" t="s">
        <v>484</v>
      </c>
      <c r="C26" s="732">
        <v>3797300</v>
      </c>
      <c r="D26" s="42">
        <v>511621609</v>
      </c>
      <c r="E26" s="43">
        <v>500338786</v>
      </c>
    </row>
    <row r="27" spans="1:5" s="34" customFormat="1" ht="12" customHeight="1" thickBot="1" x14ac:dyDescent="0.25">
      <c r="A27" s="4" t="s">
        <v>438</v>
      </c>
      <c r="B27" s="5" t="s">
        <v>485</v>
      </c>
      <c r="C27" s="275">
        <f>C28+C32+C33+C34</f>
        <v>319390000</v>
      </c>
      <c r="D27" s="275">
        <f>D28+D32+D33+D34+D31</f>
        <v>366490000</v>
      </c>
      <c r="E27" s="275">
        <f>E28+E32+E33+E34+E31</f>
        <v>359172384</v>
      </c>
    </row>
    <row r="28" spans="1:5" s="34" customFormat="1" ht="12" customHeight="1" x14ac:dyDescent="0.2">
      <c r="A28" s="10" t="s">
        <v>327</v>
      </c>
      <c r="B28" s="35" t="s">
        <v>855</v>
      </c>
      <c r="C28" s="730">
        <f>SUM(C29:C30)</f>
        <v>282830000</v>
      </c>
      <c r="D28" s="730">
        <f>SUM(D29:D30)</f>
        <v>327830000</v>
      </c>
      <c r="E28" s="730">
        <f>SUM(E29:E30)</f>
        <v>324804247</v>
      </c>
    </row>
    <row r="29" spans="1:5" s="34" customFormat="1" ht="12" customHeight="1" x14ac:dyDescent="0.2">
      <c r="A29" s="8" t="s">
        <v>486</v>
      </c>
      <c r="B29" s="38" t="s">
        <v>487</v>
      </c>
      <c r="C29" s="731">
        <v>78990000</v>
      </c>
      <c r="D29" s="39">
        <v>78990000</v>
      </c>
      <c r="E29" s="40">
        <v>71369224</v>
      </c>
    </row>
    <row r="30" spans="1:5" s="34" customFormat="1" ht="12" customHeight="1" x14ac:dyDescent="0.2">
      <c r="A30" s="8" t="s">
        <v>488</v>
      </c>
      <c r="B30" s="38" t="s">
        <v>189</v>
      </c>
      <c r="C30" s="731">
        <v>203840000</v>
      </c>
      <c r="D30" s="39">
        <v>248840000</v>
      </c>
      <c r="E30" s="40">
        <v>253435023</v>
      </c>
    </row>
    <row r="31" spans="1:5" s="34" customFormat="1" ht="12" customHeight="1" x14ac:dyDescent="0.2">
      <c r="A31" s="8" t="s">
        <v>773</v>
      </c>
      <c r="B31" s="38" t="s">
        <v>190</v>
      </c>
      <c r="C31" s="731">
        <f>SUM(D31:F31)</f>
        <v>119318</v>
      </c>
      <c r="D31" s="39"/>
      <c r="E31" s="40">
        <v>119318</v>
      </c>
    </row>
    <row r="32" spans="1:5" s="34" customFormat="1" ht="12" customHeight="1" x14ac:dyDescent="0.2">
      <c r="A32" s="8" t="s">
        <v>774</v>
      </c>
      <c r="B32" s="38" t="s">
        <v>491</v>
      </c>
      <c r="C32" s="731">
        <v>27000000</v>
      </c>
      <c r="D32" s="39">
        <v>27000000</v>
      </c>
      <c r="E32" s="40">
        <v>26806717</v>
      </c>
    </row>
    <row r="33" spans="1:5" s="34" customFormat="1" ht="12" customHeight="1" x14ac:dyDescent="0.2">
      <c r="A33" s="8" t="s">
        <v>775</v>
      </c>
      <c r="B33" s="38" t="s">
        <v>493</v>
      </c>
      <c r="C33" s="731">
        <v>4060000</v>
      </c>
      <c r="D33" s="39">
        <v>60000</v>
      </c>
      <c r="E33" s="40">
        <v>12050</v>
      </c>
    </row>
    <row r="34" spans="1:5" s="34" customFormat="1" ht="12" customHeight="1" thickBot="1" x14ac:dyDescent="0.25">
      <c r="A34" s="12" t="s">
        <v>776</v>
      </c>
      <c r="B34" s="38" t="s">
        <v>494</v>
      </c>
      <c r="C34" s="732">
        <v>5500000</v>
      </c>
      <c r="D34" s="42">
        <v>11600000</v>
      </c>
      <c r="E34" s="43">
        <v>7430052</v>
      </c>
    </row>
    <row r="35" spans="1:5" s="34" customFormat="1" ht="12" customHeight="1" thickBot="1" x14ac:dyDescent="0.25">
      <c r="A35" s="4" t="s">
        <v>246</v>
      </c>
      <c r="B35" s="5" t="s">
        <v>495</v>
      </c>
      <c r="C35" s="275">
        <f>SUM(C36:C46)</f>
        <v>448076711</v>
      </c>
      <c r="D35" s="275">
        <f>SUM(D36:D46)</f>
        <v>447749145</v>
      </c>
      <c r="E35" s="275">
        <f>SUM(E36:E46)</f>
        <v>420500148</v>
      </c>
    </row>
    <row r="36" spans="1:5" s="34" customFormat="1" ht="12" customHeight="1" x14ac:dyDescent="0.2">
      <c r="A36" s="10" t="s">
        <v>329</v>
      </c>
      <c r="B36" s="35" t="s">
        <v>496</v>
      </c>
      <c r="C36" s="730">
        <v>13087000</v>
      </c>
      <c r="D36" s="36">
        <v>19744849</v>
      </c>
      <c r="E36" s="37">
        <v>14756313</v>
      </c>
    </row>
    <row r="37" spans="1:5" s="34" customFormat="1" ht="12" customHeight="1" x14ac:dyDescent="0.2">
      <c r="A37" s="8" t="s">
        <v>330</v>
      </c>
      <c r="B37" s="38" t="s">
        <v>509</v>
      </c>
      <c r="C37" s="731">
        <v>87991338</v>
      </c>
      <c r="D37" s="39">
        <v>96485845</v>
      </c>
      <c r="E37" s="40">
        <v>97064914</v>
      </c>
    </row>
    <row r="38" spans="1:5" s="34" customFormat="1" ht="12" customHeight="1" x14ac:dyDescent="0.2">
      <c r="A38" s="8" t="s">
        <v>331</v>
      </c>
      <c r="B38" s="38" t="s">
        <v>510</v>
      </c>
      <c r="C38" s="731">
        <v>95623340</v>
      </c>
      <c r="D38" s="39">
        <v>87080395</v>
      </c>
      <c r="E38" s="40">
        <v>72323829</v>
      </c>
    </row>
    <row r="39" spans="1:5" s="34" customFormat="1" ht="12" customHeight="1" x14ac:dyDescent="0.2">
      <c r="A39" s="8" t="s">
        <v>439</v>
      </c>
      <c r="B39" s="38" t="s">
        <v>511</v>
      </c>
      <c r="C39" s="731">
        <v>430000</v>
      </c>
      <c r="D39" s="39">
        <v>430000</v>
      </c>
      <c r="E39" s="40">
        <v>875976</v>
      </c>
    </row>
    <row r="40" spans="1:5" s="34" customFormat="1" ht="12" customHeight="1" x14ac:dyDescent="0.2">
      <c r="A40" s="8" t="s">
        <v>440</v>
      </c>
      <c r="B40" s="38" t="s">
        <v>512</v>
      </c>
      <c r="C40" s="731">
        <v>182811402</v>
      </c>
      <c r="D40" s="39">
        <v>170588468</v>
      </c>
      <c r="E40" s="40">
        <v>170046831</v>
      </c>
    </row>
    <row r="41" spans="1:5" s="34" customFormat="1" ht="12" customHeight="1" x14ac:dyDescent="0.2">
      <c r="A41" s="8" t="s">
        <v>441</v>
      </c>
      <c r="B41" s="38" t="s">
        <v>513</v>
      </c>
      <c r="C41" s="731">
        <v>45733598</v>
      </c>
      <c r="D41" s="39">
        <v>48441681</v>
      </c>
      <c r="E41" s="40">
        <v>42697431</v>
      </c>
    </row>
    <row r="42" spans="1:5" s="34" customFormat="1" ht="12" customHeight="1" x14ac:dyDescent="0.2">
      <c r="A42" s="8" t="s">
        <v>442</v>
      </c>
      <c r="B42" s="38" t="s">
        <v>514</v>
      </c>
      <c r="C42" s="731">
        <v>21034000</v>
      </c>
      <c r="D42" s="39">
        <v>21600602</v>
      </c>
      <c r="E42" s="40">
        <v>17615000</v>
      </c>
    </row>
    <row r="43" spans="1:5" s="34" customFormat="1" ht="12" customHeight="1" x14ac:dyDescent="0.2">
      <c r="A43" s="8" t="s">
        <v>443</v>
      </c>
      <c r="B43" s="38" t="s">
        <v>515</v>
      </c>
      <c r="C43" s="731">
        <v>40000</v>
      </c>
      <c r="D43" s="39">
        <v>40012</v>
      </c>
      <c r="E43" s="40">
        <v>147121</v>
      </c>
    </row>
    <row r="44" spans="1:5" s="34" customFormat="1" ht="12" customHeight="1" x14ac:dyDescent="0.2">
      <c r="A44" s="8" t="s">
        <v>516</v>
      </c>
      <c r="B44" s="38" t="s">
        <v>517</v>
      </c>
      <c r="C44" s="731">
        <f>SUM(D44:F44)</f>
        <v>22033</v>
      </c>
      <c r="D44" s="49"/>
      <c r="E44" s="50">
        <v>22033</v>
      </c>
    </row>
    <row r="45" spans="1:5" s="34" customFormat="1" ht="12" customHeight="1" x14ac:dyDescent="0.2">
      <c r="A45" s="12" t="s">
        <v>518</v>
      </c>
      <c r="B45" s="41" t="s">
        <v>295</v>
      </c>
      <c r="C45" s="731">
        <v>500000</v>
      </c>
      <c r="D45" s="51">
        <v>500000</v>
      </c>
      <c r="E45" s="52">
        <v>722335</v>
      </c>
    </row>
    <row r="46" spans="1:5" s="34" customFormat="1" ht="12" customHeight="1" thickBot="1" x14ac:dyDescent="0.25">
      <c r="A46" s="12" t="s">
        <v>294</v>
      </c>
      <c r="B46" s="41" t="s">
        <v>519</v>
      </c>
      <c r="C46" s="732">
        <v>804000</v>
      </c>
      <c r="D46" s="51">
        <v>2837293</v>
      </c>
      <c r="E46" s="52">
        <v>4228365</v>
      </c>
    </row>
    <row r="47" spans="1:5" s="34" customFormat="1" ht="12" customHeight="1" thickBot="1" x14ac:dyDescent="0.25">
      <c r="A47" s="4" t="s">
        <v>249</v>
      </c>
      <c r="B47" s="5" t="s">
        <v>520</v>
      </c>
      <c r="C47" s="275">
        <f>SUM(C48:C52)</f>
        <v>25787225</v>
      </c>
      <c r="D47" s="275">
        <f>SUM(D48:D52)</f>
        <v>47429000</v>
      </c>
      <c r="E47" s="275">
        <f>SUM(E48:E52)</f>
        <v>31376724</v>
      </c>
    </row>
    <row r="48" spans="1:5" s="34" customFormat="1" ht="12" customHeight="1" x14ac:dyDescent="0.2">
      <c r="A48" s="10" t="s">
        <v>332</v>
      </c>
      <c r="B48" s="35" t="s">
        <v>521</v>
      </c>
      <c r="C48" s="730">
        <f>SUM(D48:F48)</f>
        <v>0</v>
      </c>
      <c r="D48" s="53"/>
      <c r="E48" s="54"/>
    </row>
    <row r="49" spans="1:5" s="34" customFormat="1" ht="12" customHeight="1" x14ac:dyDescent="0.2">
      <c r="A49" s="8" t="s">
        <v>333</v>
      </c>
      <c r="B49" s="38" t="s">
        <v>206</v>
      </c>
      <c r="C49" s="731">
        <v>25179000</v>
      </c>
      <c r="D49" s="49">
        <v>47179000</v>
      </c>
      <c r="E49" s="50">
        <v>31018499</v>
      </c>
    </row>
    <row r="50" spans="1:5" s="34" customFormat="1" ht="12" customHeight="1" x14ac:dyDescent="0.2">
      <c r="A50" s="8" t="s">
        <v>522</v>
      </c>
      <c r="B50" s="38" t="s">
        <v>523</v>
      </c>
      <c r="C50" s="731">
        <f>SUM(D50:F50)</f>
        <v>503700</v>
      </c>
      <c r="D50" s="49">
        <v>250000</v>
      </c>
      <c r="E50" s="50">
        <v>253700</v>
      </c>
    </row>
    <row r="51" spans="1:5" s="34" customFormat="1" ht="12" customHeight="1" x14ac:dyDescent="0.2">
      <c r="A51" s="8" t="s">
        <v>524</v>
      </c>
      <c r="B51" s="38" t="s">
        <v>525</v>
      </c>
      <c r="C51" s="731">
        <f>SUM(D51:F51)</f>
        <v>100000</v>
      </c>
      <c r="D51" s="49"/>
      <c r="E51" s="50">
        <v>100000</v>
      </c>
    </row>
    <row r="52" spans="1:5" s="34" customFormat="1" ht="12" customHeight="1" thickBot="1" x14ac:dyDescent="0.25">
      <c r="A52" s="12" t="s">
        <v>526</v>
      </c>
      <c r="B52" s="41" t="s">
        <v>527</v>
      </c>
      <c r="C52" s="732">
        <f>SUM(D52:F52)</f>
        <v>4525</v>
      </c>
      <c r="D52" s="51"/>
      <c r="E52" s="52">
        <v>4525</v>
      </c>
    </row>
    <row r="53" spans="1:5" s="34" customFormat="1" ht="17.25" customHeight="1" thickBot="1" x14ac:dyDescent="0.25">
      <c r="A53" s="4" t="s">
        <v>444</v>
      </c>
      <c r="B53" s="5" t="s">
        <v>528</v>
      </c>
      <c r="C53" s="275">
        <f>SUM(C54:C56)</f>
        <v>6024000</v>
      </c>
      <c r="D53" s="275">
        <f>SUM(D54:D56)</f>
        <v>24644433</v>
      </c>
      <c r="E53" s="275">
        <f>SUM(E54:E56)</f>
        <v>21824515</v>
      </c>
    </row>
    <row r="54" spans="1:5" s="34" customFormat="1" ht="11.25" customHeight="1" x14ac:dyDescent="0.2">
      <c r="A54" s="10" t="s">
        <v>334</v>
      </c>
      <c r="B54" s="35" t="s">
        <v>529</v>
      </c>
      <c r="C54" s="730">
        <f>SUM(D54:F54)</f>
        <v>0</v>
      </c>
      <c r="D54" s="36"/>
      <c r="E54" s="37"/>
    </row>
    <row r="55" spans="1:5" s="34" customFormat="1" ht="21" customHeight="1" x14ac:dyDescent="0.2">
      <c r="A55" s="8" t="s">
        <v>335</v>
      </c>
      <c r="B55" s="38" t="s">
        <v>530</v>
      </c>
      <c r="C55" s="731">
        <v>1949000</v>
      </c>
      <c r="D55" s="39">
        <v>19949000</v>
      </c>
      <c r="E55" s="40">
        <v>18383349</v>
      </c>
    </row>
    <row r="56" spans="1:5" s="34" customFormat="1" ht="12" customHeight="1" x14ac:dyDescent="0.2">
      <c r="A56" s="8" t="s">
        <v>445</v>
      </c>
      <c r="B56" s="38" t="s">
        <v>531</v>
      </c>
      <c r="C56" s="731">
        <v>4075000</v>
      </c>
      <c r="D56" s="39">
        <v>4695433</v>
      </c>
      <c r="E56" s="40">
        <v>3441166</v>
      </c>
    </row>
    <row r="57" spans="1:5" s="34" customFormat="1" ht="12" customHeight="1" thickBot="1" x14ac:dyDescent="0.25">
      <c r="A57" s="12" t="s">
        <v>532</v>
      </c>
      <c r="B57" s="41" t="s">
        <v>533</v>
      </c>
      <c r="C57" s="732">
        <f t="shared" ref="C57:C62" si="1">SUM(D57:F57)</f>
        <v>0</v>
      </c>
      <c r="D57" s="42"/>
      <c r="E57" s="43"/>
    </row>
    <row r="58" spans="1:5" s="34" customFormat="1" ht="12" customHeight="1" thickBot="1" x14ac:dyDescent="0.25">
      <c r="A58" s="4" t="s">
        <v>251</v>
      </c>
      <c r="B58" s="44" t="s">
        <v>534</v>
      </c>
      <c r="C58" s="275">
        <f t="shared" si="1"/>
        <v>2000000</v>
      </c>
      <c r="D58" s="32">
        <f>SUM(D59:D61)</f>
        <v>1000000</v>
      </c>
      <c r="E58" s="33">
        <f>SUM(E59:E61)</f>
        <v>1000000</v>
      </c>
    </row>
    <row r="59" spans="1:5" s="34" customFormat="1" ht="12" customHeight="1" x14ac:dyDescent="0.2">
      <c r="A59" s="10" t="s">
        <v>446</v>
      </c>
      <c r="B59" s="35" t="s">
        <v>535</v>
      </c>
      <c r="C59" s="730">
        <f t="shared" si="1"/>
        <v>0</v>
      </c>
      <c r="D59" s="49"/>
      <c r="E59" s="50"/>
    </row>
    <row r="60" spans="1:5" s="34" customFormat="1" ht="22.5" customHeight="1" x14ac:dyDescent="0.2">
      <c r="A60" s="8" t="s">
        <v>447</v>
      </c>
      <c r="B60" s="38" t="s">
        <v>536</v>
      </c>
      <c r="C60" s="731">
        <f t="shared" si="1"/>
        <v>0</v>
      </c>
      <c r="D60" s="49"/>
      <c r="E60" s="50"/>
    </row>
    <row r="61" spans="1:5" s="34" customFormat="1" ht="12" customHeight="1" x14ac:dyDescent="0.2">
      <c r="A61" s="8" t="s">
        <v>537</v>
      </c>
      <c r="B61" s="38" t="s">
        <v>538</v>
      </c>
      <c r="C61" s="731">
        <f t="shared" si="1"/>
        <v>2000000</v>
      </c>
      <c r="D61" s="49">
        <v>1000000</v>
      </c>
      <c r="E61" s="50">
        <v>1000000</v>
      </c>
    </row>
    <row r="62" spans="1:5" s="34" customFormat="1" ht="12" customHeight="1" thickBot="1" x14ac:dyDescent="0.25">
      <c r="A62" s="12" t="s">
        <v>539</v>
      </c>
      <c r="B62" s="41" t="s">
        <v>540</v>
      </c>
      <c r="C62" s="732">
        <f t="shared" si="1"/>
        <v>0</v>
      </c>
      <c r="D62" s="565"/>
      <c r="E62" s="50"/>
    </row>
    <row r="63" spans="1:5" s="34" customFormat="1" ht="12" customHeight="1" thickBot="1" x14ac:dyDescent="0.25">
      <c r="A63" s="4" t="s">
        <v>252</v>
      </c>
      <c r="B63" s="5" t="s">
        <v>541</v>
      </c>
      <c r="C63" s="275">
        <v>2176556378</v>
      </c>
      <c r="D63" s="46">
        <f>D6+D13+D20+D27+D35+D47+D53+D58</f>
        <v>2891806786</v>
      </c>
      <c r="E63" s="46">
        <f>E6+E13+E20+E27+E35+E47+E53+E58</f>
        <v>2818913246</v>
      </c>
    </row>
    <row r="64" spans="1:5" s="34" customFormat="1" ht="12" customHeight="1" thickBot="1" x14ac:dyDescent="0.25">
      <c r="A64" s="55" t="s">
        <v>542</v>
      </c>
      <c r="B64" s="44" t="s">
        <v>543</v>
      </c>
      <c r="C64" s="733">
        <f>SUM(C65:C67)</f>
        <v>144100000</v>
      </c>
      <c r="D64" s="733">
        <f>SUM(D65:D67)</f>
        <v>187500000</v>
      </c>
      <c r="E64" s="733">
        <f>SUM(E65:E67)</f>
        <v>23966616</v>
      </c>
    </row>
    <row r="65" spans="1:5" s="34" customFormat="1" ht="12" customHeight="1" x14ac:dyDescent="0.2">
      <c r="A65" s="10" t="s">
        <v>544</v>
      </c>
      <c r="B65" s="35" t="s">
        <v>545</v>
      </c>
      <c r="C65" s="730">
        <v>44100000</v>
      </c>
      <c r="D65" s="49">
        <v>87500000</v>
      </c>
      <c r="E65" s="50">
        <v>23966616</v>
      </c>
    </row>
    <row r="66" spans="1:5" s="34" customFormat="1" ht="12" customHeight="1" x14ac:dyDescent="0.2">
      <c r="A66" s="8" t="s">
        <v>546</v>
      </c>
      <c r="B66" s="38" t="s">
        <v>547</v>
      </c>
      <c r="C66" s="731">
        <v>100000000</v>
      </c>
      <c r="D66" s="49">
        <v>100000000</v>
      </c>
      <c r="E66" s="50"/>
    </row>
    <row r="67" spans="1:5" s="34" customFormat="1" ht="12" customHeight="1" thickBot="1" x14ac:dyDescent="0.25">
      <c r="A67" s="12" t="s">
        <v>548</v>
      </c>
      <c r="B67" s="56" t="s">
        <v>549</v>
      </c>
      <c r="C67" s="732">
        <f>SUM(D67:F67)</f>
        <v>0</v>
      </c>
      <c r="D67" s="49"/>
      <c r="E67" s="50"/>
    </row>
    <row r="68" spans="1:5" s="34" customFormat="1" ht="12" customHeight="1" thickBot="1" x14ac:dyDescent="0.25">
      <c r="A68" s="55" t="s">
        <v>550</v>
      </c>
      <c r="B68" s="44" t="s">
        <v>551</v>
      </c>
      <c r="C68" s="734">
        <f>SUM(D68:F68)</f>
        <v>0</v>
      </c>
      <c r="D68" s="32">
        <f>+D69+D70+D71+D72</f>
        <v>0</v>
      </c>
      <c r="E68" s="33">
        <f>+E69+E70+E71+E72</f>
        <v>0</v>
      </c>
    </row>
    <row r="69" spans="1:5" s="34" customFormat="1" ht="13.5" customHeight="1" x14ac:dyDescent="0.2">
      <c r="A69" s="10" t="s">
        <v>336</v>
      </c>
      <c r="B69" s="35" t="s">
        <v>552</v>
      </c>
      <c r="C69" s="730">
        <f>SUM(D69:F69)</f>
        <v>0</v>
      </c>
      <c r="D69" s="49"/>
      <c r="E69" s="50"/>
    </row>
    <row r="70" spans="1:5" s="34" customFormat="1" ht="12" customHeight="1" x14ac:dyDescent="0.2">
      <c r="A70" s="8" t="s">
        <v>337</v>
      </c>
      <c r="B70" s="38" t="s">
        <v>553</v>
      </c>
      <c r="C70" s="731">
        <f>SUM(D70:F70)</f>
        <v>0</v>
      </c>
      <c r="D70" s="49"/>
      <c r="E70" s="50"/>
    </row>
    <row r="71" spans="1:5" s="34" customFormat="1" ht="12" customHeight="1" x14ac:dyDescent="0.2">
      <c r="A71" s="8" t="s">
        <v>554</v>
      </c>
      <c r="B71" s="38" t="s">
        <v>555</v>
      </c>
      <c r="C71" s="731">
        <f t="shared" ref="C71:C86" si="2">SUM(D71:F71)</f>
        <v>0</v>
      </c>
      <c r="D71" s="49"/>
      <c r="E71" s="50"/>
    </row>
    <row r="72" spans="1:5" s="34" customFormat="1" ht="12" customHeight="1" thickBot="1" x14ac:dyDescent="0.25">
      <c r="A72" s="12" t="s">
        <v>556</v>
      </c>
      <c r="B72" s="41" t="s">
        <v>557</v>
      </c>
      <c r="C72" s="732">
        <f t="shared" si="2"/>
        <v>0</v>
      </c>
      <c r="D72" s="49"/>
      <c r="E72" s="50"/>
    </row>
    <row r="73" spans="1:5" s="34" customFormat="1" ht="12" customHeight="1" thickBot="1" x14ac:dyDescent="0.25">
      <c r="A73" s="55" t="s">
        <v>558</v>
      </c>
      <c r="B73" s="44" t="s">
        <v>559</v>
      </c>
      <c r="C73" s="275">
        <f>SUM(C74:C75)</f>
        <v>292999415</v>
      </c>
      <c r="D73" s="275">
        <f>SUM(D74:D75)</f>
        <v>292999415</v>
      </c>
      <c r="E73" s="275">
        <f>SUM(E74:E75)</f>
        <v>292999415</v>
      </c>
    </row>
    <row r="74" spans="1:5" s="34" customFormat="1" ht="12" customHeight="1" x14ac:dyDescent="0.2">
      <c r="A74" s="10" t="s">
        <v>560</v>
      </c>
      <c r="B74" s="35" t="s">
        <v>561</v>
      </c>
      <c r="C74" s="730">
        <v>292999415</v>
      </c>
      <c r="D74" s="49">
        <v>292999415</v>
      </c>
      <c r="E74" s="50">
        <v>292999415</v>
      </c>
    </row>
    <row r="75" spans="1:5" s="34" customFormat="1" ht="12" customHeight="1" thickBot="1" x14ac:dyDescent="0.25">
      <c r="A75" s="12" t="s">
        <v>562</v>
      </c>
      <c r="B75" s="41" t="s">
        <v>569</v>
      </c>
      <c r="C75" s="732">
        <f t="shared" si="2"/>
        <v>0</v>
      </c>
      <c r="D75" s="49"/>
      <c r="E75" s="50"/>
    </row>
    <row r="76" spans="1:5" s="34" customFormat="1" ht="12" customHeight="1" thickBot="1" x14ac:dyDescent="0.25">
      <c r="A76" s="55" t="s">
        <v>570</v>
      </c>
      <c r="B76" s="44" t="s">
        <v>571</v>
      </c>
      <c r="C76" s="734">
        <f t="shared" si="2"/>
        <v>76335182</v>
      </c>
      <c r="D76" s="32">
        <f>+D77+D78+D79</f>
        <v>38167591</v>
      </c>
      <c r="E76" s="33">
        <f>+E77+E78+E79</f>
        <v>38167591</v>
      </c>
    </row>
    <row r="77" spans="1:5" s="34" customFormat="1" ht="12" customHeight="1" x14ac:dyDescent="0.2">
      <c r="A77" s="10" t="s">
        <v>572</v>
      </c>
      <c r="B77" s="35" t="s">
        <v>573</v>
      </c>
      <c r="C77" s="730">
        <f t="shared" si="2"/>
        <v>76335182</v>
      </c>
      <c r="D77" s="49">
        <v>38167591</v>
      </c>
      <c r="E77" s="50">
        <v>38167591</v>
      </c>
    </row>
    <row r="78" spans="1:5" s="34" customFormat="1" ht="12" customHeight="1" x14ac:dyDescent="0.2">
      <c r="A78" s="8" t="s">
        <v>574</v>
      </c>
      <c r="B78" s="38" t="s">
        <v>575</v>
      </c>
      <c r="C78" s="731">
        <f t="shared" si="2"/>
        <v>0</v>
      </c>
      <c r="D78" s="49"/>
      <c r="E78" s="50"/>
    </row>
    <row r="79" spans="1:5" s="34" customFormat="1" ht="12" customHeight="1" thickBot="1" x14ac:dyDescent="0.25">
      <c r="A79" s="12" t="s">
        <v>576</v>
      </c>
      <c r="B79" s="45" t="s">
        <v>577</v>
      </c>
      <c r="C79" s="732">
        <f t="shared" si="2"/>
        <v>0</v>
      </c>
      <c r="D79" s="49"/>
      <c r="E79" s="50"/>
    </row>
    <row r="80" spans="1:5" s="34" customFormat="1" ht="12" customHeight="1" thickBot="1" x14ac:dyDescent="0.25">
      <c r="A80" s="55" t="s">
        <v>578</v>
      </c>
      <c r="B80" s="44" t="s">
        <v>579</v>
      </c>
      <c r="C80" s="734">
        <f t="shared" si="2"/>
        <v>0</v>
      </c>
      <c r="D80" s="32">
        <f>+D81+D82+D83+D84</f>
        <v>0</v>
      </c>
      <c r="E80" s="33">
        <f>+E81+E82+E83+E84</f>
        <v>0</v>
      </c>
    </row>
    <row r="81" spans="1:5" s="34" customFormat="1" ht="12" customHeight="1" x14ac:dyDescent="0.2">
      <c r="A81" s="57" t="s">
        <v>580</v>
      </c>
      <c r="B81" s="35" t="s">
        <v>581</v>
      </c>
      <c r="C81" s="730">
        <f t="shared" si="2"/>
        <v>0</v>
      </c>
      <c r="D81" s="49"/>
      <c r="E81" s="50"/>
    </row>
    <row r="82" spans="1:5" s="34" customFormat="1" ht="12" customHeight="1" x14ac:dyDescent="0.2">
      <c r="A82" s="58" t="s">
        <v>582</v>
      </c>
      <c r="B82" s="38" t="s">
        <v>587</v>
      </c>
      <c r="C82" s="731">
        <f t="shared" si="2"/>
        <v>0</v>
      </c>
      <c r="D82" s="49"/>
      <c r="E82" s="50"/>
    </row>
    <row r="83" spans="1:5" s="34" customFormat="1" ht="12" customHeight="1" x14ac:dyDescent="0.2">
      <c r="A83" s="58" t="s">
        <v>588</v>
      </c>
      <c r="B83" s="38" t="s">
        <v>589</v>
      </c>
      <c r="C83" s="731">
        <f t="shared" si="2"/>
        <v>0</v>
      </c>
      <c r="D83" s="49"/>
      <c r="E83" s="50"/>
    </row>
    <row r="84" spans="1:5" s="34" customFormat="1" ht="12" customHeight="1" thickBot="1" x14ac:dyDescent="0.25">
      <c r="A84" s="59" t="s">
        <v>590</v>
      </c>
      <c r="B84" s="45" t="s">
        <v>591</v>
      </c>
      <c r="C84" s="732">
        <f t="shared" si="2"/>
        <v>0</v>
      </c>
      <c r="D84" s="49"/>
      <c r="E84" s="50"/>
    </row>
    <row r="85" spans="1:5" s="34" customFormat="1" ht="12" customHeight="1" thickBot="1" x14ac:dyDescent="0.25">
      <c r="A85" s="739" t="s">
        <v>260</v>
      </c>
      <c r="B85" s="736"/>
      <c r="C85" s="735">
        <f t="shared" si="2"/>
        <v>0</v>
      </c>
      <c r="D85" s="737"/>
      <c r="E85" s="738"/>
    </row>
    <row r="86" spans="1:5" s="34" customFormat="1" ht="12" customHeight="1" thickBot="1" x14ac:dyDescent="0.25">
      <c r="A86" s="55" t="s">
        <v>594</v>
      </c>
      <c r="B86" s="44" t="s">
        <v>593</v>
      </c>
      <c r="C86" s="275">
        <f t="shared" si="2"/>
        <v>0</v>
      </c>
      <c r="D86" s="60"/>
      <c r="E86" s="61"/>
    </row>
    <row r="87" spans="1:5" s="34" customFormat="1" ht="12" customHeight="1" thickBot="1" x14ac:dyDescent="0.25">
      <c r="A87" s="55" t="s">
        <v>596</v>
      </c>
      <c r="B87" s="62" t="s">
        <v>595</v>
      </c>
      <c r="C87" s="275">
        <v>437099415</v>
      </c>
      <c r="D87" s="46">
        <f>+D64+D68+D73+D76+D80+D86</f>
        <v>518667006</v>
      </c>
      <c r="E87" s="47">
        <f>+E64+E68+E73+E76+E80+E86</f>
        <v>355133622</v>
      </c>
    </row>
    <row r="88" spans="1:5" s="34" customFormat="1" ht="20.25" customHeight="1" thickBot="1" x14ac:dyDescent="0.25">
      <c r="A88" s="63" t="s">
        <v>777</v>
      </c>
      <c r="B88" s="64" t="s">
        <v>597</v>
      </c>
      <c r="C88" s="275">
        <v>2613655793</v>
      </c>
      <c r="D88" s="46">
        <f>D87+D63</f>
        <v>3410473792</v>
      </c>
      <c r="E88" s="46">
        <f>E87+E63</f>
        <v>3174046868</v>
      </c>
    </row>
    <row r="89" spans="1:5" s="34" customFormat="1" ht="12" customHeight="1" x14ac:dyDescent="0.2">
      <c r="A89" s="65"/>
      <c r="B89" s="65"/>
      <c r="C89" s="66"/>
      <c r="D89" s="66"/>
      <c r="E89" s="66"/>
    </row>
    <row r="90" spans="1:5" ht="16.5" customHeight="1" x14ac:dyDescent="0.25">
      <c r="A90" s="934" t="s">
        <v>338</v>
      </c>
      <c r="B90" s="934"/>
      <c r="C90" s="934"/>
      <c r="D90" s="934"/>
      <c r="E90" s="934"/>
    </row>
    <row r="91" spans="1:5" s="69" customFormat="1" ht="16.5" customHeight="1" thickBot="1" x14ac:dyDescent="0.3">
      <c r="A91" s="67" t="s">
        <v>339</v>
      </c>
      <c r="B91" s="67"/>
      <c r="C91" s="68"/>
      <c r="D91" s="68"/>
      <c r="E91" s="68" t="s">
        <v>469</v>
      </c>
    </row>
    <row r="92" spans="1:5" s="69" customFormat="1" ht="16.5" customHeight="1" x14ac:dyDescent="0.25">
      <c r="A92" s="935" t="s">
        <v>405</v>
      </c>
      <c r="B92" s="937" t="s">
        <v>598</v>
      </c>
      <c r="C92" s="659"/>
      <c r="D92" s="661" t="s">
        <v>772</v>
      </c>
      <c r="E92" s="660"/>
    </row>
    <row r="93" spans="1:5" ht="38.1" customHeight="1" thickBot="1" x14ac:dyDescent="0.3">
      <c r="A93" s="936"/>
      <c r="B93" s="938"/>
      <c r="C93" s="28" t="s">
        <v>455</v>
      </c>
      <c r="D93" s="28" t="s">
        <v>456</v>
      </c>
      <c r="E93" s="29" t="s">
        <v>228</v>
      </c>
    </row>
    <row r="94" spans="1:5" s="31" customFormat="1" ht="12" customHeight="1" thickBot="1" x14ac:dyDescent="0.25">
      <c r="A94" s="1" t="s">
        <v>457</v>
      </c>
      <c r="B94" s="2" t="s">
        <v>458</v>
      </c>
      <c r="C94" s="2" t="s">
        <v>459</v>
      </c>
      <c r="D94" s="2" t="s">
        <v>460</v>
      </c>
      <c r="E94" s="70" t="s">
        <v>461</v>
      </c>
    </row>
    <row r="95" spans="1:5" ht="12" customHeight="1" thickBot="1" x14ac:dyDescent="0.3">
      <c r="A95" s="3" t="s">
        <v>235</v>
      </c>
      <c r="B95" s="71" t="s">
        <v>647</v>
      </c>
      <c r="C95" s="72">
        <f>SUM(C96:C100)</f>
        <v>2174870374</v>
      </c>
      <c r="D95" s="72">
        <f>SUM(D96:D100)</f>
        <v>2475208869</v>
      </c>
      <c r="E95" s="73">
        <f>SUM(E96:E100)</f>
        <v>2320236612</v>
      </c>
    </row>
    <row r="96" spans="1:5" ht="12" customHeight="1" x14ac:dyDescent="0.25">
      <c r="A96" s="13" t="s">
        <v>340</v>
      </c>
      <c r="B96" s="14" t="s">
        <v>341</v>
      </c>
      <c r="C96" s="74">
        <v>979310571</v>
      </c>
      <c r="D96" s="74">
        <v>1094113234</v>
      </c>
      <c r="E96" s="75">
        <v>1063192965</v>
      </c>
    </row>
    <row r="97" spans="1:5" ht="12" customHeight="1" x14ac:dyDescent="0.25">
      <c r="A97" s="8" t="s">
        <v>342</v>
      </c>
      <c r="B97" s="9" t="s">
        <v>449</v>
      </c>
      <c r="C97" s="39">
        <v>210767361</v>
      </c>
      <c r="D97" s="39">
        <v>230642127</v>
      </c>
      <c r="E97" s="40">
        <v>223000766</v>
      </c>
    </row>
    <row r="98" spans="1:5" ht="12" customHeight="1" x14ac:dyDescent="0.25">
      <c r="A98" s="8" t="s">
        <v>343</v>
      </c>
      <c r="B98" s="9" t="s">
        <v>344</v>
      </c>
      <c r="C98" s="42">
        <v>852397442</v>
      </c>
      <c r="D98" s="42">
        <v>953501741</v>
      </c>
      <c r="E98" s="43">
        <v>840414038</v>
      </c>
    </row>
    <row r="99" spans="1:5" ht="12" customHeight="1" x14ac:dyDescent="0.25">
      <c r="A99" s="8" t="s">
        <v>345</v>
      </c>
      <c r="B99" s="16" t="s">
        <v>450</v>
      </c>
      <c r="C99" s="42">
        <v>95230000</v>
      </c>
      <c r="D99" s="42">
        <v>78463740</v>
      </c>
      <c r="E99" s="43">
        <v>75302178</v>
      </c>
    </row>
    <row r="100" spans="1:5" ht="12" customHeight="1" x14ac:dyDescent="0.25">
      <c r="A100" s="8" t="s">
        <v>346</v>
      </c>
      <c r="B100" s="17" t="s">
        <v>451</v>
      </c>
      <c r="C100" s="42">
        <v>37165000</v>
      </c>
      <c r="D100" s="42">
        <v>118488027</v>
      </c>
      <c r="E100" s="43">
        <v>118326665</v>
      </c>
    </row>
    <row r="101" spans="1:5" ht="12" customHeight="1" x14ac:dyDescent="0.25">
      <c r="A101" s="8" t="s">
        <v>347</v>
      </c>
      <c r="B101" s="9" t="s">
        <v>599</v>
      </c>
      <c r="C101" s="42"/>
      <c r="D101" s="42">
        <v>10170027</v>
      </c>
      <c r="E101" s="43">
        <v>10168527</v>
      </c>
    </row>
    <row r="102" spans="1:5" ht="12" customHeight="1" x14ac:dyDescent="0.25">
      <c r="A102" s="8"/>
      <c r="B102" s="20" t="s">
        <v>296</v>
      </c>
      <c r="C102" s="42"/>
      <c r="D102" s="42"/>
      <c r="E102" s="43"/>
    </row>
    <row r="103" spans="1:5" ht="12" customHeight="1" x14ac:dyDescent="0.25">
      <c r="A103" s="8"/>
      <c r="B103" s="20" t="s">
        <v>600</v>
      </c>
      <c r="C103" s="42"/>
      <c r="D103" s="42"/>
      <c r="E103" s="43"/>
    </row>
    <row r="104" spans="1:5" ht="12" customHeight="1" x14ac:dyDescent="0.25">
      <c r="A104" s="8" t="s">
        <v>348</v>
      </c>
      <c r="B104" s="20" t="s">
        <v>297</v>
      </c>
      <c r="C104" s="42"/>
      <c r="D104" s="42"/>
      <c r="E104" s="43"/>
    </row>
    <row r="105" spans="1:5" ht="16.5" customHeight="1" x14ac:dyDescent="0.25">
      <c r="A105" s="8" t="s">
        <v>349</v>
      </c>
      <c r="B105" s="21" t="s">
        <v>601</v>
      </c>
      <c r="C105" s="42"/>
      <c r="D105" s="42"/>
      <c r="E105" s="43"/>
    </row>
    <row r="106" spans="1:5" ht="19.5" customHeight="1" x14ac:dyDescent="0.25">
      <c r="A106" s="8" t="s">
        <v>350</v>
      </c>
      <c r="B106" s="21" t="s">
        <v>602</v>
      </c>
      <c r="C106" s="42"/>
      <c r="D106" s="42"/>
      <c r="E106" s="43"/>
    </row>
    <row r="107" spans="1:5" ht="12" customHeight="1" x14ac:dyDescent="0.25">
      <c r="A107" s="8" t="s">
        <v>351</v>
      </c>
      <c r="B107" s="20" t="s">
        <v>603</v>
      </c>
      <c r="C107" s="42"/>
      <c r="D107" s="42">
        <v>785000</v>
      </c>
      <c r="E107" s="43">
        <v>785000</v>
      </c>
    </row>
    <row r="108" spans="1:5" ht="12" customHeight="1" x14ac:dyDescent="0.25">
      <c r="A108" s="8" t="s">
        <v>352</v>
      </c>
      <c r="B108" s="20" t="s">
        <v>604</v>
      </c>
      <c r="C108" s="42"/>
      <c r="D108" s="42"/>
      <c r="E108" s="43"/>
    </row>
    <row r="109" spans="1:5" ht="15" customHeight="1" x14ac:dyDescent="0.25">
      <c r="A109" s="8" t="s">
        <v>353</v>
      </c>
      <c r="B109" s="21" t="s">
        <v>605</v>
      </c>
      <c r="C109" s="42"/>
      <c r="D109" s="42"/>
      <c r="E109" s="43"/>
    </row>
    <row r="110" spans="1:5" ht="12" customHeight="1" x14ac:dyDescent="0.25">
      <c r="A110" s="6" t="s">
        <v>606</v>
      </c>
      <c r="B110" s="22" t="s">
        <v>607</v>
      </c>
      <c r="C110" s="42"/>
      <c r="D110" s="42"/>
      <c r="E110" s="43"/>
    </row>
    <row r="111" spans="1:5" ht="12" customHeight="1" x14ac:dyDescent="0.25">
      <c r="A111" s="8" t="s">
        <v>608</v>
      </c>
      <c r="B111" s="22" t="s">
        <v>609</v>
      </c>
      <c r="C111" s="42"/>
      <c r="D111" s="42"/>
      <c r="E111" s="43"/>
    </row>
    <row r="112" spans="1:5" ht="18.75" customHeight="1" thickBot="1" x14ac:dyDescent="0.3">
      <c r="A112" s="15" t="s">
        <v>610</v>
      </c>
      <c r="B112" s="76" t="s">
        <v>611</v>
      </c>
      <c r="C112" s="77">
        <v>37165000</v>
      </c>
      <c r="D112" s="77">
        <v>107533000</v>
      </c>
      <c r="E112" s="78">
        <v>107373138</v>
      </c>
    </row>
    <row r="113" spans="1:5" ht="12" customHeight="1" thickBot="1" x14ac:dyDescent="0.3">
      <c r="A113" s="4" t="s">
        <v>243</v>
      </c>
      <c r="B113" s="19" t="s">
        <v>648</v>
      </c>
      <c r="C113" s="32">
        <f>+C114+C116+C115</f>
        <v>169346187</v>
      </c>
      <c r="D113" s="32">
        <f>SUM(D114:D116)</f>
        <v>734391843</v>
      </c>
      <c r="E113" s="32">
        <f>+E114+E116+E115</f>
        <v>194808124</v>
      </c>
    </row>
    <row r="114" spans="1:5" ht="12" customHeight="1" x14ac:dyDescent="0.25">
      <c r="A114" s="10" t="s">
        <v>354</v>
      </c>
      <c r="B114" s="9" t="s">
        <v>142</v>
      </c>
      <c r="C114" s="36">
        <v>47116187</v>
      </c>
      <c r="D114" s="36">
        <v>340602433</v>
      </c>
      <c r="E114" s="37">
        <v>41111560</v>
      </c>
    </row>
    <row r="115" spans="1:5" x14ac:dyDescent="0.25">
      <c r="A115" s="10" t="s">
        <v>355</v>
      </c>
      <c r="B115" s="18" t="s">
        <v>232</v>
      </c>
      <c r="C115" s="39">
        <v>80158000</v>
      </c>
      <c r="D115" s="39">
        <v>345284910</v>
      </c>
      <c r="E115" s="40">
        <v>140483298</v>
      </c>
    </row>
    <row r="116" spans="1:5" ht="12" customHeight="1" x14ac:dyDescent="0.25">
      <c r="A116" s="10" t="s">
        <v>356</v>
      </c>
      <c r="B116" s="45" t="s">
        <v>143</v>
      </c>
      <c r="C116" s="39">
        <v>42072000</v>
      </c>
      <c r="D116" s="39">
        <v>48504500</v>
      </c>
      <c r="E116" s="40">
        <v>13213266</v>
      </c>
    </row>
    <row r="117" spans="1:5" ht="21.75" customHeight="1" x14ac:dyDescent="0.25">
      <c r="A117" s="10" t="s">
        <v>357</v>
      </c>
      <c r="B117" s="79" t="s">
        <v>364</v>
      </c>
      <c r="C117" s="39"/>
      <c r="D117" s="39"/>
      <c r="E117" s="40"/>
    </row>
    <row r="118" spans="1:5" ht="24" customHeight="1" x14ac:dyDescent="0.25">
      <c r="A118" s="10" t="s">
        <v>358</v>
      </c>
      <c r="B118" s="80" t="s">
        <v>613</v>
      </c>
      <c r="C118" s="39"/>
      <c r="D118" s="39"/>
      <c r="E118" s="40"/>
    </row>
    <row r="119" spans="1:5" ht="20.25" customHeight="1" x14ac:dyDescent="0.25">
      <c r="A119" s="10" t="s">
        <v>359</v>
      </c>
      <c r="B119" s="21" t="s">
        <v>602</v>
      </c>
      <c r="C119" s="39"/>
      <c r="D119" s="39"/>
      <c r="E119" s="40"/>
    </row>
    <row r="120" spans="1:5" ht="12" customHeight="1" x14ac:dyDescent="0.25">
      <c r="A120" s="10" t="s">
        <v>360</v>
      </c>
      <c r="B120" s="21" t="s">
        <v>614</v>
      </c>
      <c r="C120" s="39"/>
      <c r="D120" s="39"/>
      <c r="E120" s="40"/>
    </row>
    <row r="121" spans="1:5" ht="12" customHeight="1" x14ac:dyDescent="0.25">
      <c r="A121" s="10" t="s">
        <v>452</v>
      </c>
      <c r="B121" s="21" t="s">
        <v>615</v>
      </c>
      <c r="C121" s="39"/>
      <c r="D121" s="39"/>
      <c r="E121" s="40"/>
    </row>
    <row r="122" spans="1:5" s="81" customFormat="1" ht="19.5" customHeight="1" x14ac:dyDescent="0.2">
      <c r="A122" s="10" t="s">
        <v>453</v>
      </c>
      <c r="B122" s="21" t="s">
        <v>605</v>
      </c>
      <c r="C122" s="39"/>
      <c r="D122" s="39">
        <v>5000</v>
      </c>
      <c r="E122" s="40">
        <v>1015</v>
      </c>
    </row>
    <row r="123" spans="1:5" ht="12" customHeight="1" x14ac:dyDescent="0.25">
      <c r="A123" s="10" t="s">
        <v>127</v>
      </c>
      <c r="B123" s="21" t="s">
        <v>618</v>
      </c>
      <c r="C123" s="39"/>
      <c r="D123" s="39"/>
      <c r="E123" s="40"/>
    </row>
    <row r="124" spans="1:5" ht="20.25" customHeight="1" thickBot="1" x14ac:dyDescent="0.3">
      <c r="A124" s="6" t="s">
        <v>616</v>
      </c>
      <c r="B124" s="21" t="s">
        <v>620</v>
      </c>
      <c r="C124" s="42">
        <v>42072000</v>
      </c>
      <c r="D124" s="42">
        <v>48499500</v>
      </c>
      <c r="E124" s="43">
        <v>13212251</v>
      </c>
    </row>
    <row r="125" spans="1:5" ht="12" customHeight="1" thickBot="1" x14ac:dyDescent="0.3">
      <c r="A125" s="4" t="s">
        <v>244</v>
      </c>
      <c r="B125" s="82" t="s">
        <v>621</v>
      </c>
      <c r="C125" s="32">
        <f>+C126+C127</f>
        <v>131113300</v>
      </c>
      <c r="D125" s="32">
        <f>+D126+D127</f>
        <v>62547148</v>
      </c>
      <c r="E125" s="33">
        <f>+E126+E127</f>
        <v>0</v>
      </c>
    </row>
    <row r="126" spans="1:5" ht="12" customHeight="1" x14ac:dyDescent="0.25">
      <c r="A126" s="10" t="s">
        <v>322</v>
      </c>
      <c r="B126" s="11" t="s">
        <v>361</v>
      </c>
      <c r="C126" s="36">
        <v>20000000</v>
      </c>
      <c r="D126" s="36">
        <v>2126916</v>
      </c>
      <c r="E126" s="37"/>
    </row>
    <row r="127" spans="1:5" ht="12" customHeight="1" thickBot="1" x14ac:dyDescent="0.3">
      <c r="A127" s="12" t="s">
        <v>323</v>
      </c>
      <c r="B127" s="18" t="s">
        <v>362</v>
      </c>
      <c r="C127" s="42">
        <v>111113300</v>
      </c>
      <c r="D127" s="42">
        <v>60420232</v>
      </c>
      <c r="E127" s="43"/>
    </row>
    <row r="128" spans="1:5" ht="12" customHeight="1" thickBot="1" x14ac:dyDescent="0.3">
      <c r="A128" s="4" t="s">
        <v>245</v>
      </c>
      <c r="B128" s="82" t="s">
        <v>622</v>
      </c>
      <c r="C128" s="32">
        <f>+C95+C113+C125</f>
        <v>2475329861</v>
      </c>
      <c r="D128" s="32">
        <f>+D95+D113+D125</f>
        <v>3272147860</v>
      </c>
      <c r="E128" s="33">
        <f>+E95+E113+E125</f>
        <v>2515044736</v>
      </c>
    </row>
    <row r="129" spans="1:9" ht="12" customHeight="1" thickBot="1" x14ac:dyDescent="0.3">
      <c r="A129" s="4" t="s">
        <v>246</v>
      </c>
      <c r="B129" s="82" t="s">
        <v>623</v>
      </c>
      <c r="C129" s="32">
        <f>+C130+C131+C132</f>
        <v>103161000</v>
      </c>
      <c r="D129" s="32">
        <f>+D130+D131+D132</f>
        <v>103161000</v>
      </c>
      <c r="E129" s="33">
        <f>+E130+E131+E132</f>
        <v>3160000</v>
      </c>
    </row>
    <row r="130" spans="1:9" ht="12" customHeight="1" x14ac:dyDescent="0.25">
      <c r="A130" s="10" t="s">
        <v>329</v>
      </c>
      <c r="B130" s="11" t="s">
        <v>624</v>
      </c>
      <c r="C130" s="39">
        <v>3161000</v>
      </c>
      <c r="D130" s="39">
        <v>3161000</v>
      </c>
      <c r="E130" s="40">
        <v>3160000</v>
      </c>
    </row>
    <row r="131" spans="1:9" ht="12" customHeight="1" x14ac:dyDescent="0.25">
      <c r="A131" s="10" t="s">
        <v>330</v>
      </c>
      <c r="B131" s="11" t="s">
        <v>625</v>
      </c>
      <c r="C131" s="39">
        <v>100000000</v>
      </c>
      <c r="D131" s="39">
        <v>100000000</v>
      </c>
      <c r="E131" s="40"/>
    </row>
    <row r="132" spans="1:9" ht="12" customHeight="1" thickBot="1" x14ac:dyDescent="0.3">
      <c r="A132" s="6" t="s">
        <v>331</v>
      </c>
      <c r="B132" s="7" t="s">
        <v>626</v>
      </c>
      <c r="C132" s="39"/>
      <c r="D132" s="39"/>
      <c r="E132" s="40"/>
    </row>
    <row r="133" spans="1:9" ht="12" customHeight="1" thickBot="1" x14ac:dyDescent="0.3">
      <c r="A133" s="4" t="s">
        <v>249</v>
      </c>
      <c r="B133" s="82" t="s">
        <v>627</v>
      </c>
      <c r="C133" s="32">
        <f>+C134+C135+C137+C136</f>
        <v>0</v>
      </c>
      <c r="D133" s="32">
        <f>+D134+D135+D137+D136</f>
        <v>0</v>
      </c>
      <c r="E133" s="33">
        <f>+E134+E135+E137+E136</f>
        <v>0</v>
      </c>
    </row>
    <row r="134" spans="1:9" ht="12" customHeight="1" x14ac:dyDescent="0.25">
      <c r="A134" s="10" t="s">
        <v>332</v>
      </c>
      <c r="B134" s="11" t="s">
        <v>628</v>
      </c>
      <c r="C134" s="39"/>
      <c r="D134" s="39"/>
      <c r="E134" s="40"/>
    </row>
    <row r="135" spans="1:9" ht="12" customHeight="1" x14ac:dyDescent="0.25">
      <c r="A135" s="10" t="s">
        <v>333</v>
      </c>
      <c r="B135" s="11" t="s">
        <v>629</v>
      </c>
      <c r="C135" s="39"/>
      <c r="D135" s="39"/>
      <c r="E135" s="40"/>
    </row>
    <row r="136" spans="1:9" ht="12" customHeight="1" x14ac:dyDescent="0.25">
      <c r="A136" s="10" t="s">
        <v>522</v>
      </c>
      <c r="B136" s="11" t="s">
        <v>630</v>
      </c>
      <c r="C136" s="39"/>
      <c r="D136" s="39"/>
      <c r="E136" s="40"/>
    </row>
    <row r="137" spans="1:9" ht="12" customHeight="1" thickBot="1" x14ac:dyDescent="0.3">
      <c r="A137" s="6" t="s">
        <v>524</v>
      </c>
      <c r="B137" s="7" t="s">
        <v>631</v>
      </c>
      <c r="C137" s="39"/>
      <c r="D137" s="39"/>
      <c r="E137" s="40"/>
    </row>
    <row r="138" spans="1:9" ht="12" customHeight="1" thickBot="1" x14ac:dyDescent="0.3">
      <c r="A138" s="4" t="s">
        <v>250</v>
      </c>
      <c r="B138" s="82" t="s">
        <v>632</v>
      </c>
      <c r="C138" s="46">
        <f>+C139+C140+C141+C142</f>
        <v>35164932</v>
      </c>
      <c r="D138" s="46">
        <f>+D139+D140+D141+D142</f>
        <v>35164932</v>
      </c>
      <c r="E138" s="47">
        <f>+E139+E140+E141+E142</f>
        <v>35164932</v>
      </c>
    </row>
    <row r="139" spans="1:9" ht="12" customHeight="1" x14ac:dyDescent="0.25">
      <c r="A139" s="10" t="s">
        <v>334</v>
      </c>
      <c r="B139" s="11" t="s">
        <v>633</v>
      </c>
      <c r="C139" s="39"/>
      <c r="D139" s="39"/>
      <c r="E139" s="40"/>
    </row>
    <row r="140" spans="1:9" ht="12" customHeight="1" x14ac:dyDescent="0.25">
      <c r="A140" s="10" t="s">
        <v>335</v>
      </c>
      <c r="B140" s="11" t="s">
        <v>634</v>
      </c>
      <c r="C140" s="39">
        <v>35164932</v>
      </c>
      <c r="D140" s="39">
        <v>35164932</v>
      </c>
      <c r="E140" s="40">
        <v>35164932</v>
      </c>
    </row>
    <row r="141" spans="1:9" ht="12" customHeight="1" x14ac:dyDescent="0.25">
      <c r="A141" s="10" t="s">
        <v>445</v>
      </c>
      <c r="B141" s="11" t="s">
        <v>635</v>
      </c>
      <c r="C141" s="39"/>
      <c r="D141" s="39"/>
      <c r="E141" s="40"/>
    </row>
    <row r="142" spans="1:9" ht="12" customHeight="1" thickBot="1" x14ac:dyDescent="0.3">
      <c r="A142" s="6" t="s">
        <v>532</v>
      </c>
      <c r="B142" s="7" t="s">
        <v>636</v>
      </c>
      <c r="C142" s="39"/>
      <c r="D142" s="39"/>
      <c r="E142" s="40"/>
    </row>
    <row r="143" spans="1:9" ht="15" customHeight="1" thickBot="1" x14ac:dyDescent="0.3">
      <c r="A143" s="4" t="s">
        <v>251</v>
      </c>
      <c r="B143" s="82" t="s">
        <v>637</v>
      </c>
      <c r="C143" s="83">
        <f>+C144+C145+C146+C147</f>
        <v>0</v>
      </c>
      <c r="D143" s="83">
        <f>+D144+D145+D146+D147</f>
        <v>0</v>
      </c>
      <c r="E143" s="84">
        <f>+E144+E145+E146+E147</f>
        <v>0</v>
      </c>
      <c r="F143" s="85"/>
      <c r="G143" s="86"/>
      <c r="H143" s="86"/>
      <c r="I143" s="86"/>
    </row>
    <row r="144" spans="1:9" s="34" customFormat="1" ht="12.95" customHeight="1" x14ac:dyDescent="0.2">
      <c r="A144" s="10" t="s">
        <v>446</v>
      </c>
      <c r="B144" s="11" t="s">
        <v>638</v>
      </c>
      <c r="C144" s="39"/>
      <c r="D144" s="39"/>
      <c r="E144" s="40"/>
    </row>
    <row r="145" spans="1:5" ht="12.75" customHeight="1" x14ac:dyDescent="0.25">
      <c r="A145" s="10" t="s">
        <v>447</v>
      </c>
      <c r="B145" s="11" t="s">
        <v>639</v>
      </c>
      <c r="C145" s="39"/>
      <c r="D145" s="39"/>
      <c r="E145" s="40"/>
    </row>
    <row r="146" spans="1:5" ht="12.75" customHeight="1" x14ac:dyDescent="0.25">
      <c r="A146" s="10" t="s">
        <v>537</v>
      </c>
      <c r="B146" s="11" t="s">
        <v>640</v>
      </c>
      <c r="C146" s="39"/>
      <c r="D146" s="39"/>
      <c r="E146" s="40"/>
    </row>
    <row r="147" spans="1:5" ht="12.75" customHeight="1" thickBot="1" x14ac:dyDescent="0.3">
      <c r="A147" s="10" t="s">
        <v>539</v>
      </c>
      <c r="B147" s="11" t="s">
        <v>641</v>
      </c>
      <c r="C147" s="39"/>
      <c r="D147" s="39"/>
      <c r="E147" s="40"/>
    </row>
    <row r="148" spans="1:5" ht="16.5" thickBot="1" x14ac:dyDescent="0.3">
      <c r="A148" s="4" t="s">
        <v>252</v>
      </c>
      <c r="B148" s="82" t="s">
        <v>642</v>
      </c>
      <c r="C148" s="87">
        <f>+C129+C133+C138+C143</f>
        <v>138325932</v>
      </c>
      <c r="D148" s="87">
        <f>+D129+D133+D138+D143</f>
        <v>138325932</v>
      </c>
      <c r="E148" s="88">
        <f>+E129+E133+E138+E143</f>
        <v>38324932</v>
      </c>
    </row>
    <row r="149" spans="1:5" ht="16.5" thickBot="1" x14ac:dyDescent="0.3">
      <c r="A149" s="89" t="s">
        <v>253</v>
      </c>
      <c r="B149" s="90" t="s">
        <v>643</v>
      </c>
      <c r="C149" s="87">
        <f>+C128+C148</f>
        <v>2613655793</v>
      </c>
      <c r="D149" s="87">
        <f>+D128+D148</f>
        <v>3410473792</v>
      </c>
      <c r="E149" s="88">
        <f>+E128+E148</f>
        <v>2553369668</v>
      </c>
    </row>
    <row r="151" spans="1:5" ht="18.75" customHeight="1" x14ac:dyDescent="0.25">
      <c r="A151" s="933" t="s">
        <v>644</v>
      </c>
      <c r="B151" s="933"/>
      <c r="C151" s="933"/>
      <c r="D151" s="933"/>
      <c r="E151" s="933"/>
    </row>
    <row r="152" spans="1:5" ht="13.5" customHeight="1" thickBot="1" x14ac:dyDescent="0.3">
      <c r="A152" s="91" t="s">
        <v>382</v>
      </c>
      <c r="B152" s="91"/>
      <c r="C152" s="25"/>
      <c r="E152" s="27" t="s">
        <v>499</v>
      </c>
    </row>
    <row r="153" spans="1:5" ht="21.75" thickBot="1" x14ac:dyDescent="0.3">
      <c r="A153" s="4">
        <v>1</v>
      </c>
      <c r="B153" s="19" t="s">
        <v>645</v>
      </c>
      <c r="C153" s="93">
        <f>+C63-C128</f>
        <v>-298773483</v>
      </c>
      <c r="D153" s="93">
        <f>+D63-D128</f>
        <v>-380341074</v>
      </c>
      <c r="E153" s="93">
        <f>+E63-E128</f>
        <v>303868510</v>
      </c>
    </row>
    <row r="154" spans="1:5" ht="21.75" thickBot="1" x14ac:dyDescent="0.3">
      <c r="A154" s="4" t="s">
        <v>243</v>
      </c>
      <c r="B154" s="19" t="s">
        <v>646</v>
      </c>
      <c r="C154" s="93">
        <f>+C87-C148</f>
        <v>298773483</v>
      </c>
      <c r="D154" s="93">
        <f>+D87-D148</f>
        <v>380341074</v>
      </c>
      <c r="E154" s="93">
        <f>+E87-E148</f>
        <v>316808690</v>
      </c>
    </row>
    <row r="155" spans="1:5" ht="7.5" customHeight="1" x14ac:dyDescent="0.25"/>
    <row r="157" spans="1:5" ht="12.75" customHeight="1" x14ac:dyDescent="0.25"/>
    <row r="158" spans="1:5" ht="12.75" customHeight="1" x14ac:dyDescent="0.25"/>
    <row r="159" spans="1:5" ht="12.75" customHeight="1" x14ac:dyDescent="0.25"/>
    <row r="160" spans="1:5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</sheetData>
  <mergeCells count="8">
    <mergeCell ref="A151:E151"/>
    <mergeCell ref="A1:E1"/>
    <mergeCell ref="A90:E90"/>
    <mergeCell ref="A92:A93"/>
    <mergeCell ref="B92:B93"/>
    <mergeCell ref="A3:A4"/>
    <mergeCell ref="B3:B4"/>
    <mergeCell ref="C3:E3"/>
  </mergeCells>
  <phoneticPr fontId="21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9" fitToHeight="2" orientation="portrait" r:id="rId1"/>
  <headerFooter alignWithMargins="0">
    <oddHeader>&amp;C&amp;"Times New Roman CE,Félkövér"&amp;12
Tiszavasvári Város Önkormányzata
2017. ÉVI ZÁRSZÁMADÁSÁNAK PÉNZÜGYI MÉRLEGE&amp;10
&amp;R&amp;"Times New Roman CE,Félkövér dőlt"&amp;11 1.melléklet a 12/2018. (V.31.) önkormányzati rendelethez</oddHeader>
  </headerFooter>
  <rowBreaks count="1" manualBreakCount="1">
    <brk id="89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10.140625" style="179" bestFit="1" customWidth="1"/>
    <col min="3" max="3" width="9.5703125" style="179" bestFit="1" customWidth="1"/>
    <col min="4" max="7" width="8.5703125" style="179" customWidth="1"/>
    <col min="8" max="9" width="9.5703125" style="179" bestFit="1" customWidth="1"/>
    <col min="10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10.140625" style="179" bestFit="1" customWidth="1"/>
    <col min="259" max="259" width="9.5703125" style="179" bestFit="1" customWidth="1"/>
    <col min="260" max="263" width="8.5703125" style="179" customWidth="1"/>
    <col min="264" max="265" width="9.5703125" style="179" bestFit="1" customWidth="1"/>
    <col min="266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10.140625" style="179" bestFit="1" customWidth="1"/>
    <col min="515" max="515" width="9.5703125" style="179" bestFit="1" customWidth="1"/>
    <col min="516" max="519" width="8.5703125" style="179" customWidth="1"/>
    <col min="520" max="521" width="9.5703125" style="179" bestFit="1" customWidth="1"/>
    <col min="522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10.140625" style="179" bestFit="1" customWidth="1"/>
    <col min="771" max="771" width="9.5703125" style="179" bestFit="1" customWidth="1"/>
    <col min="772" max="775" width="8.5703125" style="179" customWidth="1"/>
    <col min="776" max="777" width="9.5703125" style="179" bestFit="1" customWidth="1"/>
    <col min="778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10.140625" style="179" bestFit="1" customWidth="1"/>
    <col min="1027" max="1027" width="9.5703125" style="179" bestFit="1" customWidth="1"/>
    <col min="1028" max="1031" width="8.5703125" style="179" customWidth="1"/>
    <col min="1032" max="1033" width="9.5703125" style="179" bestFit="1" customWidth="1"/>
    <col min="1034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10.140625" style="179" bestFit="1" customWidth="1"/>
    <col min="1283" max="1283" width="9.5703125" style="179" bestFit="1" customWidth="1"/>
    <col min="1284" max="1287" width="8.5703125" style="179" customWidth="1"/>
    <col min="1288" max="1289" width="9.5703125" style="179" bestFit="1" customWidth="1"/>
    <col min="1290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10.140625" style="179" bestFit="1" customWidth="1"/>
    <col min="1539" max="1539" width="9.5703125" style="179" bestFit="1" customWidth="1"/>
    <col min="1540" max="1543" width="8.5703125" style="179" customWidth="1"/>
    <col min="1544" max="1545" width="9.5703125" style="179" bestFit="1" customWidth="1"/>
    <col min="1546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10.140625" style="179" bestFit="1" customWidth="1"/>
    <col min="1795" max="1795" width="9.5703125" style="179" bestFit="1" customWidth="1"/>
    <col min="1796" max="1799" width="8.5703125" style="179" customWidth="1"/>
    <col min="1800" max="1801" width="9.5703125" style="179" bestFit="1" customWidth="1"/>
    <col min="1802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10.140625" style="179" bestFit="1" customWidth="1"/>
    <col min="2051" max="2051" width="9.5703125" style="179" bestFit="1" customWidth="1"/>
    <col min="2052" max="2055" width="8.5703125" style="179" customWidth="1"/>
    <col min="2056" max="2057" width="9.5703125" style="179" bestFit="1" customWidth="1"/>
    <col min="2058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10.140625" style="179" bestFit="1" customWidth="1"/>
    <col min="2307" max="2307" width="9.5703125" style="179" bestFit="1" customWidth="1"/>
    <col min="2308" max="2311" width="8.5703125" style="179" customWidth="1"/>
    <col min="2312" max="2313" width="9.5703125" style="179" bestFit="1" customWidth="1"/>
    <col min="2314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10.140625" style="179" bestFit="1" customWidth="1"/>
    <col min="2563" max="2563" width="9.5703125" style="179" bestFit="1" customWidth="1"/>
    <col min="2564" max="2567" width="8.5703125" style="179" customWidth="1"/>
    <col min="2568" max="2569" width="9.5703125" style="179" bestFit="1" customWidth="1"/>
    <col min="2570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10.140625" style="179" bestFit="1" customWidth="1"/>
    <col min="2819" max="2819" width="9.5703125" style="179" bestFit="1" customWidth="1"/>
    <col min="2820" max="2823" width="8.5703125" style="179" customWidth="1"/>
    <col min="2824" max="2825" width="9.5703125" style="179" bestFit="1" customWidth="1"/>
    <col min="2826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10.140625" style="179" bestFit="1" customWidth="1"/>
    <col min="3075" max="3075" width="9.5703125" style="179" bestFit="1" customWidth="1"/>
    <col min="3076" max="3079" width="8.5703125" style="179" customWidth="1"/>
    <col min="3080" max="3081" width="9.5703125" style="179" bestFit="1" customWidth="1"/>
    <col min="3082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10.140625" style="179" bestFit="1" customWidth="1"/>
    <col min="3331" max="3331" width="9.5703125" style="179" bestFit="1" customWidth="1"/>
    <col min="3332" max="3335" width="8.5703125" style="179" customWidth="1"/>
    <col min="3336" max="3337" width="9.5703125" style="179" bestFit="1" customWidth="1"/>
    <col min="3338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10.140625" style="179" bestFit="1" customWidth="1"/>
    <col min="3587" max="3587" width="9.5703125" style="179" bestFit="1" customWidth="1"/>
    <col min="3588" max="3591" width="8.5703125" style="179" customWidth="1"/>
    <col min="3592" max="3593" width="9.5703125" style="179" bestFit="1" customWidth="1"/>
    <col min="3594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10.140625" style="179" bestFit="1" customWidth="1"/>
    <col min="3843" max="3843" width="9.5703125" style="179" bestFit="1" customWidth="1"/>
    <col min="3844" max="3847" width="8.5703125" style="179" customWidth="1"/>
    <col min="3848" max="3849" width="9.5703125" style="179" bestFit="1" customWidth="1"/>
    <col min="3850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10.140625" style="179" bestFit="1" customWidth="1"/>
    <col min="4099" max="4099" width="9.5703125" style="179" bestFit="1" customWidth="1"/>
    <col min="4100" max="4103" width="8.5703125" style="179" customWidth="1"/>
    <col min="4104" max="4105" width="9.5703125" style="179" bestFit="1" customWidth="1"/>
    <col min="4106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10.140625" style="179" bestFit="1" customWidth="1"/>
    <col min="4355" max="4355" width="9.5703125" style="179" bestFit="1" customWidth="1"/>
    <col min="4356" max="4359" width="8.5703125" style="179" customWidth="1"/>
    <col min="4360" max="4361" width="9.5703125" style="179" bestFit="1" customWidth="1"/>
    <col min="4362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10.140625" style="179" bestFit="1" customWidth="1"/>
    <col min="4611" max="4611" width="9.5703125" style="179" bestFit="1" customWidth="1"/>
    <col min="4612" max="4615" width="8.5703125" style="179" customWidth="1"/>
    <col min="4616" max="4617" width="9.5703125" style="179" bestFit="1" customWidth="1"/>
    <col min="4618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10.140625" style="179" bestFit="1" customWidth="1"/>
    <col min="4867" max="4867" width="9.5703125" style="179" bestFit="1" customWidth="1"/>
    <col min="4868" max="4871" width="8.5703125" style="179" customWidth="1"/>
    <col min="4872" max="4873" width="9.5703125" style="179" bestFit="1" customWidth="1"/>
    <col min="4874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10.140625" style="179" bestFit="1" customWidth="1"/>
    <col min="5123" max="5123" width="9.5703125" style="179" bestFit="1" customWidth="1"/>
    <col min="5124" max="5127" width="8.5703125" style="179" customWidth="1"/>
    <col min="5128" max="5129" width="9.5703125" style="179" bestFit="1" customWidth="1"/>
    <col min="5130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10.140625" style="179" bestFit="1" customWidth="1"/>
    <col min="5379" max="5379" width="9.5703125" style="179" bestFit="1" customWidth="1"/>
    <col min="5380" max="5383" width="8.5703125" style="179" customWidth="1"/>
    <col min="5384" max="5385" width="9.5703125" style="179" bestFit="1" customWidth="1"/>
    <col min="5386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10.140625" style="179" bestFit="1" customWidth="1"/>
    <col min="5635" max="5635" width="9.5703125" style="179" bestFit="1" customWidth="1"/>
    <col min="5636" max="5639" width="8.5703125" style="179" customWidth="1"/>
    <col min="5640" max="5641" width="9.5703125" style="179" bestFit="1" customWidth="1"/>
    <col min="5642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10.140625" style="179" bestFit="1" customWidth="1"/>
    <col min="5891" max="5891" width="9.5703125" style="179" bestFit="1" customWidth="1"/>
    <col min="5892" max="5895" width="8.5703125" style="179" customWidth="1"/>
    <col min="5896" max="5897" width="9.5703125" style="179" bestFit="1" customWidth="1"/>
    <col min="5898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10.140625" style="179" bestFit="1" customWidth="1"/>
    <col min="6147" max="6147" width="9.5703125" style="179" bestFit="1" customWidth="1"/>
    <col min="6148" max="6151" width="8.5703125" style="179" customWidth="1"/>
    <col min="6152" max="6153" width="9.5703125" style="179" bestFit="1" customWidth="1"/>
    <col min="6154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10.140625" style="179" bestFit="1" customWidth="1"/>
    <col min="6403" max="6403" width="9.5703125" style="179" bestFit="1" customWidth="1"/>
    <col min="6404" max="6407" width="8.5703125" style="179" customWidth="1"/>
    <col min="6408" max="6409" width="9.5703125" style="179" bestFit="1" customWidth="1"/>
    <col min="6410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10.140625" style="179" bestFit="1" customWidth="1"/>
    <col min="6659" max="6659" width="9.5703125" style="179" bestFit="1" customWidth="1"/>
    <col min="6660" max="6663" width="8.5703125" style="179" customWidth="1"/>
    <col min="6664" max="6665" width="9.5703125" style="179" bestFit="1" customWidth="1"/>
    <col min="6666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10.140625" style="179" bestFit="1" customWidth="1"/>
    <col min="6915" max="6915" width="9.5703125" style="179" bestFit="1" customWidth="1"/>
    <col min="6916" max="6919" width="8.5703125" style="179" customWidth="1"/>
    <col min="6920" max="6921" width="9.5703125" style="179" bestFit="1" customWidth="1"/>
    <col min="6922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10.140625" style="179" bestFit="1" customWidth="1"/>
    <col min="7171" max="7171" width="9.5703125" style="179" bestFit="1" customWidth="1"/>
    <col min="7172" max="7175" width="8.5703125" style="179" customWidth="1"/>
    <col min="7176" max="7177" width="9.5703125" style="179" bestFit="1" customWidth="1"/>
    <col min="7178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10.140625" style="179" bestFit="1" customWidth="1"/>
    <col min="7427" max="7427" width="9.5703125" style="179" bestFit="1" customWidth="1"/>
    <col min="7428" max="7431" width="8.5703125" style="179" customWidth="1"/>
    <col min="7432" max="7433" width="9.5703125" style="179" bestFit="1" customWidth="1"/>
    <col min="7434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10.140625" style="179" bestFit="1" customWidth="1"/>
    <col min="7683" max="7683" width="9.5703125" style="179" bestFit="1" customWidth="1"/>
    <col min="7684" max="7687" width="8.5703125" style="179" customWidth="1"/>
    <col min="7688" max="7689" width="9.5703125" style="179" bestFit="1" customWidth="1"/>
    <col min="7690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10.140625" style="179" bestFit="1" customWidth="1"/>
    <col min="7939" max="7939" width="9.5703125" style="179" bestFit="1" customWidth="1"/>
    <col min="7940" max="7943" width="8.5703125" style="179" customWidth="1"/>
    <col min="7944" max="7945" width="9.5703125" style="179" bestFit="1" customWidth="1"/>
    <col min="7946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10.140625" style="179" bestFit="1" customWidth="1"/>
    <col min="8195" max="8195" width="9.5703125" style="179" bestFit="1" customWidth="1"/>
    <col min="8196" max="8199" width="8.5703125" style="179" customWidth="1"/>
    <col min="8200" max="8201" width="9.5703125" style="179" bestFit="1" customWidth="1"/>
    <col min="8202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10.140625" style="179" bestFit="1" customWidth="1"/>
    <col min="8451" max="8451" width="9.5703125" style="179" bestFit="1" customWidth="1"/>
    <col min="8452" max="8455" width="8.5703125" style="179" customWidth="1"/>
    <col min="8456" max="8457" width="9.5703125" style="179" bestFit="1" customWidth="1"/>
    <col min="8458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10.140625" style="179" bestFit="1" customWidth="1"/>
    <col min="8707" max="8707" width="9.5703125" style="179" bestFit="1" customWidth="1"/>
    <col min="8708" max="8711" width="8.5703125" style="179" customWidth="1"/>
    <col min="8712" max="8713" width="9.5703125" style="179" bestFit="1" customWidth="1"/>
    <col min="8714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10.140625" style="179" bestFit="1" customWidth="1"/>
    <col min="8963" max="8963" width="9.5703125" style="179" bestFit="1" customWidth="1"/>
    <col min="8964" max="8967" width="8.5703125" style="179" customWidth="1"/>
    <col min="8968" max="8969" width="9.5703125" style="179" bestFit="1" customWidth="1"/>
    <col min="8970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10.140625" style="179" bestFit="1" customWidth="1"/>
    <col min="9219" max="9219" width="9.5703125" style="179" bestFit="1" customWidth="1"/>
    <col min="9220" max="9223" width="8.5703125" style="179" customWidth="1"/>
    <col min="9224" max="9225" width="9.5703125" style="179" bestFit="1" customWidth="1"/>
    <col min="9226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10.140625" style="179" bestFit="1" customWidth="1"/>
    <col min="9475" max="9475" width="9.5703125" style="179" bestFit="1" customWidth="1"/>
    <col min="9476" max="9479" width="8.5703125" style="179" customWidth="1"/>
    <col min="9480" max="9481" width="9.5703125" style="179" bestFit="1" customWidth="1"/>
    <col min="9482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10.140625" style="179" bestFit="1" customWidth="1"/>
    <col min="9731" max="9731" width="9.5703125" style="179" bestFit="1" customWidth="1"/>
    <col min="9732" max="9735" width="8.5703125" style="179" customWidth="1"/>
    <col min="9736" max="9737" width="9.5703125" style="179" bestFit="1" customWidth="1"/>
    <col min="9738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10.140625" style="179" bestFit="1" customWidth="1"/>
    <col min="9987" max="9987" width="9.5703125" style="179" bestFit="1" customWidth="1"/>
    <col min="9988" max="9991" width="8.5703125" style="179" customWidth="1"/>
    <col min="9992" max="9993" width="9.5703125" style="179" bestFit="1" customWidth="1"/>
    <col min="9994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10.140625" style="179" bestFit="1" customWidth="1"/>
    <col min="10243" max="10243" width="9.5703125" style="179" bestFit="1" customWidth="1"/>
    <col min="10244" max="10247" width="8.5703125" style="179" customWidth="1"/>
    <col min="10248" max="10249" width="9.5703125" style="179" bestFit="1" customWidth="1"/>
    <col min="10250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10.140625" style="179" bestFit="1" customWidth="1"/>
    <col min="10499" max="10499" width="9.5703125" style="179" bestFit="1" customWidth="1"/>
    <col min="10500" max="10503" width="8.5703125" style="179" customWidth="1"/>
    <col min="10504" max="10505" width="9.5703125" style="179" bestFit="1" customWidth="1"/>
    <col min="10506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10.140625" style="179" bestFit="1" customWidth="1"/>
    <col min="10755" max="10755" width="9.5703125" style="179" bestFit="1" customWidth="1"/>
    <col min="10756" max="10759" width="8.5703125" style="179" customWidth="1"/>
    <col min="10760" max="10761" width="9.5703125" style="179" bestFit="1" customWidth="1"/>
    <col min="10762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10.140625" style="179" bestFit="1" customWidth="1"/>
    <col min="11011" max="11011" width="9.5703125" style="179" bestFit="1" customWidth="1"/>
    <col min="11012" max="11015" width="8.5703125" style="179" customWidth="1"/>
    <col min="11016" max="11017" width="9.5703125" style="179" bestFit="1" customWidth="1"/>
    <col min="11018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10.140625" style="179" bestFit="1" customWidth="1"/>
    <col min="11267" max="11267" width="9.5703125" style="179" bestFit="1" customWidth="1"/>
    <col min="11268" max="11271" width="8.5703125" style="179" customWidth="1"/>
    <col min="11272" max="11273" width="9.5703125" style="179" bestFit="1" customWidth="1"/>
    <col min="11274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10.140625" style="179" bestFit="1" customWidth="1"/>
    <col min="11523" max="11523" width="9.5703125" style="179" bestFit="1" customWidth="1"/>
    <col min="11524" max="11527" width="8.5703125" style="179" customWidth="1"/>
    <col min="11528" max="11529" width="9.5703125" style="179" bestFit="1" customWidth="1"/>
    <col min="11530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10.140625" style="179" bestFit="1" customWidth="1"/>
    <col min="11779" max="11779" width="9.5703125" style="179" bestFit="1" customWidth="1"/>
    <col min="11780" max="11783" width="8.5703125" style="179" customWidth="1"/>
    <col min="11784" max="11785" width="9.5703125" style="179" bestFit="1" customWidth="1"/>
    <col min="11786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10.140625" style="179" bestFit="1" customWidth="1"/>
    <col min="12035" max="12035" width="9.5703125" style="179" bestFit="1" customWidth="1"/>
    <col min="12036" max="12039" width="8.5703125" style="179" customWidth="1"/>
    <col min="12040" max="12041" width="9.5703125" style="179" bestFit="1" customWidth="1"/>
    <col min="12042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10.140625" style="179" bestFit="1" customWidth="1"/>
    <col min="12291" max="12291" width="9.5703125" style="179" bestFit="1" customWidth="1"/>
    <col min="12292" max="12295" width="8.5703125" style="179" customWidth="1"/>
    <col min="12296" max="12297" width="9.5703125" style="179" bestFit="1" customWidth="1"/>
    <col min="12298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10.140625" style="179" bestFit="1" customWidth="1"/>
    <col min="12547" max="12547" width="9.5703125" style="179" bestFit="1" customWidth="1"/>
    <col min="12548" max="12551" width="8.5703125" style="179" customWidth="1"/>
    <col min="12552" max="12553" width="9.5703125" style="179" bestFit="1" customWidth="1"/>
    <col min="12554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10.140625" style="179" bestFit="1" customWidth="1"/>
    <col min="12803" max="12803" width="9.5703125" style="179" bestFit="1" customWidth="1"/>
    <col min="12804" max="12807" width="8.5703125" style="179" customWidth="1"/>
    <col min="12808" max="12809" width="9.5703125" style="179" bestFit="1" customWidth="1"/>
    <col min="12810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10.140625" style="179" bestFit="1" customWidth="1"/>
    <col min="13059" max="13059" width="9.5703125" style="179" bestFit="1" customWidth="1"/>
    <col min="13060" max="13063" width="8.5703125" style="179" customWidth="1"/>
    <col min="13064" max="13065" width="9.5703125" style="179" bestFit="1" customWidth="1"/>
    <col min="13066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10.140625" style="179" bestFit="1" customWidth="1"/>
    <col min="13315" max="13315" width="9.5703125" style="179" bestFit="1" customWidth="1"/>
    <col min="13316" max="13319" width="8.5703125" style="179" customWidth="1"/>
    <col min="13320" max="13321" width="9.5703125" style="179" bestFit="1" customWidth="1"/>
    <col min="13322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10.140625" style="179" bestFit="1" customWidth="1"/>
    <col min="13571" max="13571" width="9.5703125" style="179" bestFit="1" customWidth="1"/>
    <col min="13572" max="13575" width="8.5703125" style="179" customWidth="1"/>
    <col min="13576" max="13577" width="9.5703125" style="179" bestFit="1" customWidth="1"/>
    <col min="13578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10.140625" style="179" bestFit="1" customWidth="1"/>
    <col min="13827" max="13827" width="9.5703125" style="179" bestFit="1" customWidth="1"/>
    <col min="13828" max="13831" width="8.5703125" style="179" customWidth="1"/>
    <col min="13832" max="13833" width="9.5703125" style="179" bestFit="1" customWidth="1"/>
    <col min="13834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10.140625" style="179" bestFit="1" customWidth="1"/>
    <col min="14083" max="14083" width="9.5703125" style="179" bestFit="1" customWidth="1"/>
    <col min="14084" max="14087" width="8.5703125" style="179" customWidth="1"/>
    <col min="14088" max="14089" width="9.5703125" style="179" bestFit="1" customWidth="1"/>
    <col min="14090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10.140625" style="179" bestFit="1" customWidth="1"/>
    <col min="14339" max="14339" width="9.5703125" style="179" bestFit="1" customWidth="1"/>
    <col min="14340" max="14343" width="8.5703125" style="179" customWidth="1"/>
    <col min="14344" max="14345" width="9.5703125" style="179" bestFit="1" customWidth="1"/>
    <col min="14346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10.140625" style="179" bestFit="1" customWidth="1"/>
    <col min="14595" max="14595" width="9.5703125" style="179" bestFit="1" customWidth="1"/>
    <col min="14596" max="14599" width="8.5703125" style="179" customWidth="1"/>
    <col min="14600" max="14601" width="9.5703125" style="179" bestFit="1" customWidth="1"/>
    <col min="14602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10.140625" style="179" bestFit="1" customWidth="1"/>
    <col min="14851" max="14851" width="9.5703125" style="179" bestFit="1" customWidth="1"/>
    <col min="14852" max="14855" width="8.5703125" style="179" customWidth="1"/>
    <col min="14856" max="14857" width="9.5703125" style="179" bestFit="1" customWidth="1"/>
    <col min="14858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10.140625" style="179" bestFit="1" customWidth="1"/>
    <col min="15107" max="15107" width="9.5703125" style="179" bestFit="1" customWidth="1"/>
    <col min="15108" max="15111" width="8.5703125" style="179" customWidth="1"/>
    <col min="15112" max="15113" width="9.5703125" style="179" bestFit="1" customWidth="1"/>
    <col min="15114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10.140625" style="179" bestFit="1" customWidth="1"/>
    <col min="15363" max="15363" width="9.5703125" style="179" bestFit="1" customWidth="1"/>
    <col min="15364" max="15367" width="8.5703125" style="179" customWidth="1"/>
    <col min="15368" max="15369" width="9.5703125" style="179" bestFit="1" customWidth="1"/>
    <col min="15370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10.140625" style="179" bestFit="1" customWidth="1"/>
    <col min="15619" max="15619" width="9.5703125" style="179" bestFit="1" customWidth="1"/>
    <col min="15620" max="15623" width="8.5703125" style="179" customWidth="1"/>
    <col min="15624" max="15625" width="9.5703125" style="179" bestFit="1" customWidth="1"/>
    <col min="15626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10.140625" style="179" bestFit="1" customWidth="1"/>
    <col min="15875" max="15875" width="9.5703125" style="179" bestFit="1" customWidth="1"/>
    <col min="15876" max="15879" width="8.5703125" style="179" customWidth="1"/>
    <col min="15880" max="15881" width="9.5703125" style="179" bestFit="1" customWidth="1"/>
    <col min="15882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10.140625" style="179" bestFit="1" customWidth="1"/>
    <col min="16131" max="16131" width="9.5703125" style="179" bestFit="1" customWidth="1"/>
    <col min="16132" max="16135" width="8.5703125" style="179" customWidth="1"/>
    <col min="16136" max="16137" width="9.5703125" style="179" bestFit="1" customWidth="1"/>
    <col min="16138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912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932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199720812</v>
      </c>
      <c r="C10" s="197">
        <v>199720812</v>
      </c>
      <c r="D10" s="197">
        <v>381000</v>
      </c>
      <c r="E10" s="197">
        <v>381000</v>
      </c>
      <c r="F10" s="197">
        <v>835660</v>
      </c>
      <c r="G10" s="197">
        <v>1824796</v>
      </c>
      <c r="H10" s="197">
        <v>198504152</v>
      </c>
      <c r="I10" s="197">
        <v>197515016</v>
      </c>
      <c r="J10" s="197">
        <v>381000</v>
      </c>
      <c r="K10" s="197">
        <v>1824796</v>
      </c>
      <c r="L10" s="193">
        <v>2205796</v>
      </c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199720812</v>
      </c>
      <c r="C15" s="203">
        <f t="shared" si="2"/>
        <v>199720812</v>
      </c>
      <c r="D15" s="203">
        <f t="shared" si="2"/>
        <v>381000</v>
      </c>
      <c r="E15" s="203">
        <f t="shared" si="2"/>
        <v>381000</v>
      </c>
      <c r="F15" s="203">
        <f t="shared" si="2"/>
        <v>835660</v>
      </c>
      <c r="G15" s="203">
        <f t="shared" si="2"/>
        <v>1824796</v>
      </c>
      <c r="H15" s="203">
        <f t="shared" si="2"/>
        <v>198504152</v>
      </c>
      <c r="I15" s="203">
        <f t="shared" si="2"/>
        <v>197515016</v>
      </c>
      <c r="J15" s="203">
        <f t="shared" si="2"/>
        <v>381000</v>
      </c>
      <c r="K15" s="203">
        <f t="shared" si="2"/>
        <v>1824796</v>
      </c>
      <c r="L15" s="203">
        <f t="shared" si="2"/>
        <v>2205796</v>
      </c>
      <c r="M15" s="204">
        <f t="shared" si="1"/>
        <v>1.1000000000000001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>
        <v>4286250</v>
      </c>
      <c r="C18" s="186">
        <v>4286250</v>
      </c>
      <c r="D18" s="186"/>
      <c r="E18" s="187"/>
      <c r="F18" s="186"/>
      <c r="G18" s="186">
        <v>989136</v>
      </c>
      <c r="H18" s="186">
        <v>4286250</v>
      </c>
      <c r="I18" s="186">
        <v>3297114</v>
      </c>
      <c r="J18" s="186"/>
      <c r="K18" s="186">
        <v>989136</v>
      </c>
      <c r="L18" s="212">
        <f t="shared" ref="L18:L23" si="3">+J18+K18</f>
        <v>989136</v>
      </c>
      <c r="M18" s="189">
        <f t="shared" ref="M18:M24" si="4">IF((C18&lt;&gt;0),ROUND((L18/C18)*100,1),"")</f>
        <v>23.1</v>
      </c>
      <c r="N18" s="964"/>
    </row>
    <row r="19" spans="1:14" x14ac:dyDescent="0.2">
      <c r="A19" s="213" t="s">
        <v>221</v>
      </c>
      <c r="B19" s="191">
        <v>182900612</v>
      </c>
      <c r="C19" s="197">
        <v>182900612</v>
      </c>
      <c r="D19" s="197"/>
      <c r="E19" s="197"/>
      <c r="F19" s="197"/>
      <c r="G19" s="197"/>
      <c r="H19" s="197">
        <v>182900612</v>
      </c>
      <c r="I19" s="197">
        <v>182900612</v>
      </c>
      <c r="J19" s="197"/>
      <c r="K19" s="197"/>
      <c r="L19" s="214"/>
      <c r="M19" s="194"/>
      <c r="N19" s="964"/>
    </row>
    <row r="20" spans="1:14" x14ac:dyDescent="0.2">
      <c r="A20" s="213" t="s">
        <v>222</v>
      </c>
      <c r="B20" s="196">
        <v>12533950</v>
      </c>
      <c r="C20" s="197">
        <v>12533950</v>
      </c>
      <c r="D20" s="197">
        <v>381000</v>
      </c>
      <c r="E20" s="197">
        <v>381000</v>
      </c>
      <c r="F20" s="197">
        <v>835660</v>
      </c>
      <c r="G20" s="197">
        <v>835660</v>
      </c>
      <c r="H20" s="197">
        <v>11317290</v>
      </c>
      <c r="I20" s="197">
        <v>11317290</v>
      </c>
      <c r="J20" s="197">
        <v>381000</v>
      </c>
      <c r="K20" s="197">
        <v>835660</v>
      </c>
      <c r="L20" s="214">
        <v>1216660</v>
      </c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199720812</v>
      </c>
      <c r="C24" s="203">
        <f t="shared" si="5"/>
        <v>199720812</v>
      </c>
      <c r="D24" s="203">
        <f t="shared" si="5"/>
        <v>381000</v>
      </c>
      <c r="E24" s="203">
        <f t="shared" si="5"/>
        <v>381000</v>
      </c>
      <c r="F24" s="203">
        <f t="shared" si="5"/>
        <v>835660</v>
      </c>
      <c r="G24" s="203">
        <f t="shared" si="5"/>
        <v>1824796</v>
      </c>
      <c r="H24" s="203">
        <f t="shared" si="5"/>
        <v>198504152</v>
      </c>
      <c r="I24" s="203">
        <f t="shared" si="5"/>
        <v>197515016</v>
      </c>
      <c r="J24" s="203">
        <f t="shared" si="5"/>
        <v>381000</v>
      </c>
      <c r="K24" s="203">
        <f t="shared" si="5"/>
        <v>1824796</v>
      </c>
      <c r="L24" s="203">
        <f t="shared" si="5"/>
        <v>2205796</v>
      </c>
      <c r="M24" s="204">
        <f t="shared" si="4"/>
        <v>1.1000000000000001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10.140625" style="179" bestFit="1" customWidth="1"/>
    <col min="3" max="3" width="9.5703125" style="179" bestFit="1" customWidth="1"/>
    <col min="4" max="7" width="8.5703125" style="179" customWidth="1"/>
    <col min="8" max="9" width="9.5703125" style="179" bestFit="1" customWidth="1"/>
    <col min="10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10.140625" style="179" bestFit="1" customWidth="1"/>
    <col min="259" max="259" width="9.5703125" style="179" bestFit="1" customWidth="1"/>
    <col min="260" max="263" width="8.5703125" style="179" customWidth="1"/>
    <col min="264" max="265" width="9.5703125" style="179" bestFit="1" customWidth="1"/>
    <col min="266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10.140625" style="179" bestFit="1" customWidth="1"/>
    <col min="515" max="515" width="9.5703125" style="179" bestFit="1" customWidth="1"/>
    <col min="516" max="519" width="8.5703125" style="179" customWidth="1"/>
    <col min="520" max="521" width="9.5703125" style="179" bestFit="1" customWidth="1"/>
    <col min="522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10.140625" style="179" bestFit="1" customWidth="1"/>
    <col min="771" max="771" width="9.5703125" style="179" bestFit="1" customWidth="1"/>
    <col min="772" max="775" width="8.5703125" style="179" customWidth="1"/>
    <col min="776" max="777" width="9.5703125" style="179" bestFit="1" customWidth="1"/>
    <col min="778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10.140625" style="179" bestFit="1" customWidth="1"/>
    <col min="1027" max="1027" width="9.5703125" style="179" bestFit="1" customWidth="1"/>
    <col min="1028" max="1031" width="8.5703125" style="179" customWidth="1"/>
    <col min="1032" max="1033" width="9.5703125" style="179" bestFit="1" customWidth="1"/>
    <col min="1034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10.140625" style="179" bestFit="1" customWidth="1"/>
    <col min="1283" max="1283" width="9.5703125" style="179" bestFit="1" customWidth="1"/>
    <col min="1284" max="1287" width="8.5703125" style="179" customWidth="1"/>
    <col min="1288" max="1289" width="9.5703125" style="179" bestFit="1" customWidth="1"/>
    <col min="1290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10.140625" style="179" bestFit="1" customWidth="1"/>
    <col min="1539" max="1539" width="9.5703125" style="179" bestFit="1" customWidth="1"/>
    <col min="1540" max="1543" width="8.5703125" style="179" customWidth="1"/>
    <col min="1544" max="1545" width="9.5703125" style="179" bestFit="1" customWidth="1"/>
    <col min="1546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10.140625" style="179" bestFit="1" customWidth="1"/>
    <col min="1795" max="1795" width="9.5703125" style="179" bestFit="1" customWidth="1"/>
    <col min="1796" max="1799" width="8.5703125" style="179" customWidth="1"/>
    <col min="1800" max="1801" width="9.5703125" style="179" bestFit="1" customWidth="1"/>
    <col min="1802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10.140625" style="179" bestFit="1" customWidth="1"/>
    <col min="2051" max="2051" width="9.5703125" style="179" bestFit="1" customWidth="1"/>
    <col min="2052" max="2055" width="8.5703125" style="179" customWidth="1"/>
    <col min="2056" max="2057" width="9.5703125" style="179" bestFit="1" customWidth="1"/>
    <col min="2058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10.140625" style="179" bestFit="1" customWidth="1"/>
    <col min="2307" max="2307" width="9.5703125" style="179" bestFit="1" customWidth="1"/>
    <col min="2308" max="2311" width="8.5703125" style="179" customWidth="1"/>
    <col min="2312" max="2313" width="9.5703125" style="179" bestFit="1" customWidth="1"/>
    <col min="2314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10.140625" style="179" bestFit="1" customWidth="1"/>
    <col min="2563" max="2563" width="9.5703125" style="179" bestFit="1" customWidth="1"/>
    <col min="2564" max="2567" width="8.5703125" style="179" customWidth="1"/>
    <col min="2568" max="2569" width="9.5703125" style="179" bestFit="1" customWidth="1"/>
    <col min="2570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10.140625" style="179" bestFit="1" customWidth="1"/>
    <col min="2819" max="2819" width="9.5703125" style="179" bestFit="1" customWidth="1"/>
    <col min="2820" max="2823" width="8.5703125" style="179" customWidth="1"/>
    <col min="2824" max="2825" width="9.5703125" style="179" bestFit="1" customWidth="1"/>
    <col min="2826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10.140625" style="179" bestFit="1" customWidth="1"/>
    <col min="3075" max="3075" width="9.5703125" style="179" bestFit="1" customWidth="1"/>
    <col min="3076" max="3079" width="8.5703125" style="179" customWidth="1"/>
    <col min="3080" max="3081" width="9.5703125" style="179" bestFit="1" customWidth="1"/>
    <col min="3082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10.140625" style="179" bestFit="1" customWidth="1"/>
    <col min="3331" max="3331" width="9.5703125" style="179" bestFit="1" customWidth="1"/>
    <col min="3332" max="3335" width="8.5703125" style="179" customWidth="1"/>
    <col min="3336" max="3337" width="9.5703125" style="179" bestFit="1" customWidth="1"/>
    <col min="3338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10.140625" style="179" bestFit="1" customWidth="1"/>
    <col min="3587" max="3587" width="9.5703125" style="179" bestFit="1" customWidth="1"/>
    <col min="3588" max="3591" width="8.5703125" style="179" customWidth="1"/>
    <col min="3592" max="3593" width="9.5703125" style="179" bestFit="1" customWidth="1"/>
    <col min="3594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10.140625" style="179" bestFit="1" customWidth="1"/>
    <col min="3843" max="3843" width="9.5703125" style="179" bestFit="1" customWidth="1"/>
    <col min="3844" max="3847" width="8.5703125" style="179" customWidth="1"/>
    <col min="3848" max="3849" width="9.5703125" style="179" bestFit="1" customWidth="1"/>
    <col min="3850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10.140625" style="179" bestFit="1" customWidth="1"/>
    <col min="4099" max="4099" width="9.5703125" style="179" bestFit="1" customWidth="1"/>
    <col min="4100" max="4103" width="8.5703125" style="179" customWidth="1"/>
    <col min="4104" max="4105" width="9.5703125" style="179" bestFit="1" customWidth="1"/>
    <col min="4106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10.140625" style="179" bestFit="1" customWidth="1"/>
    <col min="4355" max="4355" width="9.5703125" style="179" bestFit="1" customWidth="1"/>
    <col min="4356" max="4359" width="8.5703125" style="179" customWidth="1"/>
    <col min="4360" max="4361" width="9.5703125" style="179" bestFit="1" customWidth="1"/>
    <col min="4362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10.140625" style="179" bestFit="1" customWidth="1"/>
    <col min="4611" max="4611" width="9.5703125" style="179" bestFit="1" customWidth="1"/>
    <col min="4612" max="4615" width="8.5703125" style="179" customWidth="1"/>
    <col min="4616" max="4617" width="9.5703125" style="179" bestFit="1" customWidth="1"/>
    <col min="4618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10.140625" style="179" bestFit="1" customWidth="1"/>
    <col min="4867" max="4867" width="9.5703125" style="179" bestFit="1" customWidth="1"/>
    <col min="4868" max="4871" width="8.5703125" style="179" customWidth="1"/>
    <col min="4872" max="4873" width="9.5703125" style="179" bestFit="1" customWidth="1"/>
    <col min="4874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10.140625" style="179" bestFit="1" customWidth="1"/>
    <col min="5123" max="5123" width="9.5703125" style="179" bestFit="1" customWidth="1"/>
    <col min="5124" max="5127" width="8.5703125" style="179" customWidth="1"/>
    <col min="5128" max="5129" width="9.5703125" style="179" bestFit="1" customWidth="1"/>
    <col min="5130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10.140625" style="179" bestFit="1" customWidth="1"/>
    <col min="5379" max="5379" width="9.5703125" style="179" bestFit="1" customWidth="1"/>
    <col min="5380" max="5383" width="8.5703125" style="179" customWidth="1"/>
    <col min="5384" max="5385" width="9.5703125" style="179" bestFit="1" customWidth="1"/>
    <col min="5386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10.140625" style="179" bestFit="1" customWidth="1"/>
    <col min="5635" max="5635" width="9.5703125" style="179" bestFit="1" customWidth="1"/>
    <col min="5636" max="5639" width="8.5703125" style="179" customWidth="1"/>
    <col min="5640" max="5641" width="9.5703125" style="179" bestFit="1" customWidth="1"/>
    <col min="5642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10.140625" style="179" bestFit="1" customWidth="1"/>
    <col min="5891" max="5891" width="9.5703125" style="179" bestFit="1" customWidth="1"/>
    <col min="5892" max="5895" width="8.5703125" style="179" customWidth="1"/>
    <col min="5896" max="5897" width="9.5703125" style="179" bestFit="1" customWidth="1"/>
    <col min="5898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10.140625" style="179" bestFit="1" customWidth="1"/>
    <col min="6147" max="6147" width="9.5703125" style="179" bestFit="1" customWidth="1"/>
    <col min="6148" max="6151" width="8.5703125" style="179" customWidth="1"/>
    <col min="6152" max="6153" width="9.5703125" style="179" bestFit="1" customWidth="1"/>
    <col min="6154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10.140625" style="179" bestFit="1" customWidth="1"/>
    <col min="6403" max="6403" width="9.5703125" style="179" bestFit="1" customWidth="1"/>
    <col min="6404" max="6407" width="8.5703125" style="179" customWidth="1"/>
    <col min="6408" max="6409" width="9.5703125" style="179" bestFit="1" customWidth="1"/>
    <col min="6410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10.140625" style="179" bestFit="1" customWidth="1"/>
    <col min="6659" max="6659" width="9.5703125" style="179" bestFit="1" customWidth="1"/>
    <col min="6660" max="6663" width="8.5703125" style="179" customWidth="1"/>
    <col min="6664" max="6665" width="9.5703125" style="179" bestFit="1" customWidth="1"/>
    <col min="6666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10.140625" style="179" bestFit="1" customWidth="1"/>
    <col min="6915" max="6915" width="9.5703125" style="179" bestFit="1" customWidth="1"/>
    <col min="6916" max="6919" width="8.5703125" style="179" customWidth="1"/>
    <col min="6920" max="6921" width="9.5703125" style="179" bestFit="1" customWidth="1"/>
    <col min="6922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10.140625" style="179" bestFit="1" customWidth="1"/>
    <col min="7171" max="7171" width="9.5703125" style="179" bestFit="1" customWidth="1"/>
    <col min="7172" max="7175" width="8.5703125" style="179" customWidth="1"/>
    <col min="7176" max="7177" width="9.5703125" style="179" bestFit="1" customWidth="1"/>
    <col min="7178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10.140625" style="179" bestFit="1" customWidth="1"/>
    <col min="7427" max="7427" width="9.5703125" style="179" bestFit="1" customWidth="1"/>
    <col min="7428" max="7431" width="8.5703125" style="179" customWidth="1"/>
    <col min="7432" max="7433" width="9.5703125" style="179" bestFit="1" customWidth="1"/>
    <col min="7434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10.140625" style="179" bestFit="1" customWidth="1"/>
    <col min="7683" max="7683" width="9.5703125" style="179" bestFit="1" customWidth="1"/>
    <col min="7684" max="7687" width="8.5703125" style="179" customWidth="1"/>
    <col min="7688" max="7689" width="9.5703125" style="179" bestFit="1" customWidth="1"/>
    <col min="7690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10.140625" style="179" bestFit="1" customWidth="1"/>
    <col min="7939" max="7939" width="9.5703125" style="179" bestFit="1" customWidth="1"/>
    <col min="7940" max="7943" width="8.5703125" style="179" customWidth="1"/>
    <col min="7944" max="7945" width="9.5703125" style="179" bestFit="1" customWidth="1"/>
    <col min="7946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10.140625" style="179" bestFit="1" customWidth="1"/>
    <col min="8195" max="8195" width="9.5703125" style="179" bestFit="1" customWidth="1"/>
    <col min="8196" max="8199" width="8.5703125" style="179" customWidth="1"/>
    <col min="8200" max="8201" width="9.5703125" style="179" bestFit="1" customWidth="1"/>
    <col min="8202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10.140625" style="179" bestFit="1" customWidth="1"/>
    <col min="8451" max="8451" width="9.5703125" style="179" bestFit="1" customWidth="1"/>
    <col min="8452" max="8455" width="8.5703125" style="179" customWidth="1"/>
    <col min="8456" max="8457" width="9.5703125" style="179" bestFit="1" customWidth="1"/>
    <col min="8458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10.140625" style="179" bestFit="1" customWidth="1"/>
    <col min="8707" max="8707" width="9.5703125" style="179" bestFit="1" customWidth="1"/>
    <col min="8708" max="8711" width="8.5703125" style="179" customWidth="1"/>
    <col min="8712" max="8713" width="9.5703125" style="179" bestFit="1" customWidth="1"/>
    <col min="8714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10.140625" style="179" bestFit="1" customWidth="1"/>
    <col min="8963" max="8963" width="9.5703125" style="179" bestFit="1" customWidth="1"/>
    <col min="8964" max="8967" width="8.5703125" style="179" customWidth="1"/>
    <col min="8968" max="8969" width="9.5703125" style="179" bestFit="1" customWidth="1"/>
    <col min="8970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10.140625" style="179" bestFit="1" customWidth="1"/>
    <col min="9219" max="9219" width="9.5703125" style="179" bestFit="1" customWidth="1"/>
    <col min="9220" max="9223" width="8.5703125" style="179" customWidth="1"/>
    <col min="9224" max="9225" width="9.5703125" style="179" bestFit="1" customWidth="1"/>
    <col min="9226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10.140625" style="179" bestFit="1" customWidth="1"/>
    <col min="9475" max="9475" width="9.5703125" style="179" bestFit="1" customWidth="1"/>
    <col min="9476" max="9479" width="8.5703125" style="179" customWidth="1"/>
    <col min="9480" max="9481" width="9.5703125" style="179" bestFit="1" customWidth="1"/>
    <col min="9482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10.140625" style="179" bestFit="1" customWidth="1"/>
    <col min="9731" max="9731" width="9.5703125" style="179" bestFit="1" customWidth="1"/>
    <col min="9732" max="9735" width="8.5703125" style="179" customWidth="1"/>
    <col min="9736" max="9737" width="9.5703125" style="179" bestFit="1" customWidth="1"/>
    <col min="9738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10.140625" style="179" bestFit="1" customWidth="1"/>
    <col min="9987" max="9987" width="9.5703125" style="179" bestFit="1" customWidth="1"/>
    <col min="9988" max="9991" width="8.5703125" style="179" customWidth="1"/>
    <col min="9992" max="9993" width="9.5703125" style="179" bestFit="1" customWidth="1"/>
    <col min="9994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10.140625" style="179" bestFit="1" customWidth="1"/>
    <col min="10243" max="10243" width="9.5703125" style="179" bestFit="1" customWidth="1"/>
    <col min="10244" max="10247" width="8.5703125" style="179" customWidth="1"/>
    <col min="10248" max="10249" width="9.5703125" style="179" bestFit="1" customWidth="1"/>
    <col min="10250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10.140625" style="179" bestFit="1" customWidth="1"/>
    <col min="10499" max="10499" width="9.5703125" style="179" bestFit="1" customWidth="1"/>
    <col min="10500" max="10503" width="8.5703125" style="179" customWidth="1"/>
    <col min="10504" max="10505" width="9.5703125" style="179" bestFit="1" customWidth="1"/>
    <col min="10506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10.140625" style="179" bestFit="1" customWidth="1"/>
    <col min="10755" max="10755" width="9.5703125" style="179" bestFit="1" customWidth="1"/>
    <col min="10756" max="10759" width="8.5703125" style="179" customWidth="1"/>
    <col min="10760" max="10761" width="9.5703125" style="179" bestFit="1" customWidth="1"/>
    <col min="10762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10.140625" style="179" bestFit="1" customWidth="1"/>
    <col min="11011" max="11011" width="9.5703125" style="179" bestFit="1" customWidth="1"/>
    <col min="11012" max="11015" width="8.5703125" style="179" customWidth="1"/>
    <col min="11016" max="11017" width="9.5703125" style="179" bestFit="1" customWidth="1"/>
    <col min="11018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10.140625" style="179" bestFit="1" customWidth="1"/>
    <col min="11267" max="11267" width="9.5703125" style="179" bestFit="1" customWidth="1"/>
    <col min="11268" max="11271" width="8.5703125" style="179" customWidth="1"/>
    <col min="11272" max="11273" width="9.5703125" style="179" bestFit="1" customWidth="1"/>
    <col min="11274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10.140625" style="179" bestFit="1" customWidth="1"/>
    <col min="11523" max="11523" width="9.5703125" style="179" bestFit="1" customWidth="1"/>
    <col min="11524" max="11527" width="8.5703125" style="179" customWidth="1"/>
    <col min="11528" max="11529" width="9.5703125" style="179" bestFit="1" customWidth="1"/>
    <col min="11530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10.140625" style="179" bestFit="1" customWidth="1"/>
    <col min="11779" max="11779" width="9.5703125" style="179" bestFit="1" customWidth="1"/>
    <col min="11780" max="11783" width="8.5703125" style="179" customWidth="1"/>
    <col min="11784" max="11785" width="9.5703125" style="179" bestFit="1" customWidth="1"/>
    <col min="11786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10.140625" style="179" bestFit="1" customWidth="1"/>
    <col min="12035" max="12035" width="9.5703125" style="179" bestFit="1" customWidth="1"/>
    <col min="12036" max="12039" width="8.5703125" style="179" customWidth="1"/>
    <col min="12040" max="12041" width="9.5703125" style="179" bestFit="1" customWidth="1"/>
    <col min="12042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10.140625" style="179" bestFit="1" customWidth="1"/>
    <col min="12291" max="12291" width="9.5703125" style="179" bestFit="1" customWidth="1"/>
    <col min="12292" max="12295" width="8.5703125" style="179" customWidth="1"/>
    <col min="12296" max="12297" width="9.5703125" style="179" bestFit="1" customWidth="1"/>
    <col min="12298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10.140625" style="179" bestFit="1" customWidth="1"/>
    <col min="12547" max="12547" width="9.5703125" style="179" bestFit="1" customWidth="1"/>
    <col min="12548" max="12551" width="8.5703125" style="179" customWidth="1"/>
    <col min="12552" max="12553" width="9.5703125" style="179" bestFit="1" customWidth="1"/>
    <col min="12554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10.140625" style="179" bestFit="1" customWidth="1"/>
    <col min="12803" max="12803" width="9.5703125" style="179" bestFit="1" customWidth="1"/>
    <col min="12804" max="12807" width="8.5703125" style="179" customWidth="1"/>
    <col min="12808" max="12809" width="9.5703125" style="179" bestFit="1" customWidth="1"/>
    <col min="12810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10.140625" style="179" bestFit="1" customWidth="1"/>
    <col min="13059" max="13059" width="9.5703125" style="179" bestFit="1" customWidth="1"/>
    <col min="13060" max="13063" width="8.5703125" style="179" customWidth="1"/>
    <col min="13064" max="13065" width="9.5703125" style="179" bestFit="1" customWidth="1"/>
    <col min="13066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10.140625" style="179" bestFit="1" customWidth="1"/>
    <col min="13315" max="13315" width="9.5703125" style="179" bestFit="1" customWidth="1"/>
    <col min="13316" max="13319" width="8.5703125" style="179" customWidth="1"/>
    <col min="13320" max="13321" width="9.5703125" style="179" bestFit="1" customWidth="1"/>
    <col min="13322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10.140625" style="179" bestFit="1" customWidth="1"/>
    <col min="13571" max="13571" width="9.5703125" style="179" bestFit="1" customWidth="1"/>
    <col min="13572" max="13575" width="8.5703125" style="179" customWidth="1"/>
    <col min="13576" max="13577" width="9.5703125" style="179" bestFit="1" customWidth="1"/>
    <col min="13578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10.140625" style="179" bestFit="1" customWidth="1"/>
    <col min="13827" max="13827" width="9.5703125" style="179" bestFit="1" customWidth="1"/>
    <col min="13828" max="13831" width="8.5703125" style="179" customWidth="1"/>
    <col min="13832" max="13833" width="9.5703125" style="179" bestFit="1" customWidth="1"/>
    <col min="13834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10.140625" style="179" bestFit="1" customWidth="1"/>
    <col min="14083" max="14083" width="9.5703125" style="179" bestFit="1" customWidth="1"/>
    <col min="14084" max="14087" width="8.5703125" style="179" customWidth="1"/>
    <col min="14088" max="14089" width="9.5703125" style="179" bestFit="1" customWidth="1"/>
    <col min="14090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10.140625" style="179" bestFit="1" customWidth="1"/>
    <col min="14339" max="14339" width="9.5703125" style="179" bestFit="1" customWidth="1"/>
    <col min="14340" max="14343" width="8.5703125" style="179" customWidth="1"/>
    <col min="14344" max="14345" width="9.5703125" style="179" bestFit="1" customWidth="1"/>
    <col min="14346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10.140625" style="179" bestFit="1" customWidth="1"/>
    <col min="14595" max="14595" width="9.5703125" style="179" bestFit="1" customWidth="1"/>
    <col min="14596" max="14599" width="8.5703125" style="179" customWidth="1"/>
    <col min="14600" max="14601" width="9.5703125" style="179" bestFit="1" customWidth="1"/>
    <col min="14602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10.140625" style="179" bestFit="1" customWidth="1"/>
    <col min="14851" max="14851" width="9.5703125" style="179" bestFit="1" customWidth="1"/>
    <col min="14852" max="14855" width="8.5703125" style="179" customWidth="1"/>
    <col min="14856" max="14857" width="9.5703125" style="179" bestFit="1" customWidth="1"/>
    <col min="14858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10.140625" style="179" bestFit="1" customWidth="1"/>
    <col min="15107" max="15107" width="9.5703125" style="179" bestFit="1" customWidth="1"/>
    <col min="15108" max="15111" width="8.5703125" style="179" customWidth="1"/>
    <col min="15112" max="15113" width="9.5703125" style="179" bestFit="1" customWidth="1"/>
    <col min="15114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10.140625" style="179" bestFit="1" customWidth="1"/>
    <col min="15363" max="15363" width="9.5703125" style="179" bestFit="1" customWidth="1"/>
    <col min="15364" max="15367" width="8.5703125" style="179" customWidth="1"/>
    <col min="15368" max="15369" width="9.5703125" style="179" bestFit="1" customWidth="1"/>
    <col min="15370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10.140625" style="179" bestFit="1" customWidth="1"/>
    <col min="15619" max="15619" width="9.5703125" style="179" bestFit="1" customWidth="1"/>
    <col min="15620" max="15623" width="8.5703125" style="179" customWidth="1"/>
    <col min="15624" max="15625" width="9.5703125" style="179" bestFit="1" customWidth="1"/>
    <col min="15626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10.140625" style="179" bestFit="1" customWidth="1"/>
    <col min="15875" max="15875" width="9.5703125" style="179" bestFit="1" customWidth="1"/>
    <col min="15876" max="15879" width="8.5703125" style="179" customWidth="1"/>
    <col min="15880" max="15881" width="9.5703125" style="179" bestFit="1" customWidth="1"/>
    <col min="15882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10.140625" style="179" bestFit="1" customWidth="1"/>
    <col min="16131" max="16131" width="9.5703125" style="179" bestFit="1" customWidth="1"/>
    <col min="16132" max="16135" width="8.5703125" style="179" customWidth="1"/>
    <col min="16136" max="16137" width="9.5703125" style="179" bestFit="1" customWidth="1"/>
    <col min="16138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913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933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214128350</v>
      </c>
      <c r="C10" s="197">
        <v>214428350</v>
      </c>
      <c r="D10" s="197">
        <v>190500</v>
      </c>
      <c r="E10" s="197">
        <v>190500</v>
      </c>
      <c r="F10" s="197"/>
      <c r="G10" s="197"/>
      <c r="H10" s="197">
        <v>213937850</v>
      </c>
      <c r="I10" s="197">
        <v>213937850</v>
      </c>
      <c r="J10" s="197">
        <v>190500</v>
      </c>
      <c r="K10" s="197"/>
      <c r="L10" s="193">
        <v>190500</v>
      </c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214128350</v>
      </c>
      <c r="C15" s="203">
        <f t="shared" si="2"/>
        <v>214428350</v>
      </c>
      <c r="D15" s="203">
        <f t="shared" si="2"/>
        <v>190500</v>
      </c>
      <c r="E15" s="203">
        <f t="shared" si="2"/>
        <v>190500</v>
      </c>
      <c r="F15" s="203">
        <f t="shared" si="2"/>
        <v>0</v>
      </c>
      <c r="G15" s="203">
        <f t="shared" si="2"/>
        <v>0</v>
      </c>
      <c r="H15" s="203">
        <f t="shared" si="2"/>
        <v>213937850</v>
      </c>
      <c r="I15" s="203">
        <f t="shared" si="2"/>
        <v>213937850</v>
      </c>
      <c r="J15" s="203">
        <f t="shared" si="2"/>
        <v>190500</v>
      </c>
      <c r="K15" s="203">
        <f t="shared" si="2"/>
        <v>0</v>
      </c>
      <c r="L15" s="203">
        <f t="shared" si="2"/>
        <v>190500</v>
      </c>
      <c r="M15" s="204">
        <f t="shared" si="1"/>
        <v>0.1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>
        <v>5334000</v>
      </c>
      <c r="C18" s="186">
        <v>5334000</v>
      </c>
      <c r="D18" s="186"/>
      <c r="E18" s="187"/>
      <c r="F18" s="186"/>
      <c r="G18" s="186"/>
      <c r="H18" s="186">
        <v>5334000</v>
      </c>
      <c r="I18" s="186">
        <v>5334000</v>
      </c>
      <c r="J18" s="186"/>
      <c r="K18" s="186"/>
      <c r="L18" s="212">
        <f t="shared" ref="L18:L23" si="3">+J18+K18</f>
        <v>0</v>
      </c>
      <c r="M18" s="189">
        <f t="shared" ref="M18:M24" si="4">IF((C18&lt;&gt;0),ROUND((L18/C18)*100,1),"")</f>
        <v>0</v>
      </c>
      <c r="N18" s="964"/>
    </row>
    <row r="19" spans="1:14" x14ac:dyDescent="0.2">
      <c r="A19" s="213" t="s">
        <v>221</v>
      </c>
      <c r="B19" s="191">
        <v>193808350</v>
      </c>
      <c r="C19" s="197">
        <v>193808350</v>
      </c>
      <c r="D19" s="197"/>
      <c r="E19" s="197"/>
      <c r="F19" s="197"/>
      <c r="G19" s="197"/>
      <c r="H19" s="197">
        <v>193808350</v>
      </c>
      <c r="I19" s="197">
        <v>193808350</v>
      </c>
      <c r="J19" s="197"/>
      <c r="K19" s="197"/>
      <c r="L19" s="214"/>
      <c r="M19" s="194"/>
      <c r="N19" s="964"/>
    </row>
    <row r="20" spans="1:14" x14ac:dyDescent="0.2">
      <c r="A20" s="213" t="s">
        <v>222</v>
      </c>
      <c r="B20" s="196">
        <v>14986000</v>
      </c>
      <c r="C20" s="197">
        <v>14986000</v>
      </c>
      <c r="D20" s="197">
        <v>190500</v>
      </c>
      <c r="E20" s="197">
        <v>190500</v>
      </c>
      <c r="F20" s="197"/>
      <c r="G20" s="197"/>
      <c r="H20" s="197">
        <v>14795500</v>
      </c>
      <c r="I20" s="197">
        <v>14795500</v>
      </c>
      <c r="J20" s="197">
        <v>190500</v>
      </c>
      <c r="K20" s="197"/>
      <c r="L20" s="214">
        <v>190500</v>
      </c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214128350</v>
      </c>
      <c r="C24" s="203">
        <f t="shared" si="5"/>
        <v>214128350</v>
      </c>
      <c r="D24" s="203">
        <f t="shared" si="5"/>
        <v>190500</v>
      </c>
      <c r="E24" s="203">
        <f t="shared" si="5"/>
        <v>190500</v>
      </c>
      <c r="F24" s="203">
        <f t="shared" si="5"/>
        <v>0</v>
      </c>
      <c r="G24" s="203">
        <f t="shared" si="5"/>
        <v>0</v>
      </c>
      <c r="H24" s="203">
        <f t="shared" si="5"/>
        <v>213937850</v>
      </c>
      <c r="I24" s="203">
        <f t="shared" si="5"/>
        <v>213937850</v>
      </c>
      <c r="J24" s="203">
        <f t="shared" si="5"/>
        <v>190500</v>
      </c>
      <c r="K24" s="203">
        <f t="shared" si="5"/>
        <v>0</v>
      </c>
      <c r="L24" s="203">
        <f t="shared" si="5"/>
        <v>190500</v>
      </c>
      <c r="M24" s="204">
        <f t="shared" si="4"/>
        <v>0.1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914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934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9000000</v>
      </c>
      <c r="C10" s="197">
        <v>9000000</v>
      </c>
      <c r="D10" s="197"/>
      <c r="E10" s="197"/>
      <c r="F10" s="197">
        <v>5275000</v>
      </c>
      <c r="G10" s="197">
        <v>5275000</v>
      </c>
      <c r="H10" s="197">
        <v>3725000</v>
      </c>
      <c r="I10" s="197">
        <v>3725000</v>
      </c>
      <c r="J10" s="197"/>
      <c r="K10" s="197">
        <v>5275000</v>
      </c>
      <c r="L10" s="193">
        <v>5275000</v>
      </c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9000000</v>
      </c>
      <c r="C15" s="203">
        <f t="shared" si="2"/>
        <v>9000000</v>
      </c>
      <c r="D15" s="203">
        <f t="shared" si="2"/>
        <v>0</v>
      </c>
      <c r="E15" s="203">
        <f t="shared" si="2"/>
        <v>0</v>
      </c>
      <c r="F15" s="203">
        <f t="shared" si="2"/>
        <v>5275000</v>
      </c>
      <c r="G15" s="203">
        <f t="shared" si="2"/>
        <v>5275000</v>
      </c>
      <c r="H15" s="203">
        <f t="shared" si="2"/>
        <v>3725000</v>
      </c>
      <c r="I15" s="203">
        <f t="shared" si="2"/>
        <v>3725000</v>
      </c>
      <c r="J15" s="203">
        <f t="shared" si="2"/>
        <v>0</v>
      </c>
      <c r="K15" s="203">
        <f t="shared" si="2"/>
        <v>5275000</v>
      </c>
      <c r="L15" s="203">
        <f t="shared" si="2"/>
        <v>5275000</v>
      </c>
      <c r="M15" s="204">
        <f t="shared" si="1"/>
        <v>58.6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64"/>
    </row>
    <row r="19" spans="1:14" x14ac:dyDescent="0.2">
      <c r="A19" s="213" t="s">
        <v>221</v>
      </c>
      <c r="B19" s="191">
        <v>2160000</v>
      </c>
      <c r="C19" s="197">
        <v>2160000</v>
      </c>
      <c r="D19" s="197"/>
      <c r="E19" s="197"/>
      <c r="F19" s="197">
        <v>2160000</v>
      </c>
      <c r="G19" s="197">
        <v>2160000</v>
      </c>
      <c r="H19" s="197"/>
      <c r="I19" s="197"/>
      <c r="J19" s="197"/>
      <c r="K19" s="197">
        <v>2160000</v>
      </c>
      <c r="L19" s="214">
        <v>2160000</v>
      </c>
      <c r="M19" s="194"/>
      <c r="N19" s="964"/>
    </row>
    <row r="20" spans="1:14" x14ac:dyDescent="0.2">
      <c r="A20" s="213" t="s">
        <v>222</v>
      </c>
      <c r="B20" s="196">
        <v>6840000</v>
      </c>
      <c r="C20" s="197">
        <v>6840000</v>
      </c>
      <c r="D20" s="197"/>
      <c r="E20" s="197"/>
      <c r="F20" s="197">
        <v>3115000</v>
      </c>
      <c r="G20" s="197">
        <v>3115000</v>
      </c>
      <c r="H20" s="197">
        <v>3725000</v>
      </c>
      <c r="I20" s="197">
        <v>3725000</v>
      </c>
      <c r="J20" s="197"/>
      <c r="K20" s="197">
        <v>3115000</v>
      </c>
      <c r="L20" s="214">
        <v>3115000</v>
      </c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9000000</v>
      </c>
      <c r="C24" s="203">
        <f t="shared" si="5"/>
        <v>9000000</v>
      </c>
      <c r="D24" s="203">
        <f t="shared" si="5"/>
        <v>0</v>
      </c>
      <c r="E24" s="203">
        <f t="shared" si="5"/>
        <v>0</v>
      </c>
      <c r="F24" s="203">
        <f t="shared" si="5"/>
        <v>5275000</v>
      </c>
      <c r="G24" s="203">
        <f t="shared" si="5"/>
        <v>5275000</v>
      </c>
      <c r="H24" s="203">
        <f t="shared" si="5"/>
        <v>3725000</v>
      </c>
      <c r="I24" s="203">
        <f t="shared" si="5"/>
        <v>3725000</v>
      </c>
      <c r="J24" s="203">
        <f t="shared" si="5"/>
        <v>0</v>
      </c>
      <c r="K24" s="203">
        <f t="shared" si="5"/>
        <v>5275000</v>
      </c>
      <c r="L24" s="203">
        <f t="shared" si="5"/>
        <v>5275000</v>
      </c>
      <c r="M24" s="204">
        <f t="shared" si="4"/>
        <v>58.6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16384" width="8" style="179"/>
  </cols>
  <sheetData>
    <row r="1" spans="1:14" ht="59.45" customHeight="1" x14ac:dyDescent="0.25">
      <c r="A1" s="961" t="s">
        <v>365</v>
      </c>
      <c r="B1" s="961"/>
      <c r="C1" s="961"/>
      <c r="D1" s="977" t="s">
        <v>915</v>
      </c>
      <c r="E1" s="977"/>
      <c r="F1" s="977"/>
      <c r="G1" s="977"/>
      <c r="H1" s="977"/>
      <c r="I1" s="977"/>
      <c r="J1" s="977"/>
      <c r="K1" s="977"/>
      <c r="L1" s="977"/>
      <c r="M1" s="977"/>
      <c r="N1" s="964" t="s">
        <v>935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f>SUM(D10,F10,H10)</f>
        <v>19302847</v>
      </c>
      <c r="C10" s="196">
        <f>SUM(E10,G10,I10)</f>
        <v>19302847</v>
      </c>
      <c r="D10" s="197"/>
      <c r="E10" s="197"/>
      <c r="F10" s="197">
        <v>18932847</v>
      </c>
      <c r="G10" s="197">
        <v>18932847</v>
      </c>
      <c r="H10" s="197">
        <v>370000</v>
      </c>
      <c r="I10" s="197">
        <v>370000</v>
      </c>
      <c r="J10" s="197"/>
      <c r="K10" s="197">
        <v>18932847</v>
      </c>
      <c r="L10" s="193">
        <f t="shared" si="0"/>
        <v>18932847</v>
      </c>
      <c r="M10" s="194">
        <f t="shared" si="1"/>
        <v>98.1</v>
      </c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>
        <f t="shared" si="0"/>
        <v>0</v>
      </c>
      <c r="M11" s="194" t="str">
        <f t="shared" si="1"/>
        <v/>
      </c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19302847</v>
      </c>
      <c r="C15" s="203">
        <f t="shared" si="2"/>
        <v>19302847</v>
      </c>
      <c r="D15" s="203">
        <f t="shared" si="2"/>
        <v>0</v>
      </c>
      <c r="E15" s="203">
        <f t="shared" si="2"/>
        <v>0</v>
      </c>
      <c r="F15" s="203">
        <f t="shared" si="2"/>
        <v>18932847</v>
      </c>
      <c r="G15" s="203">
        <f t="shared" si="2"/>
        <v>18932847</v>
      </c>
      <c r="H15" s="203">
        <f t="shared" si="2"/>
        <v>370000</v>
      </c>
      <c r="I15" s="203">
        <f t="shared" si="2"/>
        <v>370000</v>
      </c>
      <c r="J15" s="203">
        <f t="shared" si="2"/>
        <v>0</v>
      </c>
      <c r="K15" s="203">
        <f t="shared" si="2"/>
        <v>18932847</v>
      </c>
      <c r="L15" s="203">
        <f t="shared" si="2"/>
        <v>18932847</v>
      </c>
      <c r="M15" s="204">
        <f t="shared" si="1"/>
        <v>98.1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96">
        <f>SUM(D18,F18,H18)</f>
        <v>8190052</v>
      </c>
      <c r="C18" s="196">
        <f>SUM(E18,G18,I18)</f>
        <v>8190052</v>
      </c>
      <c r="D18" s="186"/>
      <c r="E18" s="187"/>
      <c r="F18" s="186">
        <v>981854</v>
      </c>
      <c r="G18" s="186">
        <v>981854</v>
      </c>
      <c r="H18" s="186">
        <v>7208198</v>
      </c>
      <c r="I18" s="186">
        <v>7208198</v>
      </c>
      <c r="J18" s="186"/>
      <c r="K18" s="186">
        <v>504360</v>
      </c>
      <c r="L18" s="212">
        <f t="shared" ref="L18:L23" si="3">+J18+K18</f>
        <v>504360</v>
      </c>
      <c r="M18" s="189">
        <f t="shared" ref="M18:M24" si="4">IF((C18&lt;&gt;0),ROUND((L18/C18)*100,1),"")</f>
        <v>6.2</v>
      </c>
      <c r="N18" s="964"/>
    </row>
    <row r="19" spans="1:14" x14ac:dyDescent="0.2">
      <c r="A19" s="213" t="s">
        <v>221</v>
      </c>
      <c r="B19" s="196">
        <f t="shared" ref="B19:C22" si="5">SUM(D19,F19,H19)</f>
        <v>3028467</v>
      </c>
      <c r="C19" s="196">
        <f t="shared" si="5"/>
        <v>3028467</v>
      </c>
      <c r="D19" s="197"/>
      <c r="E19" s="197"/>
      <c r="F19" s="197">
        <v>2412703</v>
      </c>
      <c r="G19" s="197">
        <v>2412703</v>
      </c>
      <c r="H19" s="197">
        <v>615764</v>
      </c>
      <c r="I19" s="197">
        <v>615764</v>
      </c>
      <c r="J19" s="197"/>
      <c r="K19" s="197">
        <v>369700</v>
      </c>
      <c r="L19" s="214">
        <f t="shared" si="3"/>
        <v>369700</v>
      </c>
      <c r="M19" s="194">
        <f t="shared" si="4"/>
        <v>12.2</v>
      </c>
      <c r="N19" s="964"/>
    </row>
    <row r="20" spans="1:14" x14ac:dyDescent="0.2">
      <c r="A20" s="213" t="s">
        <v>222</v>
      </c>
      <c r="B20" s="196">
        <f t="shared" si="5"/>
        <v>5956428</v>
      </c>
      <c r="C20" s="196">
        <f t="shared" si="5"/>
        <v>5956428</v>
      </c>
      <c r="D20" s="197"/>
      <c r="E20" s="197"/>
      <c r="F20" s="197">
        <v>1585000</v>
      </c>
      <c r="G20" s="197">
        <v>1585000</v>
      </c>
      <c r="H20" s="197">
        <v>4371428</v>
      </c>
      <c r="I20" s="197">
        <v>4371428</v>
      </c>
      <c r="J20" s="197"/>
      <c r="K20" s="197">
        <v>165000</v>
      </c>
      <c r="L20" s="214">
        <f t="shared" si="3"/>
        <v>165000</v>
      </c>
      <c r="M20" s="194">
        <f t="shared" si="4"/>
        <v>2.8</v>
      </c>
      <c r="N20" s="964"/>
    </row>
    <row r="21" spans="1:14" x14ac:dyDescent="0.2">
      <c r="A21" s="213" t="s">
        <v>223</v>
      </c>
      <c r="B21" s="196">
        <f t="shared" si="5"/>
        <v>1757900</v>
      </c>
      <c r="C21" s="196">
        <f t="shared" si="5"/>
        <v>1757900</v>
      </c>
      <c r="D21" s="197"/>
      <c r="E21" s="197"/>
      <c r="F21" s="197">
        <v>1516845</v>
      </c>
      <c r="G21" s="197">
        <v>1516845</v>
      </c>
      <c r="H21" s="197">
        <v>241055</v>
      </c>
      <c r="I21" s="197">
        <v>241055</v>
      </c>
      <c r="J21" s="197"/>
      <c r="K21" s="197">
        <v>71920</v>
      </c>
      <c r="L21" s="214">
        <f t="shared" si="3"/>
        <v>71920</v>
      </c>
      <c r="M21" s="194">
        <f t="shared" si="4"/>
        <v>4.0999999999999996</v>
      </c>
      <c r="N21" s="964"/>
    </row>
    <row r="22" spans="1:14" x14ac:dyDescent="0.2">
      <c r="A22" s="215" t="s">
        <v>916</v>
      </c>
      <c r="B22" s="196">
        <f t="shared" si="5"/>
        <v>370000</v>
      </c>
      <c r="C22" s="196">
        <f t="shared" si="5"/>
        <v>370000</v>
      </c>
      <c r="D22" s="197"/>
      <c r="E22" s="197"/>
      <c r="F22" s="197"/>
      <c r="G22" s="197"/>
      <c r="H22" s="197">
        <v>370000</v>
      </c>
      <c r="I22" s="197">
        <v>370000</v>
      </c>
      <c r="J22" s="197"/>
      <c r="K22" s="197"/>
      <c r="L22" s="214">
        <f t="shared" si="3"/>
        <v>0</v>
      </c>
      <c r="M22" s="194">
        <f t="shared" si="4"/>
        <v>0</v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6">SUM(B18:B23)</f>
        <v>19302847</v>
      </c>
      <c r="C24" s="203">
        <f t="shared" si="6"/>
        <v>19302847</v>
      </c>
      <c r="D24" s="203">
        <f t="shared" si="6"/>
        <v>0</v>
      </c>
      <c r="E24" s="203">
        <f t="shared" si="6"/>
        <v>0</v>
      </c>
      <c r="F24" s="203">
        <f t="shared" si="6"/>
        <v>6496402</v>
      </c>
      <c r="G24" s="203">
        <f t="shared" si="6"/>
        <v>6496402</v>
      </c>
      <c r="H24" s="203">
        <f t="shared" si="6"/>
        <v>12806445</v>
      </c>
      <c r="I24" s="203">
        <f t="shared" si="6"/>
        <v>12806445</v>
      </c>
      <c r="J24" s="203">
        <f t="shared" si="6"/>
        <v>0</v>
      </c>
      <c r="K24" s="203">
        <f t="shared" si="6"/>
        <v>1110980</v>
      </c>
      <c r="L24" s="203">
        <f t="shared" si="6"/>
        <v>1110980</v>
      </c>
      <c r="M24" s="204">
        <f t="shared" si="4"/>
        <v>5.8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501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0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theme="3"/>
  </sheetPr>
  <dimension ref="A1:K151"/>
  <sheetViews>
    <sheetView zoomScaleNormal="100" zoomScaleSheetLayoutView="100" workbookViewId="0">
      <selection activeCell="E1" sqref="E1"/>
    </sheetView>
  </sheetViews>
  <sheetFormatPr defaultColWidth="8" defaultRowHeight="12.75" x14ac:dyDescent="0.2"/>
  <cols>
    <col min="1" max="1" width="12.7109375" style="280" customWidth="1"/>
    <col min="2" max="2" width="56" style="281" customWidth="1"/>
    <col min="3" max="5" width="14.5703125" style="282" customWidth="1"/>
    <col min="6" max="16384" width="8" style="239"/>
  </cols>
  <sheetData>
    <row r="1" spans="1:5" s="228" customFormat="1" ht="16.5" customHeight="1" thickBot="1" x14ac:dyDescent="0.25">
      <c r="A1" s="224"/>
      <c r="B1" s="225"/>
      <c r="C1" s="226"/>
      <c r="D1" s="227"/>
      <c r="E1" s="226" t="s">
        <v>936</v>
      </c>
    </row>
    <row r="2" spans="1:5" s="231" customFormat="1" ht="15.75" customHeight="1" x14ac:dyDescent="0.2">
      <c r="A2" s="229" t="s">
        <v>227</v>
      </c>
      <c r="B2" s="983" t="s">
        <v>691</v>
      </c>
      <c r="C2" s="984"/>
      <c r="D2" s="985"/>
      <c r="E2" s="230" t="s">
        <v>692</v>
      </c>
    </row>
    <row r="3" spans="1:5" s="231" customFormat="1" ht="24.75" thickBot="1" x14ac:dyDescent="0.25">
      <c r="A3" s="232" t="s">
        <v>693</v>
      </c>
      <c r="B3" s="986" t="s">
        <v>694</v>
      </c>
      <c r="C3" s="987"/>
      <c r="D3" s="988"/>
      <c r="E3" s="233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24" t="s">
        <v>695</v>
      </c>
      <c r="B5" s="23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4" customFormat="1" ht="12" customHeight="1" thickBot="1" x14ac:dyDescent="0.25">
      <c r="A8" s="1" t="s">
        <v>235</v>
      </c>
      <c r="B8" s="5" t="s">
        <v>462</v>
      </c>
      <c r="C8" s="32">
        <f>SUM(C9:C14)</f>
        <v>1190343400</v>
      </c>
      <c r="D8" s="32">
        <f>SUM(D9:D14)</f>
        <v>1136384587</v>
      </c>
      <c r="E8" s="33">
        <f>SUM(E9:E14)</f>
        <v>1136384587</v>
      </c>
    </row>
    <row r="9" spans="1:5" s="246" customFormat="1" ht="12" customHeight="1" x14ac:dyDescent="0.2">
      <c r="A9" s="245" t="s">
        <v>340</v>
      </c>
      <c r="B9" s="35" t="s">
        <v>464</v>
      </c>
      <c r="C9" s="36">
        <v>227512539</v>
      </c>
      <c r="D9" s="36">
        <v>228418282</v>
      </c>
      <c r="E9" s="37">
        <v>228418282</v>
      </c>
    </row>
    <row r="10" spans="1:5" s="248" customFormat="1" ht="12" customHeight="1" x14ac:dyDescent="0.2">
      <c r="A10" s="247" t="s">
        <v>342</v>
      </c>
      <c r="B10" s="38" t="s">
        <v>465</v>
      </c>
      <c r="C10" s="39">
        <v>218107294</v>
      </c>
      <c r="D10" s="39">
        <v>224090111</v>
      </c>
      <c r="E10" s="40">
        <v>224090111</v>
      </c>
    </row>
    <row r="11" spans="1:5" s="248" customFormat="1" ht="12" customHeight="1" x14ac:dyDescent="0.2">
      <c r="A11" s="247" t="s">
        <v>343</v>
      </c>
      <c r="B11" s="38" t="s">
        <v>466</v>
      </c>
      <c r="C11" s="39">
        <v>540914065</v>
      </c>
      <c r="D11" s="39">
        <v>600182523</v>
      </c>
      <c r="E11" s="40">
        <v>600182523</v>
      </c>
    </row>
    <row r="12" spans="1:5" s="248" customFormat="1" ht="12" customHeight="1" x14ac:dyDescent="0.2">
      <c r="A12" s="247" t="s">
        <v>345</v>
      </c>
      <c r="B12" s="38" t="s">
        <v>467</v>
      </c>
      <c r="C12" s="39">
        <v>30304060</v>
      </c>
      <c r="D12" s="39">
        <v>31318596</v>
      </c>
      <c r="E12" s="40">
        <v>31318596</v>
      </c>
    </row>
    <row r="13" spans="1:5" s="248" customFormat="1" ht="12" customHeight="1" x14ac:dyDescent="0.2">
      <c r="A13" s="247" t="s">
        <v>468</v>
      </c>
      <c r="B13" s="38" t="s">
        <v>503</v>
      </c>
      <c r="C13" s="39">
        <v>173505442</v>
      </c>
      <c r="D13" s="39">
        <v>52375075</v>
      </c>
      <c r="E13" s="40">
        <v>52375075</v>
      </c>
    </row>
    <row r="14" spans="1:5" s="246" customFormat="1" ht="12" customHeight="1" thickBot="1" x14ac:dyDescent="0.25">
      <c r="A14" s="249" t="s">
        <v>347</v>
      </c>
      <c r="B14" s="45" t="s">
        <v>504</v>
      </c>
      <c r="C14" s="42"/>
      <c r="D14" s="42"/>
      <c r="E14" s="43"/>
    </row>
    <row r="15" spans="1:5" s="246" customFormat="1" ht="12" customHeight="1" thickBot="1" x14ac:dyDescent="0.25">
      <c r="A15" s="1" t="s">
        <v>243</v>
      </c>
      <c r="B15" s="44" t="s">
        <v>471</v>
      </c>
      <c r="C15" s="32">
        <f>SUM(C16:C20)</f>
        <v>178283000</v>
      </c>
      <c r="D15" s="32">
        <f>SUM(D16:D20)</f>
        <v>308042145</v>
      </c>
      <c r="E15" s="33">
        <f>SUM(E16:E20)</f>
        <v>305068768</v>
      </c>
    </row>
    <row r="16" spans="1:5" s="246" customFormat="1" ht="12" customHeight="1" x14ac:dyDescent="0.2">
      <c r="A16" s="245" t="s">
        <v>354</v>
      </c>
      <c r="B16" s="35" t="s">
        <v>472</v>
      </c>
      <c r="C16" s="36"/>
      <c r="D16" s="36"/>
      <c r="E16" s="37"/>
    </row>
    <row r="17" spans="1:5" s="246" customFormat="1" ht="12" customHeight="1" x14ac:dyDescent="0.2">
      <c r="A17" s="247" t="s">
        <v>355</v>
      </c>
      <c r="B17" s="38" t="s">
        <v>473</v>
      </c>
      <c r="C17" s="39"/>
      <c r="D17" s="39"/>
      <c r="E17" s="40"/>
    </row>
    <row r="18" spans="1:5" s="246" customFormat="1" ht="12" customHeight="1" x14ac:dyDescent="0.2">
      <c r="A18" s="247" t="s">
        <v>356</v>
      </c>
      <c r="B18" s="38" t="s">
        <v>474</v>
      </c>
      <c r="C18" s="39"/>
      <c r="D18" s="39"/>
      <c r="E18" s="40"/>
    </row>
    <row r="19" spans="1:5" s="246" customFormat="1" ht="12" customHeight="1" x14ac:dyDescent="0.2">
      <c r="A19" s="247" t="s">
        <v>357</v>
      </c>
      <c r="B19" s="38" t="s">
        <v>475</v>
      </c>
      <c r="C19" s="39"/>
      <c r="D19" s="39"/>
      <c r="E19" s="40"/>
    </row>
    <row r="20" spans="1:5" s="246" customFormat="1" ht="12" customHeight="1" x14ac:dyDescent="0.2">
      <c r="A20" s="247" t="s">
        <v>358</v>
      </c>
      <c r="B20" s="38" t="s">
        <v>476</v>
      </c>
      <c r="C20" s="39">
        <v>178283000</v>
      </c>
      <c r="D20" s="39">
        <v>308042145</v>
      </c>
      <c r="E20" s="40">
        <v>305068768</v>
      </c>
    </row>
    <row r="21" spans="1:5" s="248" customFormat="1" ht="12" customHeight="1" thickBot="1" x14ac:dyDescent="0.25">
      <c r="A21" s="249" t="s">
        <v>359</v>
      </c>
      <c r="B21" s="45" t="s">
        <v>477</v>
      </c>
      <c r="C21" s="42"/>
      <c r="D21" s="42"/>
      <c r="E21" s="43"/>
    </row>
    <row r="22" spans="1:5" s="248" customFormat="1" ht="12" customHeight="1" thickBot="1" x14ac:dyDescent="0.25">
      <c r="A22" s="1" t="s">
        <v>244</v>
      </c>
      <c r="B22" s="5" t="s">
        <v>478</v>
      </c>
      <c r="C22" s="32">
        <f>SUM(C23:C27)</f>
        <v>3797300</v>
      </c>
      <c r="D22" s="32">
        <f>SUM(D23:D27)</f>
        <v>527042023</v>
      </c>
      <c r="E22" s="33">
        <f>SUM(E23:E27)</f>
        <v>513599200</v>
      </c>
    </row>
    <row r="23" spans="1:5" s="248" customFormat="1" ht="12" customHeight="1" x14ac:dyDescent="0.2">
      <c r="A23" s="245" t="s">
        <v>322</v>
      </c>
      <c r="B23" s="35" t="s">
        <v>479</v>
      </c>
      <c r="C23" s="36"/>
      <c r="D23" s="36">
        <v>15690532</v>
      </c>
      <c r="E23" s="37">
        <v>15690532</v>
      </c>
    </row>
    <row r="24" spans="1:5" s="246" customFormat="1" ht="12" customHeight="1" x14ac:dyDescent="0.2">
      <c r="A24" s="247" t="s">
        <v>323</v>
      </c>
      <c r="B24" s="38" t="s">
        <v>480</v>
      </c>
      <c r="C24" s="39"/>
      <c r="D24" s="39"/>
      <c r="E24" s="40"/>
    </row>
    <row r="25" spans="1:5" s="248" customFormat="1" ht="12" customHeight="1" x14ac:dyDescent="0.2">
      <c r="A25" s="247" t="s">
        <v>325</v>
      </c>
      <c r="B25" s="38" t="s">
        <v>481</v>
      </c>
      <c r="C25" s="39"/>
      <c r="D25" s="39"/>
      <c r="E25" s="40"/>
    </row>
    <row r="26" spans="1:5" s="248" customFormat="1" ht="12" customHeight="1" x14ac:dyDescent="0.2">
      <c r="A26" s="247" t="s">
        <v>326</v>
      </c>
      <c r="B26" s="38" t="s">
        <v>482</v>
      </c>
      <c r="C26" s="39"/>
      <c r="D26" s="39"/>
      <c r="E26" s="40"/>
    </row>
    <row r="27" spans="1:5" s="248" customFormat="1" ht="12" customHeight="1" x14ac:dyDescent="0.2">
      <c r="A27" s="247" t="s">
        <v>436</v>
      </c>
      <c r="B27" s="38" t="s">
        <v>483</v>
      </c>
      <c r="C27" s="39">
        <v>3797300</v>
      </c>
      <c r="D27" s="39">
        <v>511351491</v>
      </c>
      <c r="E27" s="40">
        <v>497908668</v>
      </c>
    </row>
    <row r="28" spans="1:5" s="248" customFormat="1" ht="12" customHeight="1" thickBot="1" x14ac:dyDescent="0.25">
      <c r="A28" s="249" t="s">
        <v>437</v>
      </c>
      <c r="B28" s="41" t="s">
        <v>484</v>
      </c>
      <c r="C28" s="42"/>
      <c r="D28" s="42">
        <v>509191491</v>
      </c>
      <c r="E28" s="43">
        <v>497908668</v>
      </c>
    </row>
    <row r="29" spans="1:5" s="248" customFormat="1" ht="12" customHeight="1" thickBot="1" x14ac:dyDescent="0.25">
      <c r="A29" s="1" t="s">
        <v>438</v>
      </c>
      <c r="B29" s="5" t="s">
        <v>817</v>
      </c>
      <c r="C29" s="46">
        <f>+C30+C34+C35+C36</f>
        <v>319390000</v>
      </c>
      <c r="D29" s="46">
        <f>+D30+D34+D35+D36</f>
        <v>366490000</v>
      </c>
      <c r="E29" s="46">
        <f>+E30+E34+E35+E36</f>
        <v>359172384</v>
      </c>
    </row>
    <row r="30" spans="1:5" s="248" customFormat="1" ht="12" customHeight="1" x14ac:dyDescent="0.2">
      <c r="A30" s="245" t="s">
        <v>327</v>
      </c>
      <c r="B30" s="35" t="s">
        <v>187</v>
      </c>
      <c r="C30" s="48">
        <f>SUM(C31:C33)</f>
        <v>282830000</v>
      </c>
      <c r="D30" s="48">
        <f>SUM(D31:D33)</f>
        <v>327830000</v>
      </c>
      <c r="E30" s="48">
        <f>SUM(E31:E33)</f>
        <v>324923565</v>
      </c>
    </row>
    <row r="31" spans="1:5" s="248" customFormat="1" ht="12" customHeight="1" x14ac:dyDescent="0.2">
      <c r="A31" s="247" t="s">
        <v>486</v>
      </c>
      <c r="B31" s="38" t="s">
        <v>487</v>
      </c>
      <c r="C31" s="39">
        <v>78990000</v>
      </c>
      <c r="D31" s="39">
        <v>78990000</v>
      </c>
      <c r="E31" s="40">
        <v>71369224</v>
      </c>
    </row>
    <row r="32" spans="1:5" s="248" customFormat="1" ht="12" customHeight="1" x14ac:dyDescent="0.2">
      <c r="A32" s="247" t="s">
        <v>488</v>
      </c>
      <c r="B32" s="38" t="s">
        <v>818</v>
      </c>
      <c r="C32" s="39">
        <v>203840000</v>
      </c>
      <c r="D32" s="39">
        <v>248840000</v>
      </c>
      <c r="E32" s="40">
        <v>253435023</v>
      </c>
    </row>
    <row r="33" spans="1:5" s="248" customFormat="1" ht="12" customHeight="1" x14ac:dyDescent="0.2">
      <c r="A33" s="247" t="s">
        <v>186</v>
      </c>
      <c r="B33" s="38" t="s">
        <v>293</v>
      </c>
      <c r="C33" s="39"/>
      <c r="D33" s="39"/>
      <c r="E33" s="40">
        <v>119318</v>
      </c>
    </row>
    <row r="34" spans="1:5" s="248" customFormat="1" ht="12" customHeight="1" x14ac:dyDescent="0.2">
      <c r="A34" s="247" t="s">
        <v>328</v>
      </c>
      <c r="B34" s="38" t="s">
        <v>491</v>
      </c>
      <c r="C34" s="39">
        <v>27000000</v>
      </c>
      <c r="D34" s="39">
        <v>27000000</v>
      </c>
      <c r="E34" s="40">
        <v>26806717</v>
      </c>
    </row>
    <row r="35" spans="1:5" s="248" customFormat="1" ht="12" customHeight="1" x14ac:dyDescent="0.2">
      <c r="A35" s="247" t="s">
        <v>492</v>
      </c>
      <c r="B35" s="38" t="s">
        <v>493</v>
      </c>
      <c r="C35" s="39">
        <v>4060000</v>
      </c>
      <c r="D35" s="39">
        <v>60000</v>
      </c>
      <c r="E35" s="40">
        <v>12050</v>
      </c>
    </row>
    <row r="36" spans="1:5" s="248" customFormat="1" ht="12" customHeight="1" thickBot="1" x14ac:dyDescent="0.25">
      <c r="A36" s="247" t="s">
        <v>775</v>
      </c>
      <c r="B36" s="38" t="s">
        <v>494</v>
      </c>
      <c r="C36" s="39">
        <v>5500000</v>
      </c>
      <c r="D36" s="39">
        <v>11600000</v>
      </c>
      <c r="E36" s="40">
        <v>7430052</v>
      </c>
    </row>
    <row r="37" spans="1:5" s="248" customFormat="1" ht="12" customHeight="1" thickBot="1" x14ac:dyDescent="0.25">
      <c r="A37" s="1" t="s">
        <v>246</v>
      </c>
      <c r="B37" s="5" t="s">
        <v>495</v>
      </c>
      <c r="C37" s="32">
        <f>SUM(C38:C48)</f>
        <v>48800000</v>
      </c>
      <c r="D37" s="32">
        <f>SUM(D38:D48)</f>
        <v>64725863</v>
      </c>
      <c r="E37" s="32">
        <f>SUM(E38:E48)</f>
        <v>56527218</v>
      </c>
    </row>
    <row r="38" spans="1:5" s="248" customFormat="1" ht="12" customHeight="1" x14ac:dyDescent="0.2">
      <c r="A38" s="245" t="s">
        <v>329</v>
      </c>
      <c r="B38" s="35" t="s">
        <v>496</v>
      </c>
      <c r="C38" s="36">
        <v>12937000</v>
      </c>
      <c r="D38" s="36">
        <v>19449478</v>
      </c>
      <c r="E38" s="37">
        <v>14449952</v>
      </c>
    </row>
    <row r="39" spans="1:5" s="248" customFormat="1" ht="12" customHeight="1" x14ac:dyDescent="0.2">
      <c r="A39" s="247" t="s">
        <v>330</v>
      </c>
      <c r="B39" s="38" t="s">
        <v>509</v>
      </c>
      <c r="C39" s="39">
        <v>12264000</v>
      </c>
      <c r="D39" s="39">
        <v>19947864</v>
      </c>
      <c r="E39" s="40">
        <v>21478706</v>
      </c>
    </row>
    <row r="40" spans="1:5" s="248" customFormat="1" ht="12" customHeight="1" x14ac:dyDescent="0.2">
      <c r="A40" s="247" t="s">
        <v>331</v>
      </c>
      <c r="B40" s="38" t="s">
        <v>510</v>
      </c>
      <c r="C40" s="39">
        <v>9405000</v>
      </c>
      <c r="D40" s="39">
        <v>6327091</v>
      </c>
      <c r="E40" s="40">
        <v>4205458</v>
      </c>
    </row>
    <row r="41" spans="1:5" s="248" customFormat="1" ht="12" customHeight="1" x14ac:dyDescent="0.2">
      <c r="A41" s="247" t="s">
        <v>439</v>
      </c>
      <c r="B41" s="38" t="s">
        <v>511</v>
      </c>
      <c r="C41" s="39">
        <v>430000</v>
      </c>
      <c r="D41" s="39">
        <v>430000</v>
      </c>
      <c r="E41" s="40">
        <v>875976</v>
      </c>
    </row>
    <row r="42" spans="1:5" s="248" customFormat="1" ht="12" customHeight="1" x14ac:dyDescent="0.2">
      <c r="A42" s="247" t="s">
        <v>440</v>
      </c>
      <c r="B42" s="38" t="s">
        <v>512</v>
      </c>
      <c r="C42" s="39"/>
      <c r="D42" s="39"/>
      <c r="E42" s="40"/>
    </row>
    <row r="43" spans="1:5" s="248" customFormat="1" ht="12" customHeight="1" x14ac:dyDescent="0.2">
      <c r="A43" s="247" t="s">
        <v>441</v>
      </c>
      <c r="B43" s="38" t="s">
        <v>513</v>
      </c>
      <c r="C43" s="39">
        <v>12530000</v>
      </c>
      <c r="D43" s="39">
        <v>14380392</v>
      </c>
      <c r="E43" s="40">
        <v>12064151</v>
      </c>
    </row>
    <row r="44" spans="1:5" s="248" customFormat="1" ht="12" customHeight="1" x14ac:dyDescent="0.2">
      <c r="A44" s="247" t="s">
        <v>442</v>
      </c>
      <c r="B44" s="38" t="s">
        <v>514</v>
      </c>
      <c r="C44" s="39"/>
      <c r="D44" s="39">
        <v>1924793</v>
      </c>
      <c r="E44" s="40"/>
    </row>
    <row r="45" spans="1:5" s="248" customFormat="1" ht="12" customHeight="1" x14ac:dyDescent="0.2">
      <c r="A45" s="247" t="s">
        <v>443</v>
      </c>
      <c r="B45" s="38" t="s">
        <v>515</v>
      </c>
      <c r="C45" s="39">
        <v>30000</v>
      </c>
      <c r="D45" s="39">
        <v>30000</v>
      </c>
      <c r="E45" s="40">
        <v>146634</v>
      </c>
    </row>
    <row r="46" spans="1:5" s="248" customFormat="1" ht="12" customHeight="1" x14ac:dyDescent="0.2">
      <c r="A46" s="247" t="s">
        <v>516</v>
      </c>
      <c r="B46" s="38" t="s">
        <v>517</v>
      </c>
      <c r="C46" s="49"/>
      <c r="D46" s="49"/>
      <c r="E46" s="50">
        <v>22033</v>
      </c>
    </row>
    <row r="47" spans="1:5" s="248" customFormat="1" ht="12" customHeight="1" x14ac:dyDescent="0.2">
      <c r="A47" s="249" t="s">
        <v>518</v>
      </c>
      <c r="B47" s="41" t="s">
        <v>295</v>
      </c>
      <c r="C47" s="51">
        <v>500000</v>
      </c>
      <c r="D47" s="51">
        <v>500000</v>
      </c>
      <c r="E47" s="52">
        <v>722335</v>
      </c>
    </row>
    <row r="48" spans="1:5" s="246" customFormat="1" ht="12" customHeight="1" thickBot="1" x14ac:dyDescent="0.25">
      <c r="A48" s="249" t="s">
        <v>294</v>
      </c>
      <c r="B48" s="41" t="s">
        <v>519</v>
      </c>
      <c r="C48" s="51">
        <v>704000</v>
      </c>
      <c r="D48" s="51">
        <v>1736245</v>
      </c>
      <c r="E48" s="52">
        <v>2561973</v>
      </c>
    </row>
    <row r="49" spans="1:5" s="248" customFormat="1" ht="12" customHeight="1" thickBot="1" x14ac:dyDescent="0.25">
      <c r="A49" s="1" t="s">
        <v>249</v>
      </c>
      <c r="B49" s="5" t="s">
        <v>520</v>
      </c>
      <c r="C49" s="32">
        <f>SUM(C50:C54)</f>
        <v>25179000</v>
      </c>
      <c r="D49" s="32">
        <f>SUM(D50:D54)</f>
        <v>47179000</v>
      </c>
      <c r="E49" s="33">
        <f>SUM(E50:E54)</f>
        <v>31126567</v>
      </c>
    </row>
    <row r="50" spans="1:5" s="248" customFormat="1" ht="12" customHeight="1" x14ac:dyDescent="0.2">
      <c r="A50" s="245" t="s">
        <v>332</v>
      </c>
      <c r="B50" s="35" t="s">
        <v>521</v>
      </c>
      <c r="C50" s="53"/>
      <c r="D50" s="53"/>
      <c r="E50" s="54"/>
    </row>
    <row r="51" spans="1:5" s="248" customFormat="1" ht="12" customHeight="1" x14ac:dyDescent="0.2">
      <c r="A51" s="247" t="s">
        <v>333</v>
      </c>
      <c r="B51" s="38" t="s">
        <v>206</v>
      </c>
      <c r="C51" s="49">
        <v>25179000</v>
      </c>
      <c r="D51" s="49">
        <v>47179000</v>
      </c>
      <c r="E51" s="50">
        <v>31018499</v>
      </c>
    </row>
    <row r="52" spans="1:5" s="248" customFormat="1" ht="12" customHeight="1" x14ac:dyDescent="0.2">
      <c r="A52" s="247" t="s">
        <v>522</v>
      </c>
      <c r="B52" s="38" t="s">
        <v>523</v>
      </c>
      <c r="C52" s="49"/>
      <c r="D52" s="49"/>
      <c r="E52" s="50">
        <v>3543</v>
      </c>
    </row>
    <row r="53" spans="1:5" s="248" customFormat="1" ht="12" customHeight="1" x14ac:dyDescent="0.2">
      <c r="A53" s="247" t="s">
        <v>524</v>
      </c>
      <c r="B53" s="38" t="s">
        <v>525</v>
      </c>
      <c r="C53" s="49"/>
      <c r="D53" s="49"/>
      <c r="E53" s="50">
        <v>100000</v>
      </c>
    </row>
    <row r="54" spans="1:5" s="248" customFormat="1" ht="12" customHeight="1" thickBot="1" x14ac:dyDescent="0.25">
      <c r="A54" s="249" t="s">
        <v>526</v>
      </c>
      <c r="B54" s="41" t="s">
        <v>527</v>
      </c>
      <c r="C54" s="51"/>
      <c r="D54" s="51"/>
      <c r="E54" s="52">
        <v>4525</v>
      </c>
    </row>
    <row r="55" spans="1:5" s="248" customFormat="1" ht="12" customHeight="1" thickBot="1" x14ac:dyDescent="0.25">
      <c r="A55" s="1" t="s">
        <v>444</v>
      </c>
      <c r="B55" s="5" t="s">
        <v>528</v>
      </c>
      <c r="C55" s="32">
        <f>SUM(C56:C58)</f>
        <v>6024000</v>
      </c>
      <c r="D55" s="32">
        <f>SUM(D56:D58)</f>
        <v>24024000</v>
      </c>
      <c r="E55" s="33">
        <f>SUM(E56:E58)</f>
        <v>21218499</v>
      </c>
    </row>
    <row r="56" spans="1:5" s="246" customFormat="1" ht="12" customHeight="1" x14ac:dyDescent="0.2">
      <c r="A56" s="245" t="s">
        <v>334</v>
      </c>
      <c r="B56" s="35" t="s">
        <v>529</v>
      </c>
      <c r="C56" s="36"/>
      <c r="D56" s="36"/>
      <c r="E56" s="37"/>
    </row>
    <row r="57" spans="1:5" s="246" customFormat="1" ht="12" customHeight="1" x14ac:dyDescent="0.2">
      <c r="A57" s="247" t="s">
        <v>335</v>
      </c>
      <c r="B57" s="38" t="s">
        <v>530</v>
      </c>
      <c r="C57" s="39">
        <v>1949000</v>
      </c>
      <c r="D57" s="39">
        <v>19949000</v>
      </c>
      <c r="E57" s="40">
        <v>18383349</v>
      </c>
    </row>
    <row r="58" spans="1:5" s="246" customFormat="1" ht="12" customHeight="1" x14ac:dyDescent="0.2">
      <c r="A58" s="247" t="s">
        <v>445</v>
      </c>
      <c r="B58" s="38" t="s">
        <v>531</v>
      </c>
      <c r="C58" s="39">
        <v>4075000</v>
      </c>
      <c r="D58" s="39">
        <v>4075000</v>
      </c>
      <c r="E58" s="40">
        <v>2835150</v>
      </c>
    </row>
    <row r="59" spans="1:5" s="246" customFormat="1" ht="12" customHeight="1" thickBot="1" x14ac:dyDescent="0.25">
      <c r="A59" s="249" t="s">
        <v>532</v>
      </c>
      <c r="B59" s="41" t="s">
        <v>533</v>
      </c>
      <c r="C59" s="42"/>
      <c r="D59" s="42"/>
      <c r="E59" s="43"/>
    </row>
    <row r="60" spans="1:5" s="248" customFormat="1" ht="12" customHeight="1" thickBot="1" x14ac:dyDescent="0.25">
      <c r="A60" s="1" t="s">
        <v>251</v>
      </c>
      <c r="B60" s="44" t="s">
        <v>534</v>
      </c>
      <c r="C60" s="32">
        <f>SUM(C61:C63)</f>
        <v>0</v>
      </c>
      <c r="D60" s="32">
        <f>SUM(D61:D63)</f>
        <v>0</v>
      </c>
      <c r="E60" s="33">
        <f>SUM(E61:E63)</f>
        <v>0</v>
      </c>
    </row>
    <row r="61" spans="1:5" s="248" customFormat="1" ht="12" customHeight="1" x14ac:dyDescent="0.2">
      <c r="A61" s="245" t="s">
        <v>446</v>
      </c>
      <c r="B61" s="35" t="s">
        <v>535</v>
      </c>
      <c r="C61" s="49"/>
      <c r="D61" s="49"/>
      <c r="E61" s="50"/>
    </row>
    <row r="62" spans="1:5" s="248" customFormat="1" ht="12" customHeight="1" x14ac:dyDescent="0.2">
      <c r="A62" s="247" t="s">
        <v>447</v>
      </c>
      <c r="B62" s="38" t="s">
        <v>697</v>
      </c>
      <c r="C62" s="49"/>
      <c r="D62" s="49"/>
      <c r="E62" s="50"/>
    </row>
    <row r="63" spans="1:5" s="248" customFormat="1" ht="12" customHeight="1" x14ac:dyDescent="0.2">
      <c r="A63" s="247" t="s">
        <v>537</v>
      </c>
      <c r="B63" s="38" t="s">
        <v>538</v>
      </c>
      <c r="C63" s="49"/>
      <c r="D63" s="49"/>
      <c r="E63" s="50"/>
    </row>
    <row r="64" spans="1:5" s="248" customFormat="1" ht="12" customHeight="1" thickBot="1" x14ac:dyDescent="0.25">
      <c r="A64" s="249" t="s">
        <v>539</v>
      </c>
      <c r="B64" s="41" t="s">
        <v>540</v>
      </c>
      <c r="C64" s="49"/>
      <c r="D64" s="49"/>
      <c r="E64" s="50"/>
    </row>
    <row r="65" spans="1:5" s="248" customFormat="1" ht="12" customHeight="1" thickBot="1" x14ac:dyDescent="0.25">
      <c r="A65" s="1" t="s">
        <v>252</v>
      </c>
      <c r="B65" s="5" t="s">
        <v>541</v>
      </c>
      <c r="C65" s="46">
        <f>+C8+C15+C22+C29+C37+C49+C55+C60</f>
        <v>1771816700</v>
      </c>
      <c r="D65" s="46">
        <f>+D8+D15+D22+D29+D37+D49+D55+D60</f>
        <v>2473887618</v>
      </c>
      <c r="E65" s="47">
        <f>+E8+E15+E22+E29+E37+E49+E55+E60</f>
        <v>2423097223</v>
      </c>
    </row>
    <row r="66" spans="1:5" s="248" customFormat="1" ht="12" customHeight="1" thickBot="1" x14ac:dyDescent="0.2">
      <c r="A66" s="250" t="s">
        <v>698</v>
      </c>
      <c r="B66" s="44" t="s">
        <v>543</v>
      </c>
      <c r="C66" s="32">
        <f>SUM(C67:C69)</f>
        <v>144100000</v>
      </c>
      <c r="D66" s="32">
        <f>SUM(D67:D69)</f>
        <v>187500000</v>
      </c>
      <c r="E66" s="33">
        <f>SUM(E67:E69)</f>
        <v>23966616</v>
      </c>
    </row>
    <row r="67" spans="1:5" s="248" customFormat="1" ht="12" customHeight="1" x14ac:dyDescent="0.2">
      <c r="A67" s="245" t="s">
        <v>544</v>
      </c>
      <c r="B67" s="35" t="s">
        <v>545</v>
      </c>
      <c r="C67" s="49">
        <v>44100000</v>
      </c>
      <c r="D67" s="49">
        <v>87500000</v>
      </c>
      <c r="E67" s="50">
        <v>23966616</v>
      </c>
    </row>
    <row r="68" spans="1:5" s="248" customFormat="1" ht="12" customHeight="1" x14ac:dyDescent="0.2">
      <c r="A68" s="247" t="s">
        <v>546</v>
      </c>
      <c r="B68" s="38" t="s">
        <v>547</v>
      </c>
      <c r="C68" s="49">
        <v>100000000</v>
      </c>
      <c r="D68" s="49">
        <v>100000000</v>
      </c>
      <c r="E68" s="50"/>
    </row>
    <row r="69" spans="1:5" s="248" customFormat="1" ht="12" customHeight="1" thickBot="1" x14ac:dyDescent="0.25">
      <c r="A69" s="249" t="s">
        <v>548</v>
      </c>
      <c r="B69" s="251" t="s">
        <v>699</v>
      </c>
      <c r="C69" s="49"/>
      <c r="D69" s="49"/>
      <c r="E69" s="50"/>
    </row>
    <row r="70" spans="1:5" s="248" customFormat="1" ht="12" customHeight="1" thickBot="1" x14ac:dyDescent="0.2">
      <c r="A70" s="250" t="s">
        <v>550</v>
      </c>
      <c r="B70" s="44" t="s">
        <v>551</v>
      </c>
      <c r="C70" s="32">
        <f>SUM(C71:C74)</f>
        <v>0</v>
      </c>
      <c r="D70" s="32">
        <f>SUM(D71:D74)</f>
        <v>0</v>
      </c>
      <c r="E70" s="33">
        <f>SUM(E71:E74)</f>
        <v>0</v>
      </c>
    </row>
    <row r="71" spans="1:5" s="248" customFormat="1" ht="12" customHeight="1" x14ac:dyDescent="0.2">
      <c r="A71" s="245" t="s">
        <v>336</v>
      </c>
      <c r="B71" s="35" t="s">
        <v>552</v>
      </c>
      <c r="C71" s="49"/>
      <c r="D71" s="49"/>
      <c r="E71" s="50"/>
    </row>
    <row r="72" spans="1:5" s="248" customFormat="1" ht="12" customHeight="1" x14ac:dyDescent="0.2">
      <c r="A72" s="247" t="s">
        <v>337</v>
      </c>
      <c r="B72" s="38" t="s">
        <v>553</v>
      </c>
      <c r="C72" s="49"/>
      <c r="D72" s="49"/>
      <c r="E72" s="50"/>
    </row>
    <row r="73" spans="1:5" s="248" customFormat="1" ht="12" customHeight="1" x14ac:dyDescent="0.2">
      <c r="A73" s="247" t="s">
        <v>554</v>
      </c>
      <c r="B73" s="38" t="s">
        <v>555</v>
      </c>
      <c r="C73" s="49"/>
      <c r="D73" s="49"/>
      <c r="E73" s="50"/>
    </row>
    <row r="74" spans="1:5" s="248" customFormat="1" ht="12" customHeight="1" thickBot="1" x14ac:dyDescent="0.25">
      <c r="A74" s="249" t="s">
        <v>556</v>
      </c>
      <c r="B74" s="41" t="s">
        <v>557</v>
      </c>
      <c r="C74" s="49"/>
      <c r="D74" s="49"/>
      <c r="E74" s="50"/>
    </row>
    <row r="75" spans="1:5" s="248" customFormat="1" ht="12" customHeight="1" thickBot="1" x14ac:dyDescent="0.2">
      <c r="A75" s="250" t="s">
        <v>558</v>
      </c>
      <c r="B75" s="44" t="s">
        <v>559</v>
      </c>
      <c r="C75" s="32">
        <f>SUM(C76:C77)</f>
        <v>289331423</v>
      </c>
      <c r="D75" s="32">
        <f>SUM(D76:D77)</f>
        <v>289331423</v>
      </c>
      <c r="E75" s="33">
        <f>SUM(E76:E77)</f>
        <v>289331423</v>
      </c>
    </row>
    <row r="76" spans="1:5" s="248" customFormat="1" ht="12" customHeight="1" x14ac:dyDescent="0.2">
      <c r="A76" s="245" t="s">
        <v>560</v>
      </c>
      <c r="B76" s="35" t="s">
        <v>561</v>
      </c>
      <c r="C76" s="49">
        <v>289331423</v>
      </c>
      <c r="D76" s="49">
        <v>289331423</v>
      </c>
      <c r="E76" s="50">
        <v>289331423</v>
      </c>
    </row>
    <row r="77" spans="1:5" s="248" customFormat="1" ht="12" customHeight="1" thickBot="1" x14ac:dyDescent="0.25">
      <c r="A77" s="249" t="s">
        <v>562</v>
      </c>
      <c r="B77" s="41" t="s">
        <v>569</v>
      </c>
      <c r="C77" s="49"/>
      <c r="D77" s="49"/>
      <c r="E77" s="50"/>
    </row>
    <row r="78" spans="1:5" s="248" customFormat="1" ht="12" customHeight="1" thickBot="1" x14ac:dyDescent="0.2">
      <c r="A78" s="250" t="s">
        <v>570</v>
      </c>
      <c r="B78" s="44" t="s">
        <v>571</v>
      </c>
      <c r="C78" s="32">
        <f>SUM(C79:C81)</f>
        <v>0</v>
      </c>
      <c r="D78" s="32">
        <f>SUM(D79:D81)</f>
        <v>38167591</v>
      </c>
      <c r="E78" s="33">
        <f>SUM(E79:E81)</f>
        <v>38167591</v>
      </c>
    </row>
    <row r="79" spans="1:5" s="248" customFormat="1" ht="12" customHeight="1" x14ac:dyDescent="0.2">
      <c r="A79" s="245" t="s">
        <v>572</v>
      </c>
      <c r="B79" s="35" t="s">
        <v>573</v>
      </c>
      <c r="C79" s="49"/>
      <c r="D79" s="49">
        <v>38167591</v>
      </c>
      <c r="E79" s="50">
        <v>38167591</v>
      </c>
    </row>
    <row r="80" spans="1:5" s="248" customFormat="1" ht="12" customHeight="1" x14ac:dyDescent="0.2">
      <c r="A80" s="247" t="s">
        <v>574</v>
      </c>
      <c r="B80" s="38" t="s">
        <v>575</v>
      </c>
      <c r="C80" s="49"/>
      <c r="D80" s="49"/>
      <c r="E80" s="50"/>
    </row>
    <row r="81" spans="1:5" s="248" customFormat="1" ht="12" customHeight="1" thickBot="1" x14ac:dyDescent="0.25">
      <c r="A81" s="249" t="s">
        <v>576</v>
      </c>
      <c r="B81" s="41" t="s">
        <v>577</v>
      </c>
      <c r="C81" s="49"/>
      <c r="D81" s="49"/>
      <c r="E81" s="50"/>
    </row>
    <row r="82" spans="1:5" s="248" customFormat="1" ht="12" customHeight="1" thickBot="1" x14ac:dyDescent="0.2">
      <c r="A82" s="250" t="s">
        <v>578</v>
      </c>
      <c r="B82" s="44" t="s">
        <v>579</v>
      </c>
      <c r="C82" s="32">
        <f>SUM(C83:C86)</f>
        <v>0</v>
      </c>
      <c r="D82" s="32">
        <f>SUM(D83:D86)</f>
        <v>0</v>
      </c>
      <c r="E82" s="33">
        <f>SUM(E83:E86)</f>
        <v>0</v>
      </c>
    </row>
    <row r="83" spans="1:5" s="248" customFormat="1" ht="12" customHeight="1" x14ac:dyDescent="0.2">
      <c r="A83" s="252" t="s">
        <v>580</v>
      </c>
      <c r="B83" s="35" t="s">
        <v>581</v>
      </c>
      <c r="C83" s="49"/>
      <c r="D83" s="49"/>
      <c r="E83" s="50"/>
    </row>
    <row r="84" spans="1:5" s="248" customFormat="1" ht="12" customHeight="1" x14ac:dyDescent="0.2">
      <c r="A84" s="253" t="s">
        <v>582</v>
      </c>
      <c r="B84" s="38" t="s">
        <v>587</v>
      </c>
      <c r="C84" s="49"/>
      <c r="D84" s="49"/>
      <c r="E84" s="50"/>
    </row>
    <row r="85" spans="1:5" s="248" customFormat="1" ht="12" customHeight="1" x14ac:dyDescent="0.2">
      <c r="A85" s="253" t="s">
        <v>588</v>
      </c>
      <c r="B85" s="38" t="s">
        <v>589</v>
      </c>
      <c r="C85" s="49"/>
      <c r="D85" s="49"/>
      <c r="E85" s="50"/>
    </row>
    <row r="86" spans="1:5" s="248" customFormat="1" ht="12" customHeight="1" thickBot="1" x14ac:dyDescent="0.25">
      <c r="A86" s="254" t="s">
        <v>590</v>
      </c>
      <c r="B86" s="41" t="s">
        <v>591</v>
      </c>
      <c r="C86" s="49"/>
      <c r="D86" s="49"/>
      <c r="E86" s="50"/>
    </row>
    <row r="87" spans="1:5" s="248" customFormat="1" ht="12" customHeight="1" thickBot="1" x14ac:dyDescent="0.2">
      <c r="A87" s="250" t="s">
        <v>592</v>
      </c>
      <c r="B87" s="44" t="s">
        <v>593</v>
      </c>
      <c r="C87" s="60"/>
      <c r="D87" s="60"/>
      <c r="E87" s="61"/>
    </row>
    <row r="88" spans="1:5" s="248" customFormat="1" ht="12" customHeight="1" thickBot="1" x14ac:dyDescent="0.2">
      <c r="A88" s="250" t="s">
        <v>594</v>
      </c>
      <c r="B88" s="255" t="s">
        <v>595</v>
      </c>
      <c r="C88" s="46">
        <f>+C66+C70+C75+C78+C82+C87</f>
        <v>433431423</v>
      </c>
      <c r="D88" s="46">
        <f>+D66+D70+D75+D78+D82+D87</f>
        <v>514999014</v>
      </c>
      <c r="E88" s="47">
        <f>+E66+E70+E75+E78+E82+E87</f>
        <v>351465630</v>
      </c>
    </row>
    <row r="89" spans="1:5" s="248" customFormat="1" ht="12" customHeight="1" thickBot="1" x14ac:dyDescent="0.2">
      <c r="A89" s="256" t="s">
        <v>596</v>
      </c>
      <c r="B89" s="257" t="s">
        <v>700</v>
      </c>
      <c r="C89" s="46">
        <f>+C65+C88</f>
        <v>2205248123</v>
      </c>
      <c r="D89" s="46">
        <f>+D65+D88</f>
        <v>2988886632</v>
      </c>
      <c r="E89" s="47">
        <f>+E65+E88</f>
        <v>2774562853</v>
      </c>
    </row>
    <row r="90" spans="1:5" s="248" customFormat="1" ht="15" customHeight="1" x14ac:dyDescent="0.2">
      <c r="A90" s="258"/>
      <c r="B90" s="259"/>
      <c r="C90" s="260"/>
      <c r="D90" s="260"/>
      <c r="E90" s="260"/>
    </row>
    <row r="91" spans="1:5" ht="13.5" thickBot="1" x14ac:dyDescent="0.25">
      <c r="A91" s="261"/>
      <c r="B91" s="262"/>
      <c r="C91" s="263"/>
      <c r="D91" s="263"/>
      <c r="E91" s="263"/>
    </row>
    <row r="92" spans="1:5" s="244" customFormat="1" ht="16.5" customHeight="1" thickBot="1" x14ac:dyDescent="0.25">
      <c r="A92" s="980" t="s">
        <v>130</v>
      </c>
      <c r="B92" s="981"/>
      <c r="C92" s="981"/>
      <c r="D92" s="981"/>
      <c r="E92" s="982"/>
    </row>
    <row r="93" spans="1:5" s="266" customFormat="1" ht="12" customHeight="1" thickBot="1" x14ac:dyDescent="0.25">
      <c r="A93" s="264" t="s">
        <v>235</v>
      </c>
      <c r="B93" s="71" t="s">
        <v>647</v>
      </c>
      <c r="C93" s="265">
        <f>SUM(C94:C98)</f>
        <v>563032830</v>
      </c>
      <c r="D93" s="265">
        <f>SUM(D94:D98)</f>
        <v>793135711</v>
      </c>
      <c r="E93" s="265">
        <f>SUM(E94:E98)</f>
        <v>709183004</v>
      </c>
    </row>
    <row r="94" spans="1:5" ht="12" customHeight="1" x14ac:dyDescent="0.2">
      <c r="A94" s="267" t="s">
        <v>340</v>
      </c>
      <c r="B94" s="14" t="s">
        <v>341</v>
      </c>
      <c r="C94" s="268">
        <v>200903000</v>
      </c>
      <c r="D94" s="268">
        <v>260103544</v>
      </c>
      <c r="E94" s="268">
        <v>245712773</v>
      </c>
    </row>
    <row r="95" spans="1:5" ht="12" customHeight="1" x14ac:dyDescent="0.2">
      <c r="A95" s="247" t="s">
        <v>342</v>
      </c>
      <c r="B95" s="9" t="s">
        <v>449</v>
      </c>
      <c r="C95" s="269">
        <v>27613000</v>
      </c>
      <c r="D95" s="269">
        <v>35183044</v>
      </c>
      <c r="E95" s="269">
        <v>32704191</v>
      </c>
    </row>
    <row r="96" spans="1:5" ht="12" customHeight="1" x14ac:dyDescent="0.2">
      <c r="A96" s="247" t="s">
        <v>343</v>
      </c>
      <c r="B96" s="9" t="s">
        <v>344</v>
      </c>
      <c r="C96" s="270">
        <v>226371830</v>
      </c>
      <c r="D96" s="270">
        <v>325147356</v>
      </c>
      <c r="E96" s="270">
        <v>259265197</v>
      </c>
    </row>
    <row r="97" spans="1:5" ht="12" customHeight="1" x14ac:dyDescent="0.2">
      <c r="A97" s="247" t="s">
        <v>345</v>
      </c>
      <c r="B97" s="16" t="s">
        <v>450</v>
      </c>
      <c r="C97" s="270">
        <v>70980000</v>
      </c>
      <c r="D97" s="270">
        <v>54213740</v>
      </c>
      <c r="E97" s="270">
        <v>53174178</v>
      </c>
    </row>
    <row r="98" spans="1:5" ht="12" customHeight="1" x14ac:dyDescent="0.2">
      <c r="A98" s="247" t="s">
        <v>346</v>
      </c>
      <c r="B98" s="17" t="s">
        <v>451</v>
      </c>
      <c r="C98" s="270">
        <v>37165000</v>
      </c>
      <c r="D98" s="270">
        <v>118488027</v>
      </c>
      <c r="E98" s="270">
        <v>118326665</v>
      </c>
    </row>
    <row r="99" spans="1:5" ht="12" customHeight="1" x14ac:dyDescent="0.2">
      <c r="A99" s="247" t="s">
        <v>347</v>
      </c>
      <c r="B99" s="9" t="s">
        <v>599</v>
      </c>
      <c r="C99" s="270"/>
      <c r="D99" s="270">
        <v>10170027</v>
      </c>
      <c r="E99" s="270">
        <v>10168527</v>
      </c>
    </row>
    <row r="100" spans="1:5" ht="12" customHeight="1" x14ac:dyDescent="0.2">
      <c r="A100" s="247" t="s">
        <v>348</v>
      </c>
      <c r="B100" s="20" t="s">
        <v>600</v>
      </c>
      <c r="C100" s="270"/>
      <c r="D100" s="270"/>
      <c r="E100" s="270"/>
    </row>
    <row r="101" spans="1:5" ht="12" customHeight="1" x14ac:dyDescent="0.2">
      <c r="A101" s="247" t="s">
        <v>349</v>
      </c>
      <c r="B101" s="21" t="s">
        <v>601</v>
      </c>
      <c r="C101" s="270"/>
      <c r="D101" s="270"/>
      <c r="E101" s="270"/>
    </row>
    <row r="102" spans="1:5" ht="21.75" customHeight="1" x14ac:dyDescent="0.2">
      <c r="A102" s="247" t="s">
        <v>350</v>
      </c>
      <c r="B102" s="21" t="s">
        <v>602</v>
      </c>
      <c r="C102" s="270"/>
      <c r="D102" s="270"/>
      <c r="E102" s="270"/>
    </row>
    <row r="103" spans="1:5" ht="12" customHeight="1" x14ac:dyDescent="0.2">
      <c r="A103" s="247" t="s">
        <v>351</v>
      </c>
      <c r="B103" s="20" t="s">
        <v>603</v>
      </c>
      <c r="C103" s="270"/>
      <c r="D103" s="270">
        <v>785000</v>
      </c>
      <c r="E103" s="270">
        <v>785000</v>
      </c>
    </row>
    <row r="104" spans="1:5" ht="12" customHeight="1" x14ac:dyDescent="0.2">
      <c r="A104" s="247" t="s">
        <v>352</v>
      </c>
      <c r="B104" s="20" t="s">
        <v>604</v>
      </c>
      <c r="C104" s="270"/>
      <c r="D104" s="270"/>
      <c r="E104" s="270"/>
    </row>
    <row r="105" spans="1:5" ht="12" customHeight="1" x14ac:dyDescent="0.2">
      <c r="A105" s="247" t="s">
        <v>353</v>
      </c>
      <c r="B105" s="21" t="s">
        <v>605</v>
      </c>
      <c r="C105" s="270"/>
      <c r="D105" s="270"/>
      <c r="E105" s="270"/>
    </row>
    <row r="106" spans="1:5" ht="12" customHeight="1" x14ac:dyDescent="0.2">
      <c r="A106" s="271" t="s">
        <v>606</v>
      </c>
      <c r="B106" s="22" t="s">
        <v>607</v>
      </c>
      <c r="C106" s="270"/>
      <c r="D106" s="270"/>
      <c r="E106" s="270"/>
    </row>
    <row r="107" spans="1:5" ht="12" customHeight="1" x14ac:dyDescent="0.2">
      <c r="A107" s="247" t="s">
        <v>608</v>
      </c>
      <c r="B107" s="22" t="s">
        <v>609</v>
      </c>
      <c r="C107" s="270"/>
      <c r="D107" s="270"/>
      <c r="E107" s="270"/>
    </row>
    <row r="108" spans="1:5" ht="12" customHeight="1" x14ac:dyDescent="0.2">
      <c r="A108" s="249" t="s">
        <v>610</v>
      </c>
      <c r="B108" s="22" t="s">
        <v>297</v>
      </c>
      <c r="C108" s="270"/>
      <c r="D108" s="270"/>
      <c r="E108" s="270"/>
    </row>
    <row r="109" spans="1:5" s="266" customFormat="1" ht="12" customHeight="1" thickBot="1" x14ac:dyDescent="0.25">
      <c r="A109" s="272" t="s">
        <v>188</v>
      </c>
      <c r="B109" s="76" t="s">
        <v>611</v>
      </c>
      <c r="C109" s="273">
        <v>37165000</v>
      </c>
      <c r="D109" s="273">
        <v>107533000</v>
      </c>
      <c r="E109" s="273">
        <v>107373138</v>
      </c>
    </row>
    <row r="110" spans="1:5" ht="12" customHeight="1" thickBot="1" x14ac:dyDescent="0.25">
      <c r="A110" s="1" t="s">
        <v>243</v>
      </c>
      <c r="B110" s="19" t="s">
        <v>648</v>
      </c>
      <c r="C110" s="93">
        <f>+C111+C112+C113</f>
        <v>158172900</v>
      </c>
      <c r="D110" s="93">
        <f>+D111+D112+D113</f>
        <v>710852216</v>
      </c>
      <c r="E110" s="93">
        <f>+E111+E112+E113</f>
        <v>176025628</v>
      </c>
    </row>
    <row r="111" spans="1:5" ht="12" customHeight="1" x14ac:dyDescent="0.2">
      <c r="A111" s="245" t="s">
        <v>354</v>
      </c>
      <c r="B111" s="9" t="s">
        <v>142</v>
      </c>
      <c r="C111" s="274">
        <v>36442900</v>
      </c>
      <c r="D111" s="274">
        <v>318903039</v>
      </c>
      <c r="E111" s="274">
        <v>24168146</v>
      </c>
    </row>
    <row r="112" spans="1:5" ht="12" customHeight="1" x14ac:dyDescent="0.2">
      <c r="A112" s="245" t="s">
        <v>356</v>
      </c>
      <c r="B112" s="18" t="s">
        <v>232</v>
      </c>
      <c r="C112" s="269">
        <v>79658000</v>
      </c>
      <c r="D112" s="269">
        <v>343444677</v>
      </c>
      <c r="E112" s="269">
        <v>138644216</v>
      </c>
    </row>
    <row r="113" spans="1:5" ht="12" customHeight="1" x14ac:dyDescent="0.2">
      <c r="A113" s="245" t="s">
        <v>358</v>
      </c>
      <c r="B113" s="45" t="s">
        <v>143</v>
      </c>
      <c r="C113" s="40">
        <v>42072000</v>
      </c>
      <c r="D113" s="40">
        <v>48504500</v>
      </c>
      <c r="E113" s="40">
        <v>13213266</v>
      </c>
    </row>
    <row r="114" spans="1:5" ht="12" customHeight="1" x14ac:dyDescent="0.2">
      <c r="A114" s="245" t="s">
        <v>359</v>
      </c>
      <c r="B114" s="79" t="s">
        <v>612</v>
      </c>
      <c r="C114" s="40"/>
      <c r="D114" s="40"/>
      <c r="E114" s="40"/>
    </row>
    <row r="115" spans="1:5" ht="12" customHeight="1" x14ac:dyDescent="0.2">
      <c r="A115" s="245" t="s">
        <v>360</v>
      </c>
      <c r="B115" s="80" t="s">
        <v>613</v>
      </c>
      <c r="C115" s="40"/>
      <c r="D115" s="40"/>
      <c r="E115" s="40"/>
    </row>
    <row r="116" spans="1:5" ht="22.5" customHeight="1" x14ac:dyDescent="0.2">
      <c r="A116" s="245" t="s">
        <v>452</v>
      </c>
      <c r="B116" s="21" t="s">
        <v>602</v>
      </c>
      <c r="C116" s="40"/>
      <c r="D116" s="40"/>
      <c r="E116" s="40"/>
    </row>
    <row r="117" spans="1:5" ht="12" customHeight="1" x14ac:dyDescent="0.2">
      <c r="A117" s="245" t="s">
        <v>453</v>
      </c>
      <c r="B117" s="21" t="s">
        <v>614</v>
      </c>
      <c r="C117" s="40"/>
      <c r="D117" s="40"/>
      <c r="E117" s="40"/>
    </row>
    <row r="118" spans="1:5" ht="12" customHeight="1" x14ac:dyDescent="0.2">
      <c r="A118" s="245" t="s">
        <v>127</v>
      </c>
      <c r="B118" s="21" t="s">
        <v>615</v>
      </c>
      <c r="C118" s="40"/>
      <c r="D118" s="40"/>
      <c r="E118" s="40"/>
    </row>
    <row r="119" spans="1:5" ht="12" customHeight="1" x14ac:dyDescent="0.2">
      <c r="A119" s="245" t="s">
        <v>616</v>
      </c>
      <c r="B119" s="21" t="s">
        <v>605</v>
      </c>
      <c r="C119" s="40"/>
      <c r="D119" s="40">
        <v>5000</v>
      </c>
      <c r="E119" s="40">
        <v>1015</v>
      </c>
    </row>
    <row r="120" spans="1:5" ht="12" customHeight="1" x14ac:dyDescent="0.2">
      <c r="A120" s="245" t="s">
        <v>617</v>
      </c>
      <c r="B120" s="21" t="s">
        <v>618</v>
      </c>
      <c r="C120" s="40"/>
      <c r="D120" s="40"/>
      <c r="E120" s="40"/>
    </row>
    <row r="121" spans="1:5" ht="12" customHeight="1" thickBot="1" x14ac:dyDescent="0.25">
      <c r="A121" s="271" t="s">
        <v>619</v>
      </c>
      <c r="B121" s="21" t="s">
        <v>620</v>
      </c>
      <c r="C121" s="43">
        <v>42072000</v>
      </c>
      <c r="D121" s="43">
        <v>48499500</v>
      </c>
      <c r="E121" s="43">
        <v>13212251</v>
      </c>
    </row>
    <row r="122" spans="1:5" ht="12" customHeight="1" thickBot="1" x14ac:dyDescent="0.25">
      <c r="A122" s="1" t="s">
        <v>244</v>
      </c>
      <c r="B122" s="82" t="s">
        <v>621</v>
      </c>
      <c r="C122" s="93">
        <f>+C123+C124</f>
        <v>131113300</v>
      </c>
      <c r="D122" s="93">
        <f>+D123+D124</f>
        <v>62547148</v>
      </c>
      <c r="E122" s="93">
        <f>+E123+E124</f>
        <v>0</v>
      </c>
    </row>
    <row r="123" spans="1:5" ht="12" customHeight="1" x14ac:dyDescent="0.2">
      <c r="A123" s="245" t="s">
        <v>322</v>
      </c>
      <c r="B123" s="11" t="s">
        <v>361</v>
      </c>
      <c r="C123" s="274">
        <v>20000000</v>
      </c>
      <c r="D123" s="274">
        <v>2126916</v>
      </c>
      <c r="E123" s="274"/>
    </row>
    <row r="124" spans="1:5" ht="12" customHeight="1" thickBot="1" x14ac:dyDescent="0.25">
      <c r="A124" s="249" t="s">
        <v>323</v>
      </c>
      <c r="B124" s="18" t="s">
        <v>362</v>
      </c>
      <c r="C124" s="270">
        <v>111113300</v>
      </c>
      <c r="D124" s="270">
        <v>60420232</v>
      </c>
      <c r="E124" s="270"/>
    </row>
    <row r="125" spans="1:5" ht="12" customHeight="1" thickBot="1" x14ac:dyDescent="0.25">
      <c r="A125" s="1" t="s">
        <v>245</v>
      </c>
      <c r="B125" s="82" t="s">
        <v>622</v>
      </c>
      <c r="C125" s="93">
        <f>+C93+C110+C122</f>
        <v>852319030</v>
      </c>
      <c r="D125" s="93">
        <f>+D93+D110+D122</f>
        <v>1566535075</v>
      </c>
      <c r="E125" s="93">
        <f>+E93+E110+E122</f>
        <v>885208632</v>
      </c>
    </row>
    <row r="126" spans="1:5" ht="12" customHeight="1" thickBot="1" x14ac:dyDescent="0.25">
      <c r="A126" s="1" t="s">
        <v>246</v>
      </c>
      <c r="B126" s="82" t="s">
        <v>701</v>
      </c>
      <c r="C126" s="93">
        <f>+C127+C128+C129</f>
        <v>103161000</v>
      </c>
      <c r="D126" s="93">
        <f>+D127+D128+D129</f>
        <v>103161000</v>
      </c>
      <c r="E126" s="93">
        <f>+E127+E128+E129</f>
        <v>3160000</v>
      </c>
    </row>
    <row r="127" spans="1:5" ht="12" customHeight="1" x14ac:dyDescent="0.2">
      <c r="A127" s="245" t="s">
        <v>329</v>
      </c>
      <c r="B127" s="11" t="s">
        <v>624</v>
      </c>
      <c r="C127" s="40">
        <v>3161000</v>
      </c>
      <c r="D127" s="40">
        <v>3161000</v>
      </c>
      <c r="E127" s="40">
        <v>3160000</v>
      </c>
    </row>
    <row r="128" spans="1:5" ht="12" customHeight="1" x14ac:dyDescent="0.2">
      <c r="A128" s="245" t="s">
        <v>330</v>
      </c>
      <c r="B128" s="11" t="s">
        <v>625</v>
      </c>
      <c r="C128" s="40">
        <v>100000000</v>
      </c>
      <c r="D128" s="40">
        <v>100000000</v>
      </c>
      <c r="E128" s="40"/>
    </row>
    <row r="129" spans="1:11" ht="12" customHeight="1" thickBot="1" x14ac:dyDescent="0.25">
      <c r="A129" s="271" t="s">
        <v>331</v>
      </c>
      <c r="B129" s="7" t="s">
        <v>626</v>
      </c>
      <c r="C129" s="40"/>
      <c r="D129" s="40"/>
      <c r="E129" s="40"/>
    </row>
    <row r="130" spans="1:11" ht="12" customHeight="1" thickBot="1" x14ac:dyDescent="0.25">
      <c r="A130" s="1" t="s">
        <v>249</v>
      </c>
      <c r="B130" s="82" t="s">
        <v>627</v>
      </c>
      <c r="C130" s="93">
        <f>+C131+C132+C133+C134</f>
        <v>0</v>
      </c>
      <c r="D130" s="93">
        <f>+D131+D132+D133+D134</f>
        <v>0</v>
      </c>
      <c r="E130" s="93">
        <f>+E131+E132+E133+E134</f>
        <v>0</v>
      </c>
    </row>
    <row r="131" spans="1:11" ht="12" customHeight="1" x14ac:dyDescent="0.2">
      <c r="A131" s="245" t="s">
        <v>332</v>
      </c>
      <c r="B131" s="11" t="s">
        <v>628</v>
      </c>
      <c r="C131" s="40"/>
      <c r="D131" s="40"/>
      <c r="E131" s="40"/>
    </row>
    <row r="132" spans="1:11" ht="12" customHeight="1" x14ac:dyDescent="0.2">
      <c r="A132" s="245" t="s">
        <v>333</v>
      </c>
      <c r="B132" s="11" t="s">
        <v>629</v>
      </c>
      <c r="C132" s="40"/>
      <c r="D132" s="40"/>
      <c r="E132" s="40"/>
    </row>
    <row r="133" spans="1:11" ht="12" customHeight="1" x14ac:dyDescent="0.2">
      <c r="A133" s="245" t="s">
        <v>522</v>
      </c>
      <c r="B133" s="11" t="s">
        <v>630</v>
      </c>
      <c r="C133" s="40"/>
      <c r="D133" s="40"/>
      <c r="E133" s="40"/>
    </row>
    <row r="134" spans="1:11" s="266" customFormat="1" ht="12" customHeight="1" thickBot="1" x14ac:dyDescent="0.25">
      <c r="A134" s="271" t="s">
        <v>524</v>
      </c>
      <c r="B134" s="7" t="s">
        <v>631</v>
      </c>
      <c r="C134" s="40"/>
      <c r="D134" s="40"/>
      <c r="E134" s="40"/>
    </row>
    <row r="135" spans="1:11" ht="13.5" thickBot="1" x14ac:dyDescent="0.25">
      <c r="A135" s="1" t="s">
        <v>250</v>
      </c>
      <c r="B135" s="82" t="s">
        <v>702</v>
      </c>
      <c r="C135" s="275">
        <f>+C136+C137+C138+C140+C139</f>
        <v>35164932</v>
      </c>
      <c r="D135" s="275">
        <f>+D136+D137+D138+D140+D139</f>
        <v>35164932</v>
      </c>
      <c r="E135" s="275">
        <f>+E136+E137+E138+E140+E139</f>
        <v>1291690463</v>
      </c>
      <c r="K135" s="276"/>
    </row>
    <row r="136" spans="1:11" x14ac:dyDescent="0.2">
      <c r="A136" s="245" t="s">
        <v>334</v>
      </c>
      <c r="B136" s="11" t="s">
        <v>633</v>
      </c>
      <c r="C136" s="40"/>
      <c r="D136" s="40"/>
      <c r="E136" s="40"/>
    </row>
    <row r="137" spans="1:11" ht="12" customHeight="1" x14ac:dyDescent="0.2">
      <c r="A137" s="245" t="s">
        <v>335</v>
      </c>
      <c r="B137" s="11" t="s">
        <v>634</v>
      </c>
      <c r="C137" s="40">
        <v>35164932</v>
      </c>
      <c r="D137" s="40">
        <v>35164932</v>
      </c>
      <c r="E137" s="40">
        <v>35164932</v>
      </c>
    </row>
    <row r="138" spans="1:11" s="266" customFormat="1" ht="12" customHeight="1" x14ac:dyDescent="0.2">
      <c r="A138" s="245" t="s">
        <v>445</v>
      </c>
      <c r="B138" s="11" t="s">
        <v>703</v>
      </c>
      <c r="C138" s="40"/>
      <c r="D138" s="40"/>
      <c r="E138" s="40">
        <v>1256525531</v>
      </c>
    </row>
    <row r="139" spans="1:11" s="266" customFormat="1" ht="12" customHeight="1" x14ac:dyDescent="0.2">
      <c r="A139" s="245" t="s">
        <v>532</v>
      </c>
      <c r="B139" s="11" t="s">
        <v>635</v>
      </c>
      <c r="C139" s="40"/>
      <c r="D139" s="40"/>
      <c r="E139" s="40"/>
    </row>
    <row r="140" spans="1:11" s="266" customFormat="1" ht="12" customHeight="1" thickBot="1" x14ac:dyDescent="0.25">
      <c r="A140" s="271" t="s">
        <v>704</v>
      </c>
      <c r="B140" s="7" t="s">
        <v>636</v>
      </c>
      <c r="C140" s="40"/>
      <c r="D140" s="40"/>
      <c r="E140" s="40"/>
    </row>
    <row r="141" spans="1:11" s="266" customFormat="1" ht="12" customHeight="1" thickBot="1" x14ac:dyDescent="0.25">
      <c r="A141" s="1" t="s">
        <v>251</v>
      </c>
      <c r="B141" s="82" t="s">
        <v>705</v>
      </c>
      <c r="C141" s="277">
        <f>+C142+C143+C144+C145</f>
        <v>0</v>
      </c>
      <c r="D141" s="277">
        <f>+D142+D143+D144+D145</f>
        <v>0</v>
      </c>
      <c r="E141" s="277">
        <f>+E142+E143+E144+E145</f>
        <v>0</v>
      </c>
    </row>
    <row r="142" spans="1:11" s="266" customFormat="1" ht="12" customHeight="1" x14ac:dyDescent="0.2">
      <c r="A142" s="245" t="s">
        <v>446</v>
      </c>
      <c r="B142" s="11" t="s">
        <v>638</v>
      </c>
      <c r="C142" s="40"/>
      <c r="D142" s="40"/>
      <c r="E142" s="40"/>
    </row>
    <row r="143" spans="1:11" s="266" customFormat="1" ht="12" customHeight="1" x14ac:dyDescent="0.2">
      <c r="A143" s="245" t="s">
        <v>447</v>
      </c>
      <c r="B143" s="11" t="s">
        <v>639</v>
      </c>
      <c r="C143" s="40"/>
      <c r="D143" s="40"/>
      <c r="E143" s="40"/>
    </row>
    <row r="144" spans="1:11" s="266" customFormat="1" ht="12" customHeight="1" x14ac:dyDescent="0.2">
      <c r="A144" s="245" t="s">
        <v>537</v>
      </c>
      <c r="B144" s="11" t="s">
        <v>640</v>
      </c>
      <c r="C144" s="40"/>
      <c r="D144" s="40"/>
      <c r="E144" s="40"/>
    </row>
    <row r="145" spans="1:5" ht="12.75" customHeight="1" thickBot="1" x14ac:dyDescent="0.25">
      <c r="A145" s="245" t="s">
        <v>539</v>
      </c>
      <c r="B145" s="11" t="s">
        <v>641</v>
      </c>
      <c r="C145" s="40"/>
      <c r="D145" s="40"/>
      <c r="E145" s="40"/>
    </row>
    <row r="146" spans="1:5" ht="12" customHeight="1" thickBot="1" x14ac:dyDescent="0.25">
      <c r="A146" s="1" t="s">
        <v>252</v>
      </c>
      <c r="B146" s="82" t="s">
        <v>642</v>
      </c>
      <c r="C146" s="278">
        <f>+C126+C130+C135+C141</f>
        <v>138325932</v>
      </c>
      <c r="D146" s="278">
        <f>+D126+D130+D135+D141</f>
        <v>138325932</v>
      </c>
      <c r="E146" s="278">
        <f>+E126+E130+E135+E141</f>
        <v>1294850463</v>
      </c>
    </row>
    <row r="147" spans="1:5" ht="15" customHeight="1" thickBot="1" x14ac:dyDescent="0.25">
      <c r="A147" s="279" t="s">
        <v>253</v>
      </c>
      <c r="B147" s="90" t="s">
        <v>643</v>
      </c>
      <c r="C147" s="278">
        <f>+C125+C146</f>
        <v>990644962</v>
      </c>
      <c r="D147" s="278">
        <f>+D125+D146</f>
        <v>1704861007</v>
      </c>
      <c r="E147" s="278">
        <f>+E125+E146</f>
        <v>2180059095</v>
      </c>
    </row>
    <row r="148" spans="1:5" ht="13.5" thickBot="1" x14ac:dyDescent="0.25"/>
    <row r="149" spans="1:5" ht="15" customHeight="1" thickBot="1" x14ac:dyDescent="0.25">
      <c r="A149" s="283" t="s">
        <v>706</v>
      </c>
      <c r="B149" s="284"/>
      <c r="C149" s="285"/>
      <c r="D149" s="286"/>
      <c r="E149" s="287"/>
    </row>
    <row r="150" spans="1:5" ht="15" customHeight="1" thickBot="1" x14ac:dyDescent="0.25">
      <c r="A150" s="978" t="s">
        <v>366</v>
      </c>
      <c r="B150" s="979"/>
      <c r="C150" s="285"/>
      <c r="D150" s="286"/>
      <c r="E150" s="287"/>
    </row>
    <row r="151" spans="1:5" ht="14.25" customHeight="1" thickBot="1" x14ac:dyDescent="0.25">
      <c r="A151" s="283" t="s">
        <v>707</v>
      </c>
      <c r="B151" s="284"/>
      <c r="C151" s="285"/>
      <c r="D151" s="286"/>
      <c r="E151" s="287"/>
    </row>
  </sheetData>
  <sheetProtection formatCells="0"/>
  <mergeCells count="5">
    <mergeCell ref="A150:B150"/>
    <mergeCell ref="A7:E7"/>
    <mergeCell ref="A92:E92"/>
    <mergeCell ref="B2:D2"/>
    <mergeCell ref="B3:D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58" orientation="portrait" r:id="rId1"/>
  <headerFooter alignWithMargins="0"/>
  <rowBreaks count="1" manualBreakCount="1">
    <brk id="90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3"/>
  </sheetPr>
  <dimension ref="A1:E58"/>
  <sheetViews>
    <sheetView zoomScaleNormal="100" zoomScaleSheetLayoutView="115" workbookViewId="0">
      <selection activeCell="E1" sqref="E1"/>
    </sheetView>
  </sheetViews>
  <sheetFormatPr defaultColWidth="8" defaultRowHeight="12.75" x14ac:dyDescent="0.2"/>
  <cols>
    <col min="1" max="1" width="13.7109375" style="317" customWidth="1"/>
    <col min="2" max="2" width="50.8554687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937</v>
      </c>
    </row>
    <row r="2" spans="1:5" s="231" customFormat="1" ht="25.5" customHeight="1" x14ac:dyDescent="0.2">
      <c r="A2" s="229" t="s">
        <v>708</v>
      </c>
      <c r="B2" s="983" t="s">
        <v>224</v>
      </c>
      <c r="C2" s="984"/>
      <c r="D2" s="985"/>
      <c r="E2" s="289" t="s">
        <v>709</v>
      </c>
    </row>
    <row r="3" spans="1:5" s="231" customFormat="1" ht="24.75" thickBot="1" x14ac:dyDescent="0.25">
      <c r="A3" s="232" t="s">
        <v>710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24" t="s">
        <v>695</v>
      </c>
      <c r="B5" s="23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9416500</v>
      </c>
      <c r="D8" s="128">
        <f>SUM(D9:D18)</f>
        <v>10334792</v>
      </c>
      <c r="E8" s="292">
        <f>SUM(E9:E18)</f>
        <v>14844557</v>
      </c>
    </row>
    <row r="9" spans="1:5" s="246" customFormat="1" ht="12" customHeight="1" x14ac:dyDescent="0.2">
      <c r="A9" s="293" t="s">
        <v>340</v>
      </c>
      <c r="B9" s="14" t="s">
        <v>496</v>
      </c>
      <c r="C9" s="294"/>
      <c r="D9" s="294"/>
      <c r="E9" s="295"/>
    </row>
    <row r="10" spans="1:5" s="246" customFormat="1" ht="12" customHeight="1" x14ac:dyDescent="0.2">
      <c r="A10" s="296" t="s">
        <v>342</v>
      </c>
      <c r="B10" s="9" t="s">
        <v>509</v>
      </c>
      <c r="C10" s="117">
        <v>7533500</v>
      </c>
      <c r="D10" s="117">
        <v>7537064</v>
      </c>
      <c r="E10" s="144">
        <v>11436738</v>
      </c>
    </row>
    <row r="11" spans="1:5" s="246" customFormat="1" ht="12" customHeight="1" x14ac:dyDescent="0.2">
      <c r="A11" s="296" t="s">
        <v>343</v>
      </c>
      <c r="B11" s="9" t="s">
        <v>510</v>
      </c>
      <c r="C11" s="117">
        <v>500000</v>
      </c>
      <c r="D11" s="117">
        <v>500000</v>
      </c>
      <c r="E11" s="144">
        <v>225910</v>
      </c>
    </row>
    <row r="12" spans="1:5" s="246" customFormat="1" ht="12" customHeight="1" x14ac:dyDescent="0.2">
      <c r="A12" s="296" t="s">
        <v>345</v>
      </c>
      <c r="B12" s="9" t="s">
        <v>511</v>
      </c>
      <c r="C12" s="117"/>
      <c r="D12" s="117"/>
      <c r="E12" s="144"/>
    </row>
    <row r="13" spans="1:5" s="246" customFormat="1" ht="12" customHeight="1" x14ac:dyDescent="0.2">
      <c r="A13" s="296" t="s">
        <v>468</v>
      </c>
      <c r="B13" s="9" t="s">
        <v>512</v>
      </c>
      <c r="C13" s="117"/>
      <c r="D13" s="117"/>
      <c r="E13" s="144"/>
    </row>
    <row r="14" spans="1:5" s="246" customFormat="1" ht="12" customHeight="1" x14ac:dyDescent="0.2">
      <c r="A14" s="296" t="s">
        <v>347</v>
      </c>
      <c r="B14" s="9" t="s">
        <v>712</v>
      </c>
      <c r="C14" s="117">
        <v>1283000</v>
      </c>
      <c r="D14" s="117">
        <v>2197728</v>
      </c>
      <c r="E14" s="144">
        <v>3146274</v>
      </c>
    </row>
    <row r="15" spans="1:5" s="248" customFormat="1" ht="12" customHeight="1" x14ac:dyDescent="0.2">
      <c r="A15" s="296" t="s">
        <v>348</v>
      </c>
      <c r="B15" s="7" t="s">
        <v>713</v>
      </c>
      <c r="C15" s="117"/>
      <c r="D15" s="117"/>
      <c r="E15" s="144"/>
    </row>
    <row r="16" spans="1:5" s="248" customFormat="1" ht="12" customHeight="1" x14ac:dyDescent="0.2">
      <c r="A16" s="296" t="s">
        <v>349</v>
      </c>
      <c r="B16" s="9" t="s">
        <v>515</v>
      </c>
      <c r="C16" s="297"/>
      <c r="D16" s="297"/>
      <c r="E16" s="298">
        <v>5</v>
      </c>
    </row>
    <row r="17" spans="1:5" s="246" customFormat="1" ht="12" customHeight="1" x14ac:dyDescent="0.2">
      <c r="A17" s="296" t="s">
        <v>350</v>
      </c>
      <c r="B17" s="9" t="s">
        <v>517</v>
      </c>
      <c r="C17" s="117"/>
      <c r="D17" s="117"/>
      <c r="E17" s="144"/>
    </row>
    <row r="18" spans="1:5" s="248" customFormat="1" ht="12" customHeight="1" thickBot="1" x14ac:dyDescent="0.25">
      <c r="A18" s="296" t="s">
        <v>351</v>
      </c>
      <c r="B18" s="7" t="s">
        <v>519</v>
      </c>
      <c r="C18" s="124">
        <v>100000</v>
      </c>
      <c r="D18" s="124">
        <v>100000</v>
      </c>
      <c r="E18" s="299">
        <v>35630</v>
      </c>
    </row>
    <row r="19" spans="1:5" s="248" customFormat="1" ht="21.75" thickBot="1" x14ac:dyDescent="0.25">
      <c r="A19" s="240" t="s">
        <v>243</v>
      </c>
      <c r="B19" s="291" t="s">
        <v>714</v>
      </c>
      <c r="C19" s="128">
        <f>SUM(C20:C22)</f>
        <v>0</v>
      </c>
      <c r="D19" s="128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117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117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/>
      <c r="D22" s="117"/>
      <c r="E22" s="144"/>
    </row>
    <row r="23" spans="1:5" s="248" customFormat="1" ht="12" customHeight="1" thickBot="1" x14ac:dyDescent="0.25">
      <c r="A23" s="296" t="s">
        <v>357</v>
      </c>
      <c r="B23" s="9" t="s">
        <v>717</v>
      </c>
      <c r="C23" s="117"/>
      <c r="D23" s="117"/>
      <c r="E23" s="144"/>
    </row>
    <row r="24" spans="1:5" s="248" customFormat="1" ht="12" customHeight="1" thickBot="1" x14ac:dyDescent="0.25">
      <c r="A24" s="300" t="s">
        <v>244</v>
      </c>
      <c r="B24" s="82" t="s">
        <v>313</v>
      </c>
      <c r="C24" s="301"/>
      <c r="D24" s="301"/>
      <c r="E24" s="302"/>
    </row>
    <row r="25" spans="1:5" s="248" customFormat="1" ht="21.75" thickBot="1" x14ac:dyDescent="0.25">
      <c r="A25" s="300" t="s">
        <v>245</v>
      </c>
      <c r="B25" s="82" t="s">
        <v>718</v>
      </c>
      <c r="C25" s="128">
        <f>SUM(C26:C27)</f>
        <v>0</v>
      </c>
      <c r="D25" s="128">
        <f>SUM(D26:D27)</f>
        <v>0</v>
      </c>
      <c r="E25" s="292">
        <f>SUM(E26:E27)</f>
        <v>0</v>
      </c>
    </row>
    <row r="26" spans="1:5" s="248" customFormat="1" ht="12" customHeight="1" x14ac:dyDescent="0.2">
      <c r="A26" s="303" t="s">
        <v>327</v>
      </c>
      <c r="B26" s="304" t="s">
        <v>715</v>
      </c>
      <c r="C26" s="149"/>
      <c r="D26" s="149"/>
      <c r="E26" s="305"/>
    </row>
    <row r="27" spans="1:5" s="248" customFormat="1" ht="12" customHeight="1" x14ac:dyDescent="0.2">
      <c r="A27" s="303" t="s">
        <v>328</v>
      </c>
      <c r="B27" s="306" t="s">
        <v>719</v>
      </c>
      <c r="C27" s="131"/>
      <c r="D27" s="131"/>
      <c r="E27" s="307"/>
    </row>
    <row r="28" spans="1:5" s="248" customFormat="1" ht="12" customHeight="1" thickBot="1" x14ac:dyDescent="0.25">
      <c r="A28" s="296" t="s">
        <v>492</v>
      </c>
      <c r="B28" s="308" t="s">
        <v>720</v>
      </c>
      <c r="C28" s="309"/>
      <c r="D28" s="309"/>
      <c r="E28" s="310"/>
    </row>
    <row r="29" spans="1:5" s="248" customFormat="1" ht="12" customHeight="1" thickBot="1" x14ac:dyDescent="0.25">
      <c r="A29" s="300" t="s">
        <v>246</v>
      </c>
      <c r="B29" s="82" t="s">
        <v>721</v>
      </c>
      <c r="C29" s="128">
        <f>SUM(C30:C32)</f>
        <v>0</v>
      </c>
      <c r="D29" s="128">
        <f>SUM(D30:D32)</f>
        <v>0</v>
      </c>
      <c r="E29" s="292">
        <f>SUM(E30:E32)</f>
        <v>157</v>
      </c>
    </row>
    <row r="30" spans="1:5" s="248" customFormat="1" ht="12" customHeight="1" x14ac:dyDescent="0.2">
      <c r="A30" s="303" t="s">
        <v>329</v>
      </c>
      <c r="B30" s="304" t="s">
        <v>521</v>
      </c>
      <c r="C30" s="149"/>
      <c r="D30" s="149"/>
      <c r="E30" s="305"/>
    </row>
    <row r="31" spans="1:5" s="248" customFormat="1" ht="12" customHeight="1" x14ac:dyDescent="0.2">
      <c r="A31" s="303" t="s">
        <v>330</v>
      </c>
      <c r="B31" s="306" t="s">
        <v>206</v>
      </c>
      <c r="C31" s="131"/>
      <c r="D31" s="131"/>
      <c r="E31" s="307"/>
    </row>
    <row r="32" spans="1:5" s="248" customFormat="1" ht="12" customHeight="1" thickBot="1" x14ac:dyDescent="0.25">
      <c r="A32" s="296" t="s">
        <v>331</v>
      </c>
      <c r="B32" s="311" t="s">
        <v>523</v>
      </c>
      <c r="C32" s="309"/>
      <c r="D32" s="309"/>
      <c r="E32" s="310">
        <v>157</v>
      </c>
    </row>
    <row r="33" spans="1:5" s="248" customFormat="1" ht="12" customHeight="1" thickBot="1" x14ac:dyDescent="0.25">
      <c r="A33" s="300" t="s">
        <v>249</v>
      </c>
      <c r="B33" s="82" t="s">
        <v>655</v>
      </c>
      <c r="C33" s="301"/>
      <c r="D33" s="301"/>
      <c r="E33" s="302">
        <v>126016</v>
      </c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01"/>
      <c r="E34" s="302"/>
    </row>
    <row r="35" spans="1:5" s="246" customFormat="1" ht="12" customHeight="1" thickBot="1" x14ac:dyDescent="0.25">
      <c r="A35" s="240" t="s">
        <v>251</v>
      </c>
      <c r="B35" s="82" t="s">
        <v>723</v>
      </c>
      <c r="C35" s="128">
        <f>+C8+C19+C24+C25+C29+C33+C34</f>
        <v>9416500</v>
      </c>
      <c r="D35" s="128">
        <f>+D8+D19+D24+D25+D29+D33+D34</f>
        <v>10334792</v>
      </c>
      <c r="E35" s="292">
        <f>+E8+E19+E24+E25+E29+E33+E34</f>
        <v>14970730</v>
      </c>
    </row>
    <row r="36" spans="1:5" s="246" customFormat="1" ht="12" customHeight="1" thickBot="1" x14ac:dyDescent="0.25">
      <c r="A36" s="312" t="s">
        <v>252</v>
      </c>
      <c r="B36" s="82" t="s">
        <v>724</v>
      </c>
      <c r="C36" s="128">
        <f>+C37+C38+C39</f>
        <v>216307350</v>
      </c>
      <c r="D36" s="128">
        <f>+D37+D38+D39</f>
        <v>211864579</v>
      </c>
      <c r="E36" s="292">
        <f>+E37+E38+E39</f>
        <v>191636198</v>
      </c>
    </row>
    <row r="37" spans="1:5" s="246" customFormat="1" ht="12" customHeight="1" x14ac:dyDescent="0.2">
      <c r="A37" s="303" t="s">
        <v>725</v>
      </c>
      <c r="B37" s="304" t="s">
        <v>145</v>
      </c>
      <c r="C37" s="149">
        <v>447404</v>
      </c>
      <c r="D37" s="149">
        <v>447404</v>
      </c>
      <c r="E37" s="305">
        <v>447404</v>
      </c>
    </row>
    <row r="38" spans="1:5" s="248" customFormat="1" ht="12" customHeight="1" x14ac:dyDescent="0.2">
      <c r="A38" s="303" t="s">
        <v>726</v>
      </c>
      <c r="B38" s="306" t="s">
        <v>448</v>
      </c>
      <c r="C38" s="131"/>
      <c r="D38" s="131"/>
      <c r="E38" s="307"/>
    </row>
    <row r="39" spans="1:5" s="248" customFormat="1" ht="12" customHeight="1" thickBot="1" x14ac:dyDescent="0.25">
      <c r="A39" s="296" t="s">
        <v>727</v>
      </c>
      <c r="B39" s="311" t="s">
        <v>728</v>
      </c>
      <c r="C39" s="309">
        <v>215859946</v>
      </c>
      <c r="D39" s="309">
        <v>211417175</v>
      </c>
      <c r="E39" s="310">
        <v>191188794</v>
      </c>
    </row>
    <row r="40" spans="1:5" s="248" customFormat="1" ht="15" customHeight="1" thickBot="1" x14ac:dyDescent="0.25">
      <c r="A40" s="312" t="s">
        <v>253</v>
      </c>
      <c r="B40" s="313" t="s">
        <v>729</v>
      </c>
      <c r="C40" s="314">
        <f>+C35+C36</f>
        <v>225723850</v>
      </c>
      <c r="D40" s="314">
        <f>+D35+D36</f>
        <v>222199371</v>
      </c>
      <c r="E40" s="315">
        <f>+E35+E36</f>
        <v>206606928</v>
      </c>
    </row>
    <row r="41" spans="1:5" s="248" customFormat="1" ht="15" customHeight="1" x14ac:dyDescent="0.2">
      <c r="A41" s="258"/>
      <c r="B41" s="259"/>
      <c r="C41" s="260"/>
      <c r="D41" s="260"/>
      <c r="E41" s="260"/>
    </row>
    <row r="42" spans="1:5" ht="13.5" thickBot="1" x14ac:dyDescent="0.25">
      <c r="A42" s="261"/>
      <c r="B42" s="262"/>
      <c r="C42" s="263"/>
      <c r="D42" s="263"/>
      <c r="E42" s="263"/>
    </row>
    <row r="43" spans="1:5" s="244" customFormat="1" ht="16.5" customHeight="1" thickBot="1" x14ac:dyDescent="0.25">
      <c r="A43" s="980" t="s">
        <v>130</v>
      </c>
      <c r="B43" s="981"/>
      <c r="C43" s="981"/>
      <c r="D43" s="981"/>
      <c r="E43" s="982"/>
    </row>
    <row r="44" spans="1:5" s="266" customFormat="1" ht="12" customHeight="1" thickBot="1" x14ac:dyDescent="0.25">
      <c r="A44" s="300" t="s">
        <v>235</v>
      </c>
      <c r="B44" s="82" t="s">
        <v>730</v>
      </c>
      <c r="C44" s="128">
        <f>SUM(C45:C49)</f>
        <v>223822850</v>
      </c>
      <c r="D44" s="128">
        <f>SUM(D45:D49)</f>
        <v>219828471</v>
      </c>
      <c r="E44" s="146">
        <f>SUM(E45:E49)</f>
        <v>201887647</v>
      </c>
    </row>
    <row r="45" spans="1:5" ht="12" customHeight="1" x14ac:dyDescent="0.2">
      <c r="A45" s="296" t="s">
        <v>340</v>
      </c>
      <c r="B45" s="11" t="s">
        <v>341</v>
      </c>
      <c r="C45" s="149">
        <v>119212000</v>
      </c>
      <c r="D45" s="149">
        <v>124154434</v>
      </c>
      <c r="E45" s="150">
        <v>117153244</v>
      </c>
    </row>
    <row r="46" spans="1:5" ht="12" customHeight="1" x14ac:dyDescent="0.2">
      <c r="A46" s="296" t="s">
        <v>342</v>
      </c>
      <c r="B46" s="9" t="s">
        <v>449</v>
      </c>
      <c r="C46" s="132">
        <v>28323500</v>
      </c>
      <c r="D46" s="132">
        <v>29387625</v>
      </c>
      <c r="E46" s="152">
        <v>27005945</v>
      </c>
    </row>
    <row r="47" spans="1:5" ht="12" customHeight="1" x14ac:dyDescent="0.2">
      <c r="A47" s="296" t="s">
        <v>343</v>
      </c>
      <c r="B47" s="9" t="s">
        <v>344</v>
      </c>
      <c r="C47" s="132">
        <v>52037350</v>
      </c>
      <c r="D47" s="132">
        <v>42036412</v>
      </c>
      <c r="E47" s="152">
        <v>35600458</v>
      </c>
    </row>
    <row r="48" spans="1:5" ht="12" customHeight="1" x14ac:dyDescent="0.2">
      <c r="A48" s="296" t="s">
        <v>345</v>
      </c>
      <c r="B48" s="9" t="s">
        <v>450</v>
      </c>
      <c r="C48" s="132">
        <v>24250000</v>
      </c>
      <c r="D48" s="132">
        <v>24250000</v>
      </c>
      <c r="E48" s="152">
        <v>22128000</v>
      </c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152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1901000</v>
      </c>
      <c r="D50" s="128">
        <f>SUM(D51:D53)</f>
        <v>2370900</v>
      </c>
      <c r="E50" s="146">
        <f>SUM(E51:E53)</f>
        <v>1507107</v>
      </c>
    </row>
    <row r="51" spans="1:5" s="266" customFormat="1" ht="12" customHeight="1" x14ac:dyDescent="0.2">
      <c r="A51" s="296" t="s">
        <v>354</v>
      </c>
      <c r="B51" s="11" t="s">
        <v>142</v>
      </c>
      <c r="C51" s="149">
        <v>1901000</v>
      </c>
      <c r="D51" s="149">
        <v>2370900</v>
      </c>
      <c r="E51" s="150">
        <v>1507107</v>
      </c>
    </row>
    <row r="52" spans="1:5" ht="12" customHeight="1" x14ac:dyDescent="0.2">
      <c r="A52" s="296" t="s">
        <v>355</v>
      </c>
      <c r="B52" s="9" t="s">
        <v>232</v>
      </c>
      <c r="C52" s="132"/>
      <c r="D52" s="132"/>
      <c r="E52" s="152"/>
    </row>
    <row r="53" spans="1:5" ht="12" customHeight="1" x14ac:dyDescent="0.2">
      <c r="A53" s="296" t="s">
        <v>356</v>
      </c>
      <c r="B53" s="9" t="s">
        <v>732</v>
      </c>
      <c r="C53" s="132"/>
      <c r="D53" s="132"/>
      <c r="E53" s="152"/>
    </row>
    <row r="54" spans="1:5" ht="23.25" thickBot="1" x14ac:dyDescent="0.25">
      <c r="A54" s="296" t="s">
        <v>357</v>
      </c>
      <c r="B54" s="9" t="s">
        <v>733</v>
      </c>
      <c r="C54" s="132"/>
      <c r="D54" s="132"/>
      <c r="E54" s="152"/>
    </row>
    <row r="55" spans="1:5" ht="12" customHeight="1" thickBot="1" x14ac:dyDescent="0.25">
      <c r="A55" s="300" t="s">
        <v>244</v>
      </c>
      <c r="B55" s="316" t="s">
        <v>734</v>
      </c>
      <c r="C55" s="128">
        <f>+C44+C50</f>
        <v>225723850</v>
      </c>
      <c r="D55" s="128">
        <f>+D44+D50</f>
        <v>222199371</v>
      </c>
      <c r="E55" s="146">
        <f>+E44+E50</f>
        <v>203394754</v>
      </c>
    </row>
    <row r="56" spans="1:5" ht="13.5" thickBot="1" x14ac:dyDescent="0.25">
      <c r="C56" s="318"/>
      <c r="D56" s="318"/>
      <c r="E56" s="318"/>
    </row>
    <row r="57" spans="1:5" ht="15" customHeight="1" thickBot="1" x14ac:dyDescent="0.25">
      <c r="A57" s="283" t="s">
        <v>706</v>
      </c>
      <c r="B57" s="284"/>
      <c r="C57" s="285">
        <v>44</v>
      </c>
      <c r="D57" s="285">
        <v>46</v>
      </c>
      <c r="E57" s="709"/>
    </row>
    <row r="58" spans="1:5" ht="14.25" customHeight="1" thickBot="1" x14ac:dyDescent="0.25">
      <c r="A58" s="283" t="s">
        <v>707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A7:E7"/>
    <mergeCell ref="A43:E43"/>
    <mergeCell ref="B2:D2"/>
    <mergeCell ref="B3:D3"/>
  </mergeCells>
  <phoneticPr fontId="22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938</v>
      </c>
    </row>
    <row r="2" spans="1:5" s="231" customFormat="1" ht="25.5" customHeight="1" x14ac:dyDescent="0.2">
      <c r="A2" s="229" t="s">
        <v>708</v>
      </c>
      <c r="B2" s="983" t="s">
        <v>233</v>
      </c>
      <c r="C2" s="984"/>
      <c r="D2" s="985"/>
      <c r="E2" s="289" t="s">
        <v>735</v>
      </c>
    </row>
    <row r="3" spans="1:5" s="231" customFormat="1" ht="24.75" thickBot="1" x14ac:dyDescent="0.25">
      <c r="A3" s="232" t="s">
        <v>736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834" t="s">
        <v>695</v>
      </c>
      <c r="B5" s="835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160784210</v>
      </c>
      <c r="D8" s="320">
        <f>SUM(D9:D18)</f>
        <v>148925804</v>
      </c>
      <c r="E8" s="292">
        <f>SUM(E9:E18)</f>
        <v>133050049</v>
      </c>
    </row>
    <row r="9" spans="1:5" s="246" customFormat="1" ht="12" customHeight="1" x14ac:dyDescent="0.2">
      <c r="A9" s="293" t="s">
        <v>340</v>
      </c>
      <c r="B9" s="14" t="s">
        <v>496</v>
      </c>
      <c r="C9" s="36"/>
      <c r="D9" s="36">
        <v>275371</v>
      </c>
      <c r="E9" s="37">
        <v>279991</v>
      </c>
    </row>
    <row r="10" spans="1:5" s="246" customFormat="1" ht="12" customHeight="1" x14ac:dyDescent="0.2">
      <c r="A10" s="296" t="s">
        <v>342</v>
      </c>
      <c r="B10" s="9" t="s">
        <v>509</v>
      </c>
      <c r="C10" s="39">
        <v>31214302</v>
      </c>
      <c r="D10" s="39">
        <v>34747373</v>
      </c>
      <c r="E10" s="40">
        <v>34252619</v>
      </c>
    </row>
    <row r="11" spans="1:5" s="246" customFormat="1" ht="12" customHeight="1" x14ac:dyDescent="0.2">
      <c r="A11" s="296" t="s">
        <v>343</v>
      </c>
      <c r="B11" s="9" t="s">
        <v>510</v>
      </c>
      <c r="C11" s="39">
        <v>70218340</v>
      </c>
      <c r="D11" s="39">
        <v>61464009</v>
      </c>
      <c r="E11" s="40">
        <v>51405236</v>
      </c>
    </row>
    <row r="12" spans="1:5" s="246" customFormat="1" ht="12" customHeight="1" x14ac:dyDescent="0.2">
      <c r="A12" s="296" t="s">
        <v>345</v>
      </c>
      <c r="B12" s="9" t="s">
        <v>511</v>
      </c>
      <c r="C12" s="39"/>
      <c r="D12" s="39"/>
      <c r="E12" s="40"/>
    </row>
    <row r="13" spans="1:5" s="246" customFormat="1" ht="12" customHeight="1" x14ac:dyDescent="0.2">
      <c r="A13" s="296" t="s">
        <v>468</v>
      </c>
      <c r="B13" s="9" t="s">
        <v>512</v>
      </c>
      <c r="C13" s="39">
        <v>20539068</v>
      </c>
      <c r="D13" s="39">
        <v>16939068</v>
      </c>
      <c r="E13" s="40">
        <v>16103814</v>
      </c>
    </row>
    <row r="14" spans="1:5" s="246" customFormat="1" ht="12" customHeight="1" x14ac:dyDescent="0.2">
      <c r="A14" s="296" t="s">
        <v>347</v>
      </c>
      <c r="B14" s="9" t="s">
        <v>712</v>
      </c>
      <c r="C14" s="39">
        <v>24504500</v>
      </c>
      <c r="D14" s="39">
        <v>21191983</v>
      </c>
      <c r="E14" s="40">
        <v>18280665</v>
      </c>
    </row>
    <row r="15" spans="1:5" s="248" customFormat="1" ht="12" customHeight="1" x14ac:dyDescent="0.2">
      <c r="A15" s="296" t="s">
        <v>348</v>
      </c>
      <c r="B15" s="7" t="s">
        <v>713</v>
      </c>
      <c r="C15" s="39">
        <v>14308000</v>
      </c>
      <c r="D15" s="39">
        <v>14308000</v>
      </c>
      <c r="E15" s="40">
        <v>12590000</v>
      </c>
    </row>
    <row r="16" spans="1:5" s="248" customFormat="1" ht="12" customHeight="1" x14ac:dyDescent="0.2">
      <c r="A16" s="296" t="s">
        <v>349</v>
      </c>
      <c r="B16" s="9" t="s">
        <v>515</v>
      </c>
      <c r="C16" s="39"/>
      <c r="D16" s="39"/>
      <c r="E16" s="40">
        <v>114</v>
      </c>
    </row>
    <row r="17" spans="1:5" s="246" customFormat="1" ht="12" customHeight="1" x14ac:dyDescent="0.2">
      <c r="A17" s="296" t="s">
        <v>350</v>
      </c>
      <c r="B17" s="9" t="s">
        <v>517</v>
      </c>
      <c r="C17" s="49"/>
      <c r="D17" s="49"/>
      <c r="E17" s="50"/>
    </row>
    <row r="18" spans="1:5" s="248" customFormat="1" ht="12" customHeight="1" thickBot="1" x14ac:dyDescent="0.25">
      <c r="A18" s="296" t="s">
        <v>351</v>
      </c>
      <c r="B18" s="7" t="s">
        <v>519</v>
      </c>
      <c r="C18" s="51"/>
      <c r="D18" s="51"/>
      <c r="E18" s="52">
        <v>137610</v>
      </c>
    </row>
    <row r="19" spans="1:5" s="248" customFormat="1" ht="12" customHeight="1" thickBot="1" x14ac:dyDescent="0.25">
      <c r="A19" s="240" t="s">
        <v>243</v>
      </c>
      <c r="B19" s="291" t="s">
        <v>714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322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322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/>
      <c r="D22" s="322"/>
      <c r="E22" s="144"/>
    </row>
    <row r="23" spans="1:5" s="246" customFormat="1" ht="12" customHeight="1" thickBot="1" x14ac:dyDescent="0.25">
      <c r="A23" s="296" t="s">
        <v>357</v>
      </c>
      <c r="B23" s="9" t="s">
        <v>737</v>
      </c>
      <c r="C23" s="117"/>
      <c r="D23" s="322"/>
      <c r="E23" s="144"/>
    </row>
    <row r="24" spans="1:5" s="246" customFormat="1" ht="12.75" customHeight="1" thickBot="1" x14ac:dyDescent="0.25">
      <c r="A24" s="300" t="s">
        <v>244</v>
      </c>
      <c r="B24" s="82" t="s">
        <v>313</v>
      </c>
      <c r="C24" s="301"/>
      <c r="D24" s="325"/>
      <c r="E24" s="302"/>
    </row>
    <row r="25" spans="1:5" s="246" customFormat="1" ht="19.5" customHeight="1" thickBot="1" x14ac:dyDescent="0.25">
      <c r="A25" s="300" t="s">
        <v>245</v>
      </c>
      <c r="B25" s="82" t="s">
        <v>718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327</v>
      </c>
      <c r="B26" s="304" t="s">
        <v>715</v>
      </c>
      <c r="C26" s="149"/>
      <c r="D26" s="326"/>
      <c r="E26" s="305"/>
    </row>
    <row r="27" spans="1:5" s="246" customFormat="1" ht="12" customHeight="1" x14ac:dyDescent="0.2">
      <c r="A27" s="303" t="s">
        <v>328</v>
      </c>
      <c r="B27" s="306" t="s">
        <v>719</v>
      </c>
      <c r="C27" s="131"/>
      <c r="D27" s="327"/>
      <c r="E27" s="307"/>
    </row>
    <row r="28" spans="1:5" s="246" customFormat="1" ht="12" customHeight="1" thickBot="1" x14ac:dyDescent="0.25">
      <c r="A28" s="296" t="s">
        <v>492</v>
      </c>
      <c r="B28" s="308" t="s">
        <v>738</v>
      </c>
      <c r="C28" s="309"/>
      <c r="D28" s="328"/>
      <c r="E28" s="310"/>
    </row>
    <row r="29" spans="1:5" s="246" customFormat="1" ht="12" customHeight="1" thickBot="1" x14ac:dyDescent="0.25">
      <c r="A29" s="300" t="s">
        <v>246</v>
      </c>
      <c r="B29" s="82" t="s">
        <v>721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329</v>
      </c>
      <c r="B30" s="304" t="s">
        <v>521</v>
      </c>
      <c r="C30" s="149"/>
      <c r="D30" s="326"/>
      <c r="E30" s="305"/>
    </row>
    <row r="31" spans="1:5" s="246" customFormat="1" ht="12" customHeight="1" x14ac:dyDescent="0.2">
      <c r="A31" s="303" t="s">
        <v>330</v>
      </c>
      <c r="B31" s="306" t="s">
        <v>206</v>
      </c>
      <c r="C31" s="131"/>
      <c r="D31" s="327"/>
      <c r="E31" s="307"/>
    </row>
    <row r="32" spans="1:5" s="246" customFormat="1" ht="12" customHeight="1" thickBot="1" x14ac:dyDescent="0.25">
      <c r="A32" s="296" t="s">
        <v>331</v>
      </c>
      <c r="B32" s="311" t="s">
        <v>523</v>
      </c>
      <c r="C32" s="309"/>
      <c r="D32" s="328"/>
      <c r="E32" s="310"/>
    </row>
    <row r="33" spans="1:5" s="246" customFormat="1" ht="12" customHeight="1" thickBot="1" x14ac:dyDescent="0.25">
      <c r="A33" s="300" t="s">
        <v>249</v>
      </c>
      <c r="B33" s="82" t="s">
        <v>655</v>
      </c>
      <c r="C33" s="301"/>
      <c r="D33" s="325"/>
      <c r="E33" s="302"/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25"/>
      <c r="E34" s="302"/>
    </row>
    <row r="35" spans="1:5" s="246" customFormat="1" ht="12" customHeight="1" thickBot="1" x14ac:dyDescent="0.25">
      <c r="A35" s="240" t="s">
        <v>251</v>
      </c>
      <c r="B35" s="82" t="s">
        <v>739</v>
      </c>
      <c r="C35" s="128">
        <f>+C8+C19+C24+C25+C29+C33+C34</f>
        <v>160784210</v>
      </c>
      <c r="D35" s="320">
        <f>+D8+D19+D24+D25+D29+D33+D34</f>
        <v>148925804</v>
      </c>
      <c r="E35" s="320">
        <f>+E8+E19+E24+E25+E29+E33+E34</f>
        <v>133050049</v>
      </c>
    </row>
    <row r="36" spans="1:5" s="248" customFormat="1" ht="12" customHeight="1" thickBot="1" x14ac:dyDescent="0.25">
      <c r="A36" s="312" t="s">
        <v>252</v>
      </c>
      <c r="B36" s="82" t="s">
        <v>724</v>
      </c>
      <c r="C36" s="128">
        <f>+C37+C38+C39</f>
        <v>204435666</v>
      </c>
      <c r="D36" s="320">
        <f>+D37+D38+D39</f>
        <v>167096509</v>
      </c>
      <c r="E36" s="292">
        <f>+E37+E38+E39</f>
        <v>167052955</v>
      </c>
    </row>
    <row r="37" spans="1:5" s="248" customFormat="1" ht="15" customHeight="1" x14ac:dyDescent="0.2">
      <c r="A37" s="303" t="s">
        <v>725</v>
      </c>
      <c r="B37" s="304" t="s">
        <v>145</v>
      </c>
      <c r="C37" s="49">
        <v>2265992</v>
      </c>
      <c r="D37" s="49">
        <v>2265992</v>
      </c>
      <c r="E37" s="50">
        <v>2265992</v>
      </c>
    </row>
    <row r="38" spans="1:5" s="248" customFormat="1" ht="15" customHeight="1" x14ac:dyDescent="0.2">
      <c r="A38" s="303" t="s">
        <v>726</v>
      </c>
      <c r="B38" s="306" t="s">
        <v>448</v>
      </c>
      <c r="C38" s="131"/>
      <c r="D38" s="327"/>
      <c r="E38" s="307"/>
    </row>
    <row r="39" spans="1:5" ht="13.5" thickBot="1" x14ac:dyDescent="0.25">
      <c r="A39" s="296" t="s">
        <v>727</v>
      </c>
      <c r="B39" s="311" t="s">
        <v>728</v>
      </c>
      <c r="C39" s="309">
        <v>202169674</v>
      </c>
      <c r="D39" s="328">
        <v>164830517</v>
      </c>
      <c r="E39" s="310">
        <v>164786963</v>
      </c>
    </row>
    <row r="40" spans="1:5" s="244" customFormat="1" ht="16.5" customHeight="1" thickBot="1" x14ac:dyDescent="0.25">
      <c r="A40" s="312" t="s">
        <v>253</v>
      </c>
      <c r="B40" s="313" t="s">
        <v>729</v>
      </c>
      <c r="C40" s="314">
        <f>+C35+C36</f>
        <v>365219876</v>
      </c>
      <c r="D40" s="329">
        <f>+D35+D36</f>
        <v>316022313</v>
      </c>
      <c r="E40" s="329">
        <f>+E35+E36</f>
        <v>300103004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235</v>
      </c>
      <c r="B44" s="82" t="s">
        <v>730</v>
      </c>
      <c r="C44" s="128">
        <f>SUM(C45:C49)</f>
        <v>363443578</v>
      </c>
      <c r="D44" s="128">
        <f>SUM(D45:D49)</f>
        <v>313763382</v>
      </c>
      <c r="E44" s="292">
        <f>SUM(E45:E49)</f>
        <v>296727084</v>
      </c>
    </row>
    <row r="45" spans="1:5" ht="12" customHeight="1" x14ac:dyDescent="0.2">
      <c r="A45" s="296" t="s">
        <v>340</v>
      </c>
      <c r="B45" s="11" t="s">
        <v>341</v>
      </c>
      <c r="C45" s="74">
        <v>81034160</v>
      </c>
      <c r="D45" s="74">
        <v>63295590</v>
      </c>
      <c r="E45" s="75">
        <v>62724557</v>
      </c>
    </row>
    <row r="46" spans="1:5" ht="12" customHeight="1" x14ac:dyDescent="0.2">
      <c r="A46" s="296" t="s">
        <v>342</v>
      </c>
      <c r="B46" s="9" t="s">
        <v>449</v>
      </c>
      <c r="C46" s="39">
        <v>20018301</v>
      </c>
      <c r="D46" s="39">
        <v>15531035</v>
      </c>
      <c r="E46" s="40">
        <v>15299209</v>
      </c>
    </row>
    <row r="47" spans="1:5" ht="12" customHeight="1" x14ac:dyDescent="0.2">
      <c r="A47" s="296" t="s">
        <v>343</v>
      </c>
      <c r="B47" s="9" t="s">
        <v>344</v>
      </c>
      <c r="C47" s="42">
        <v>262391117</v>
      </c>
      <c r="D47" s="42">
        <v>234936757</v>
      </c>
      <c r="E47" s="43">
        <v>218703318</v>
      </c>
    </row>
    <row r="48" spans="1:5" s="266" customFormat="1" ht="12" customHeight="1" x14ac:dyDescent="0.2">
      <c r="A48" s="296" t="s">
        <v>345</v>
      </c>
      <c r="B48" s="9" t="s">
        <v>450</v>
      </c>
      <c r="C48" s="132"/>
      <c r="D48" s="132"/>
      <c r="E48" s="567"/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567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1776298</v>
      </c>
      <c r="D50" s="128">
        <f>SUM(D51:D53)</f>
        <v>2258931</v>
      </c>
      <c r="E50" s="292">
        <f>SUM(E51:E53)</f>
        <v>1949900</v>
      </c>
    </row>
    <row r="51" spans="1:5" ht="12" customHeight="1" x14ac:dyDescent="0.2">
      <c r="A51" s="296" t="s">
        <v>354</v>
      </c>
      <c r="B51" s="11" t="s">
        <v>142</v>
      </c>
      <c r="C51" s="36">
        <v>1276298</v>
      </c>
      <c r="D51" s="36">
        <v>1953698</v>
      </c>
      <c r="E51" s="37">
        <v>1644667</v>
      </c>
    </row>
    <row r="52" spans="1:5" ht="12" customHeight="1" x14ac:dyDescent="0.2">
      <c r="A52" s="296" t="s">
        <v>355</v>
      </c>
      <c r="B52" s="9" t="s">
        <v>232</v>
      </c>
      <c r="C52" s="36">
        <v>500000</v>
      </c>
      <c r="D52" s="39">
        <v>305233</v>
      </c>
      <c r="E52" s="40">
        <v>305233</v>
      </c>
    </row>
    <row r="53" spans="1:5" ht="15" customHeight="1" x14ac:dyDescent="0.2">
      <c r="A53" s="296" t="s">
        <v>356</v>
      </c>
      <c r="B53" s="9" t="s">
        <v>732</v>
      </c>
      <c r="C53" s="39"/>
      <c r="D53" s="39"/>
      <c r="E53" s="40"/>
    </row>
    <row r="54" spans="1:5" ht="23.25" thickBot="1" x14ac:dyDescent="0.25">
      <c r="A54" s="296" t="s">
        <v>357</v>
      </c>
      <c r="B54" s="9" t="s">
        <v>740</v>
      </c>
      <c r="C54" s="132"/>
      <c r="D54" s="132"/>
      <c r="E54" s="567"/>
    </row>
    <row r="55" spans="1:5" ht="15" customHeight="1" thickBot="1" x14ac:dyDescent="0.25">
      <c r="A55" s="300" t="s">
        <v>244</v>
      </c>
      <c r="B55" s="316" t="s">
        <v>734</v>
      </c>
      <c r="C55" s="314">
        <f>+C44+C50</f>
        <v>365219876</v>
      </c>
      <c r="D55" s="314">
        <f>+D44+D50</f>
        <v>316022313</v>
      </c>
      <c r="E55" s="315">
        <f>+E44+E50</f>
        <v>298676984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706</v>
      </c>
      <c r="B57" s="284"/>
      <c r="C57" s="285">
        <v>40</v>
      </c>
      <c r="D57" s="285">
        <v>25</v>
      </c>
      <c r="E57" s="319">
        <v>25</v>
      </c>
    </row>
    <row r="58" spans="1:5" ht="13.5" thickBot="1" x14ac:dyDescent="0.25">
      <c r="A58" s="283" t="s">
        <v>707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939</v>
      </c>
    </row>
    <row r="2" spans="1:5" s="231" customFormat="1" ht="25.5" customHeight="1" x14ac:dyDescent="0.2">
      <c r="A2" s="229" t="s">
        <v>708</v>
      </c>
      <c r="B2" s="983" t="s">
        <v>314</v>
      </c>
      <c r="C2" s="984"/>
      <c r="D2" s="985"/>
      <c r="E2" s="289" t="s">
        <v>735</v>
      </c>
    </row>
    <row r="3" spans="1:5" s="231" customFormat="1" ht="24.75" thickBot="1" x14ac:dyDescent="0.25">
      <c r="A3" s="232" t="s">
        <v>736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834" t="s">
        <v>695</v>
      </c>
      <c r="B5" s="835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11960854</v>
      </c>
      <c r="D8" s="320">
        <f>SUM(D9:D18)</f>
        <v>12849854</v>
      </c>
      <c r="E8" s="292">
        <f>SUM(E9:E18)</f>
        <v>11825938</v>
      </c>
    </row>
    <row r="9" spans="1:5" s="246" customFormat="1" ht="12" customHeight="1" x14ac:dyDescent="0.2">
      <c r="A9" s="293" t="s">
        <v>340</v>
      </c>
      <c r="B9" s="14" t="s">
        <v>496</v>
      </c>
      <c r="C9" s="36"/>
      <c r="D9" s="36"/>
      <c r="E9" s="37"/>
    </row>
    <row r="10" spans="1:5" s="246" customFormat="1" ht="12" customHeight="1" x14ac:dyDescent="0.2">
      <c r="A10" s="296" t="s">
        <v>342</v>
      </c>
      <c r="B10" s="9" t="s">
        <v>509</v>
      </c>
      <c r="C10" s="39">
        <v>600000</v>
      </c>
      <c r="D10" s="39">
        <v>963759</v>
      </c>
      <c r="E10" s="40">
        <v>775607</v>
      </c>
    </row>
    <row r="11" spans="1:5" s="246" customFormat="1" ht="12" customHeight="1" x14ac:dyDescent="0.2">
      <c r="A11" s="296" t="s">
        <v>343</v>
      </c>
      <c r="B11" s="9" t="s">
        <v>510</v>
      </c>
      <c r="C11" s="39">
        <v>4100000</v>
      </c>
      <c r="D11" s="39">
        <v>5442775</v>
      </c>
      <c r="E11" s="40">
        <v>5084283</v>
      </c>
    </row>
    <row r="12" spans="1:5" s="246" customFormat="1" ht="12" customHeight="1" x14ac:dyDescent="0.2">
      <c r="A12" s="296" t="s">
        <v>345</v>
      </c>
      <c r="B12" s="9" t="s">
        <v>511</v>
      </c>
      <c r="C12" s="39"/>
      <c r="D12" s="39"/>
      <c r="E12" s="40"/>
    </row>
    <row r="13" spans="1:5" s="246" customFormat="1" ht="12" customHeight="1" x14ac:dyDescent="0.2">
      <c r="A13" s="296" t="s">
        <v>468</v>
      </c>
      <c r="B13" s="9" t="s">
        <v>512</v>
      </c>
      <c r="C13" s="39">
        <v>1409334</v>
      </c>
      <c r="D13" s="39">
        <v>402800</v>
      </c>
      <c r="E13" s="40">
        <v>364161</v>
      </c>
    </row>
    <row r="14" spans="1:5" s="246" customFormat="1" ht="12" customHeight="1" x14ac:dyDescent="0.2">
      <c r="A14" s="296" t="s">
        <v>347</v>
      </c>
      <c r="B14" s="9" t="s">
        <v>712</v>
      </c>
      <c r="C14" s="39">
        <v>1649520</v>
      </c>
      <c r="D14" s="39">
        <v>1838520</v>
      </c>
      <c r="E14" s="40">
        <v>1656670</v>
      </c>
    </row>
    <row r="15" spans="1:5" s="248" customFormat="1" ht="12" customHeight="1" x14ac:dyDescent="0.2">
      <c r="A15" s="296" t="s">
        <v>348</v>
      </c>
      <c r="B15" s="7" t="s">
        <v>713</v>
      </c>
      <c r="C15" s="39">
        <v>4192000</v>
      </c>
      <c r="D15" s="39">
        <v>4119809</v>
      </c>
      <c r="E15" s="40">
        <v>3873000</v>
      </c>
    </row>
    <row r="16" spans="1:5" s="248" customFormat="1" ht="12" customHeight="1" x14ac:dyDescent="0.2">
      <c r="A16" s="296" t="s">
        <v>349</v>
      </c>
      <c r="B16" s="9" t="s">
        <v>515</v>
      </c>
      <c r="C16" s="39">
        <v>10000</v>
      </c>
      <c r="D16" s="39">
        <v>10000</v>
      </c>
      <c r="E16" s="40">
        <v>26</v>
      </c>
    </row>
    <row r="17" spans="1:5" s="246" customFormat="1" ht="12" customHeight="1" x14ac:dyDescent="0.2">
      <c r="A17" s="296" t="s">
        <v>350</v>
      </c>
      <c r="B17" s="9" t="s">
        <v>517</v>
      </c>
      <c r="C17" s="49"/>
      <c r="D17" s="49"/>
      <c r="E17" s="50"/>
    </row>
    <row r="18" spans="1:5" s="248" customFormat="1" ht="12" customHeight="1" thickBot="1" x14ac:dyDescent="0.25">
      <c r="A18" s="296" t="s">
        <v>351</v>
      </c>
      <c r="B18" s="7" t="s">
        <v>519</v>
      </c>
      <c r="C18" s="51"/>
      <c r="D18" s="51">
        <v>72191</v>
      </c>
      <c r="E18" s="52">
        <v>72191</v>
      </c>
    </row>
    <row r="19" spans="1:5" s="248" customFormat="1" ht="12" customHeight="1" thickBot="1" x14ac:dyDescent="0.25">
      <c r="A19" s="240" t="s">
        <v>243</v>
      </c>
      <c r="B19" s="291" t="s">
        <v>714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322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322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/>
      <c r="D22" s="322"/>
      <c r="E22" s="144"/>
    </row>
    <row r="23" spans="1:5" s="246" customFormat="1" ht="12" customHeight="1" thickBot="1" x14ac:dyDescent="0.25">
      <c r="A23" s="296" t="s">
        <v>357</v>
      </c>
      <c r="B23" s="9" t="s">
        <v>737</v>
      </c>
      <c r="C23" s="117"/>
      <c r="D23" s="322"/>
      <c r="E23" s="144"/>
    </row>
    <row r="24" spans="1:5" s="246" customFormat="1" ht="12" customHeight="1" thickBot="1" x14ac:dyDescent="0.25">
      <c r="A24" s="300" t="s">
        <v>244</v>
      </c>
      <c r="B24" s="82" t="s">
        <v>313</v>
      </c>
      <c r="C24" s="301"/>
      <c r="D24" s="325"/>
      <c r="E24" s="302"/>
    </row>
    <row r="25" spans="1:5" s="246" customFormat="1" ht="12" customHeight="1" thickBot="1" x14ac:dyDescent="0.25">
      <c r="A25" s="300" t="s">
        <v>245</v>
      </c>
      <c r="B25" s="82" t="s">
        <v>718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327</v>
      </c>
      <c r="B26" s="304" t="s">
        <v>715</v>
      </c>
      <c r="C26" s="149"/>
      <c r="D26" s="326"/>
      <c r="E26" s="305"/>
    </row>
    <row r="27" spans="1:5" s="246" customFormat="1" ht="12" customHeight="1" x14ac:dyDescent="0.2">
      <c r="A27" s="303" t="s">
        <v>328</v>
      </c>
      <c r="B27" s="306" t="s">
        <v>719</v>
      </c>
      <c r="C27" s="131"/>
      <c r="D27" s="327"/>
      <c r="E27" s="307"/>
    </row>
    <row r="28" spans="1:5" s="246" customFormat="1" ht="12" customHeight="1" thickBot="1" x14ac:dyDescent="0.25">
      <c r="A28" s="296" t="s">
        <v>492</v>
      </c>
      <c r="B28" s="308" t="s">
        <v>738</v>
      </c>
      <c r="C28" s="309"/>
      <c r="D28" s="328"/>
      <c r="E28" s="310"/>
    </row>
    <row r="29" spans="1:5" s="246" customFormat="1" ht="12" customHeight="1" thickBot="1" x14ac:dyDescent="0.25">
      <c r="A29" s="300" t="s">
        <v>246</v>
      </c>
      <c r="B29" s="82" t="s">
        <v>721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329</v>
      </c>
      <c r="B30" s="304" t="s">
        <v>521</v>
      </c>
      <c r="C30" s="149"/>
      <c r="D30" s="326"/>
      <c r="E30" s="305"/>
    </row>
    <row r="31" spans="1:5" s="246" customFormat="1" ht="12" customHeight="1" x14ac:dyDescent="0.2">
      <c r="A31" s="303" t="s">
        <v>330</v>
      </c>
      <c r="B31" s="306" t="s">
        <v>206</v>
      </c>
      <c r="C31" s="131"/>
      <c r="D31" s="327"/>
      <c r="E31" s="307"/>
    </row>
    <row r="32" spans="1:5" s="246" customFormat="1" ht="12" customHeight="1" thickBot="1" x14ac:dyDescent="0.25">
      <c r="A32" s="296" t="s">
        <v>331</v>
      </c>
      <c r="B32" s="311" t="s">
        <v>523</v>
      </c>
      <c r="C32" s="309"/>
      <c r="D32" s="328"/>
      <c r="E32" s="310"/>
    </row>
    <row r="33" spans="1:5" s="246" customFormat="1" ht="12" customHeight="1" thickBot="1" x14ac:dyDescent="0.25">
      <c r="A33" s="300" t="s">
        <v>249</v>
      </c>
      <c r="B33" s="82" t="s">
        <v>655</v>
      </c>
      <c r="C33" s="301"/>
      <c r="D33" s="325">
        <v>80000</v>
      </c>
      <c r="E33" s="302">
        <v>80000</v>
      </c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25"/>
      <c r="E34" s="302"/>
    </row>
    <row r="35" spans="1:5" s="246" customFormat="1" ht="12" customHeight="1" thickBot="1" x14ac:dyDescent="0.25">
      <c r="A35" s="240" t="s">
        <v>251</v>
      </c>
      <c r="B35" s="82" t="s">
        <v>739</v>
      </c>
      <c r="C35" s="128">
        <f>+C8+C19+C24+C25+C29+C33+C34</f>
        <v>11960854</v>
      </c>
      <c r="D35" s="320">
        <f>+D8+D19+D24+D25+D29+D33+D34</f>
        <v>12929854</v>
      </c>
      <c r="E35" s="292">
        <f>+E8+E19+E24+E25+E29+E33+E34</f>
        <v>11905938</v>
      </c>
    </row>
    <row r="36" spans="1:5" s="248" customFormat="1" ht="12" customHeight="1" thickBot="1" x14ac:dyDescent="0.25">
      <c r="A36" s="312" t="s">
        <v>252</v>
      </c>
      <c r="B36" s="82" t="s">
        <v>724</v>
      </c>
      <c r="C36" s="128">
        <f>+C37+C38+C39</f>
        <v>275611592</v>
      </c>
      <c r="D36" s="320">
        <f>+D37+D38+D39</f>
        <v>281978462</v>
      </c>
      <c r="E36" s="292">
        <f>+E37+E38+E39</f>
        <v>281586939</v>
      </c>
    </row>
    <row r="37" spans="1:5" s="248" customFormat="1" ht="15" customHeight="1" x14ac:dyDescent="0.2">
      <c r="A37" s="303" t="s">
        <v>725</v>
      </c>
      <c r="B37" s="304" t="s">
        <v>145</v>
      </c>
      <c r="C37" s="149">
        <v>291569</v>
      </c>
      <c r="D37" s="326">
        <v>291569</v>
      </c>
      <c r="E37" s="305">
        <v>291569</v>
      </c>
    </row>
    <row r="38" spans="1:5" s="248" customFormat="1" ht="15" customHeight="1" x14ac:dyDescent="0.2">
      <c r="A38" s="303" t="s">
        <v>726</v>
      </c>
      <c r="B38" s="306" t="s">
        <v>448</v>
      </c>
      <c r="C38" s="131"/>
      <c r="D38" s="327"/>
      <c r="E38" s="307"/>
    </row>
    <row r="39" spans="1:5" ht="13.5" thickBot="1" x14ac:dyDescent="0.25">
      <c r="A39" s="296" t="s">
        <v>727</v>
      </c>
      <c r="B39" s="311" t="s">
        <v>728</v>
      </c>
      <c r="C39" s="309">
        <v>275320023</v>
      </c>
      <c r="D39" s="328">
        <v>281686893</v>
      </c>
      <c r="E39" s="310">
        <v>281295370</v>
      </c>
    </row>
    <row r="40" spans="1:5" s="244" customFormat="1" ht="16.5" customHeight="1" thickBot="1" x14ac:dyDescent="0.25">
      <c r="A40" s="312" t="s">
        <v>253</v>
      </c>
      <c r="B40" s="313" t="s">
        <v>729</v>
      </c>
      <c r="C40" s="314">
        <f>+C35+C36</f>
        <v>287572446</v>
      </c>
      <c r="D40" s="329">
        <f>+D35+D36</f>
        <v>294908316</v>
      </c>
      <c r="E40" s="315">
        <f>+E35+E36</f>
        <v>293492877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235</v>
      </c>
      <c r="B44" s="82" t="s">
        <v>730</v>
      </c>
      <c r="C44" s="128">
        <f>SUM(C45:C49)</f>
        <v>286292371</v>
      </c>
      <c r="D44" s="128">
        <f>SUM(D45:D49)</f>
        <v>291983741</v>
      </c>
      <c r="E44" s="292">
        <f>SUM(E45:E49)</f>
        <v>290085347</v>
      </c>
    </row>
    <row r="45" spans="1:5" ht="12" customHeight="1" x14ac:dyDescent="0.2">
      <c r="A45" s="296" t="s">
        <v>340</v>
      </c>
      <c r="B45" s="11" t="s">
        <v>341</v>
      </c>
      <c r="C45" s="678">
        <v>175696049</v>
      </c>
      <c r="D45" s="678">
        <v>179129270</v>
      </c>
      <c r="E45" s="679">
        <v>178348491</v>
      </c>
    </row>
    <row r="46" spans="1:5" ht="12" customHeight="1" x14ac:dyDescent="0.2">
      <c r="A46" s="296" t="s">
        <v>342</v>
      </c>
      <c r="B46" s="9" t="s">
        <v>449</v>
      </c>
      <c r="C46" s="680">
        <v>41986053</v>
      </c>
      <c r="D46" s="680">
        <v>42930702</v>
      </c>
      <c r="E46" s="681">
        <v>42909161</v>
      </c>
    </row>
    <row r="47" spans="1:5" ht="12" customHeight="1" x14ac:dyDescent="0.2">
      <c r="A47" s="296" t="s">
        <v>343</v>
      </c>
      <c r="B47" s="9" t="s">
        <v>344</v>
      </c>
      <c r="C47" s="682">
        <v>68610269</v>
      </c>
      <c r="D47" s="682">
        <v>69923769</v>
      </c>
      <c r="E47" s="683">
        <v>68827695</v>
      </c>
    </row>
    <row r="48" spans="1:5" s="266" customFormat="1" ht="12" customHeight="1" x14ac:dyDescent="0.2">
      <c r="A48" s="296" t="s">
        <v>345</v>
      </c>
      <c r="B48" s="9" t="s">
        <v>450</v>
      </c>
      <c r="C48" s="682"/>
      <c r="D48" s="682"/>
      <c r="E48" s="683"/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567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1280075</v>
      </c>
      <c r="D50" s="128">
        <f>SUM(D51:D53)</f>
        <v>2924575</v>
      </c>
      <c r="E50" s="292">
        <f>SUM(E51:E53)</f>
        <v>2742485</v>
      </c>
    </row>
    <row r="51" spans="1:5" ht="12" customHeight="1" x14ac:dyDescent="0.2">
      <c r="A51" s="296" t="s">
        <v>354</v>
      </c>
      <c r="B51" s="11" t="s">
        <v>142</v>
      </c>
      <c r="C51" s="149">
        <v>1280075</v>
      </c>
      <c r="D51" s="149">
        <v>1389575</v>
      </c>
      <c r="E51" s="305">
        <v>1208636</v>
      </c>
    </row>
    <row r="52" spans="1:5" ht="12" customHeight="1" x14ac:dyDescent="0.2">
      <c r="A52" s="296" t="s">
        <v>355</v>
      </c>
      <c r="B52" s="9" t="s">
        <v>232</v>
      </c>
      <c r="C52" s="132"/>
      <c r="D52" s="132">
        <v>1535000</v>
      </c>
      <c r="E52" s="567">
        <v>1533849</v>
      </c>
    </row>
    <row r="53" spans="1:5" ht="15" customHeight="1" x14ac:dyDescent="0.2">
      <c r="A53" s="296" t="s">
        <v>356</v>
      </c>
      <c r="B53" s="9" t="s">
        <v>732</v>
      </c>
      <c r="C53" s="132"/>
      <c r="D53" s="132"/>
      <c r="E53" s="567"/>
    </row>
    <row r="54" spans="1:5" ht="23.25" thickBot="1" x14ac:dyDescent="0.25">
      <c r="A54" s="296" t="s">
        <v>357</v>
      </c>
      <c r="B54" s="9" t="s">
        <v>740</v>
      </c>
      <c r="C54" s="132"/>
      <c r="D54" s="132"/>
      <c r="E54" s="567"/>
    </row>
    <row r="55" spans="1:5" ht="15" customHeight="1" thickBot="1" x14ac:dyDescent="0.25">
      <c r="A55" s="300" t="s">
        <v>244</v>
      </c>
      <c r="B55" s="316" t="s">
        <v>734</v>
      </c>
      <c r="C55" s="314">
        <f>+C44+C50</f>
        <v>287572446</v>
      </c>
      <c r="D55" s="314">
        <f>+D44+D50</f>
        <v>294908316</v>
      </c>
      <c r="E55" s="315">
        <f>+E44+E50</f>
        <v>292827832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706</v>
      </c>
      <c r="B57" s="284"/>
      <c r="C57" s="285">
        <v>55</v>
      </c>
      <c r="D57" s="285">
        <v>54</v>
      </c>
      <c r="E57" s="319">
        <v>54</v>
      </c>
    </row>
    <row r="58" spans="1:5" ht="13.5" thickBot="1" x14ac:dyDescent="0.25">
      <c r="A58" s="283" t="s">
        <v>707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940</v>
      </c>
    </row>
    <row r="2" spans="1:5" s="231" customFormat="1" ht="25.5" customHeight="1" x14ac:dyDescent="0.2">
      <c r="A2" s="229" t="s">
        <v>708</v>
      </c>
      <c r="B2" s="983" t="s">
        <v>585</v>
      </c>
      <c r="C2" s="984"/>
      <c r="D2" s="985"/>
      <c r="E2" s="289" t="s">
        <v>735</v>
      </c>
    </row>
    <row r="3" spans="1:5" s="231" customFormat="1" ht="24.75" thickBot="1" x14ac:dyDescent="0.25">
      <c r="A3" s="232" t="s">
        <v>736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834" t="s">
        <v>695</v>
      </c>
      <c r="B5" s="835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15645250</v>
      </c>
      <c r="D8" s="320">
        <f>SUM(D9:D18)</f>
        <v>15000250</v>
      </c>
      <c r="E8" s="292">
        <f>SUM(E9:E18)</f>
        <v>12288083</v>
      </c>
    </row>
    <row r="9" spans="1:5" s="246" customFormat="1" ht="12" customHeight="1" x14ac:dyDescent="0.2">
      <c r="A9" s="293" t="s">
        <v>340</v>
      </c>
      <c r="B9" s="14" t="s">
        <v>496</v>
      </c>
      <c r="C9" s="36">
        <v>150000</v>
      </c>
      <c r="D9" s="36">
        <v>20000</v>
      </c>
      <c r="E9" s="37">
        <v>26370</v>
      </c>
    </row>
    <row r="10" spans="1:5" s="246" customFormat="1" ht="12" customHeight="1" x14ac:dyDescent="0.2">
      <c r="A10" s="296" t="s">
        <v>342</v>
      </c>
      <c r="B10" s="9" t="s">
        <v>509</v>
      </c>
      <c r="C10" s="39">
        <v>10400000</v>
      </c>
      <c r="D10" s="39">
        <v>11012205</v>
      </c>
      <c r="E10" s="40">
        <v>9661356</v>
      </c>
    </row>
    <row r="11" spans="1:5" s="246" customFormat="1" ht="12" customHeight="1" x14ac:dyDescent="0.2">
      <c r="A11" s="296" t="s">
        <v>343</v>
      </c>
      <c r="B11" s="9" t="s">
        <v>510</v>
      </c>
      <c r="C11" s="39">
        <v>900000</v>
      </c>
      <c r="D11" s="39">
        <v>900000</v>
      </c>
      <c r="E11" s="40">
        <v>48699</v>
      </c>
    </row>
    <row r="12" spans="1:5" s="246" customFormat="1" ht="12" customHeight="1" x14ac:dyDescent="0.2">
      <c r="A12" s="296" t="s">
        <v>345</v>
      </c>
      <c r="B12" s="9" t="s">
        <v>511</v>
      </c>
      <c r="C12" s="39"/>
      <c r="D12" s="39"/>
      <c r="E12" s="40"/>
    </row>
    <row r="13" spans="1:5" s="246" customFormat="1" ht="12" customHeight="1" x14ac:dyDescent="0.2">
      <c r="A13" s="296" t="s">
        <v>468</v>
      </c>
      <c r="B13" s="9" t="s">
        <v>512</v>
      </c>
      <c r="C13" s="39"/>
      <c r="D13" s="39"/>
      <c r="E13" s="40"/>
    </row>
    <row r="14" spans="1:5" s="246" customFormat="1" ht="12" customHeight="1" x14ac:dyDescent="0.2">
      <c r="A14" s="296" t="s">
        <v>347</v>
      </c>
      <c r="B14" s="9" t="s">
        <v>712</v>
      </c>
      <c r="C14" s="39">
        <v>1661250</v>
      </c>
      <c r="D14" s="39">
        <v>1820045</v>
      </c>
      <c r="E14" s="40">
        <v>1172889</v>
      </c>
    </row>
    <row r="15" spans="1:5" s="248" customFormat="1" ht="12" customHeight="1" x14ac:dyDescent="0.2">
      <c r="A15" s="296" t="s">
        <v>348</v>
      </c>
      <c r="B15" s="7" t="s">
        <v>713</v>
      </c>
      <c r="C15" s="39">
        <v>2534000</v>
      </c>
      <c r="D15" s="39">
        <v>1248000</v>
      </c>
      <c r="E15" s="40">
        <v>1152000</v>
      </c>
    </row>
    <row r="16" spans="1:5" s="248" customFormat="1" ht="12" customHeight="1" x14ac:dyDescent="0.2">
      <c r="A16" s="296" t="s">
        <v>349</v>
      </c>
      <c r="B16" s="9" t="s">
        <v>515</v>
      </c>
      <c r="C16" s="39"/>
      <c r="D16" s="39"/>
      <c r="E16" s="40">
        <v>13</v>
      </c>
    </row>
    <row r="17" spans="1:5" s="246" customFormat="1" ht="12" customHeight="1" x14ac:dyDescent="0.2">
      <c r="A17" s="296" t="s">
        <v>350</v>
      </c>
      <c r="B17" s="9" t="s">
        <v>517</v>
      </c>
      <c r="C17" s="49"/>
      <c r="D17" s="49"/>
      <c r="E17" s="50"/>
    </row>
    <row r="18" spans="1:5" s="248" customFormat="1" ht="12" customHeight="1" thickBot="1" x14ac:dyDescent="0.25">
      <c r="A18" s="296" t="s">
        <v>351</v>
      </c>
      <c r="B18" s="7" t="s">
        <v>519</v>
      </c>
      <c r="C18" s="51"/>
      <c r="D18" s="51"/>
      <c r="E18" s="52">
        <v>226756</v>
      </c>
    </row>
    <row r="19" spans="1:5" s="248" customFormat="1" ht="12" customHeight="1" thickBot="1" x14ac:dyDescent="0.25">
      <c r="A19" s="240" t="s">
        <v>243</v>
      </c>
      <c r="B19" s="291" t="s">
        <v>714</v>
      </c>
      <c r="C19" s="128">
        <f>SUM(C20:C22)</f>
        <v>0</v>
      </c>
      <c r="D19" s="320">
        <f>SUM(D20:D22)</f>
        <v>263590</v>
      </c>
      <c r="E19" s="292">
        <f>SUM(E20:E22)</f>
        <v>263590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322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322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/>
      <c r="D22" s="322">
        <v>263590</v>
      </c>
      <c r="E22" s="144">
        <v>263590</v>
      </c>
    </row>
    <row r="23" spans="1:5" s="246" customFormat="1" ht="12" customHeight="1" thickBot="1" x14ac:dyDescent="0.25">
      <c r="A23" s="296" t="s">
        <v>357</v>
      </c>
      <c r="B23" s="9" t="s">
        <v>737</v>
      </c>
      <c r="C23" s="117"/>
      <c r="D23" s="322"/>
      <c r="E23" s="144"/>
    </row>
    <row r="24" spans="1:5" s="246" customFormat="1" ht="12" customHeight="1" thickBot="1" x14ac:dyDescent="0.25">
      <c r="A24" s="300" t="s">
        <v>244</v>
      </c>
      <c r="B24" s="82" t="s">
        <v>313</v>
      </c>
      <c r="C24" s="301"/>
      <c r="D24" s="325"/>
      <c r="E24" s="302"/>
    </row>
    <row r="25" spans="1:5" s="246" customFormat="1" ht="19.5" customHeight="1" thickBot="1" x14ac:dyDescent="0.25">
      <c r="A25" s="300" t="s">
        <v>245</v>
      </c>
      <c r="B25" s="82" t="s">
        <v>718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327</v>
      </c>
      <c r="B26" s="304" t="s">
        <v>715</v>
      </c>
      <c r="C26" s="149"/>
      <c r="D26" s="326"/>
      <c r="E26" s="305"/>
    </row>
    <row r="27" spans="1:5" s="246" customFormat="1" ht="12" customHeight="1" x14ac:dyDescent="0.2">
      <c r="A27" s="303" t="s">
        <v>328</v>
      </c>
      <c r="B27" s="306" t="s">
        <v>719</v>
      </c>
      <c r="C27" s="131"/>
      <c r="D27" s="327"/>
      <c r="E27" s="307"/>
    </row>
    <row r="28" spans="1:5" s="246" customFormat="1" ht="12" customHeight="1" thickBot="1" x14ac:dyDescent="0.25">
      <c r="A28" s="296" t="s">
        <v>492</v>
      </c>
      <c r="B28" s="308" t="s">
        <v>738</v>
      </c>
      <c r="C28" s="309"/>
      <c r="D28" s="328"/>
      <c r="E28" s="310"/>
    </row>
    <row r="29" spans="1:5" s="246" customFormat="1" ht="12" customHeight="1" thickBot="1" x14ac:dyDescent="0.25">
      <c r="A29" s="300" t="s">
        <v>246</v>
      </c>
      <c r="B29" s="82" t="s">
        <v>721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329</v>
      </c>
      <c r="B30" s="304" t="s">
        <v>521</v>
      </c>
      <c r="C30" s="149"/>
      <c r="D30" s="326"/>
      <c r="E30" s="305"/>
    </row>
    <row r="31" spans="1:5" s="246" customFormat="1" ht="12" customHeight="1" x14ac:dyDescent="0.2">
      <c r="A31" s="303" t="s">
        <v>330</v>
      </c>
      <c r="B31" s="306" t="s">
        <v>206</v>
      </c>
      <c r="C31" s="131"/>
      <c r="D31" s="327"/>
      <c r="E31" s="307"/>
    </row>
    <row r="32" spans="1:5" s="246" customFormat="1" ht="12" customHeight="1" thickBot="1" x14ac:dyDescent="0.25">
      <c r="A32" s="296" t="s">
        <v>331</v>
      </c>
      <c r="B32" s="311" t="s">
        <v>523</v>
      </c>
      <c r="C32" s="309"/>
      <c r="D32" s="328"/>
      <c r="E32" s="310"/>
    </row>
    <row r="33" spans="1:5" s="246" customFormat="1" ht="12" customHeight="1" thickBot="1" x14ac:dyDescent="0.25">
      <c r="A33" s="300" t="s">
        <v>249</v>
      </c>
      <c r="B33" s="82" t="s">
        <v>655</v>
      </c>
      <c r="C33" s="301"/>
      <c r="D33" s="325"/>
      <c r="E33" s="302"/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25"/>
      <c r="E34" s="302"/>
    </row>
    <row r="35" spans="1:5" s="246" customFormat="1" ht="12" customHeight="1" thickBot="1" x14ac:dyDescent="0.25">
      <c r="A35" s="240" t="s">
        <v>251</v>
      </c>
      <c r="B35" s="82" t="s">
        <v>739</v>
      </c>
      <c r="C35" s="128">
        <f>+C8+C19+C24+C25+C29+C33+C34</f>
        <v>15645250</v>
      </c>
      <c r="D35" s="320">
        <f>+D8+D19+D24+D25+D29+D33+D34</f>
        <v>15263840</v>
      </c>
      <c r="E35" s="292">
        <f>+E8+E19+E24+E25+E29+E33+E34</f>
        <v>12551673</v>
      </c>
    </row>
    <row r="36" spans="1:5" s="248" customFormat="1" ht="12" customHeight="1" thickBot="1" x14ac:dyDescent="0.25">
      <c r="A36" s="312" t="s">
        <v>252</v>
      </c>
      <c r="B36" s="82" t="s">
        <v>724</v>
      </c>
      <c r="C36" s="128">
        <f>+C37+C38+C39</f>
        <v>79126007</v>
      </c>
      <c r="D36" s="320">
        <f>+D37+D38+D39</f>
        <v>86139728</v>
      </c>
      <c r="E36" s="292">
        <f>+E37+E38+E39</f>
        <v>80699494</v>
      </c>
    </row>
    <row r="37" spans="1:5" s="248" customFormat="1" ht="15" customHeight="1" x14ac:dyDescent="0.2">
      <c r="A37" s="303" t="s">
        <v>725</v>
      </c>
      <c r="B37" s="304" t="s">
        <v>145</v>
      </c>
      <c r="C37" s="149">
        <v>178326</v>
      </c>
      <c r="D37" s="326">
        <v>178326</v>
      </c>
      <c r="E37" s="305">
        <v>178326</v>
      </c>
    </row>
    <row r="38" spans="1:5" s="248" customFormat="1" ht="15" customHeight="1" x14ac:dyDescent="0.2">
      <c r="A38" s="303" t="s">
        <v>726</v>
      </c>
      <c r="B38" s="306" t="s">
        <v>448</v>
      </c>
      <c r="C38" s="131"/>
      <c r="D38" s="327"/>
      <c r="E38" s="307"/>
    </row>
    <row r="39" spans="1:5" ht="13.5" thickBot="1" x14ac:dyDescent="0.25">
      <c r="A39" s="296" t="s">
        <v>727</v>
      </c>
      <c r="B39" s="311" t="s">
        <v>728</v>
      </c>
      <c r="C39" s="309">
        <v>78947681</v>
      </c>
      <c r="D39" s="328">
        <v>85961402</v>
      </c>
      <c r="E39" s="310">
        <v>80521168</v>
      </c>
    </row>
    <row r="40" spans="1:5" s="244" customFormat="1" ht="16.5" customHeight="1" thickBot="1" x14ac:dyDescent="0.25">
      <c r="A40" s="312" t="s">
        <v>253</v>
      </c>
      <c r="B40" s="313" t="s">
        <v>729</v>
      </c>
      <c r="C40" s="314">
        <f>+C35+C36</f>
        <v>94771257</v>
      </c>
      <c r="D40" s="329">
        <f>+D35+D36</f>
        <v>101403568</v>
      </c>
      <c r="E40" s="315">
        <f>+E35+E36</f>
        <v>93251167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235</v>
      </c>
      <c r="B44" s="82" t="s">
        <v>730</v>
      </c>
      <c r="C44" s="128">
        <f>SUM(C45:C49)</f>
        <v>92125603</v>
      </c>
      <c r="D44" s="128">
        <f>SUM(D45:D49)</f>
        <v>96962351</v>
      </c>
      <c r="E44" s="292">
        <f>SUM(E45:E49)</f>
        <v>88548049</v>
      </c>
    </row>
    <row r="45" spans="1:5" ht="12" customHeight="1" x14ac:dyDescent="0.2">
      <c r="A45" s="296" t="s">
        <v>340</v>
      </c>
      <c r="B45" s="11" t="s">
        <v>341</v>
      </c>
      <c r="C45" s="74">
        <v>41027225</v>
      </c>
      <c r="D45" s="74">
        <v>41409027</v>
      </c>
      <c r="E45" s="75">
        <v>40981553</v>
      </c>
    </row>
    <row r="46" spans="1:5" ht="12" customHeight="1" x14ac:dyDescent="0.2">
      <c r="A46" s="296" t="s">
        <v>342</v>
      </c>
      <c r="B46" s="9" t="s">
        <v>449</v>
      </c>
      <c r="C46" s="39">
        <v>9482677</v>
      </c>
      <c r="D46" s="39">
        <v>9551916</v>
      </c>
      <c r="E46" s="40">
        <v>9115343</v>
      </c>
    </row>
    <row r="47" spans="1:5" ht="12" customHeight="1" x14ac:dyDescent="0.2">
      <c r="A47" s="296" t="s">
        <v>343</v>
      </c>
      <c r="B47" s="9" t="s">
        <v>344</v>
      </c>
      <c r="C47" s="42">
        <v>41615701</v>
      </c>
      <c r="D47" s="42">
        <v>46001408</v>
      </c>
      <c r="E47" s="43">
        <v>38451153</v>
      </c>
    </row>
    <row r="48" spans="1:5" s="266" customFormat="1" ht="12" customHeight="1" x14ac:dyDescent="0.2">
      <c r="A48" s="296" t="s">
        <v>345</v>
      </c>
      <c r="B48" s="9" t="s">
        <v>450</v>
      </c>
      <c r="C48" s="132"/>
      <c r="D48" s="132"/>
      <c r="E48" s="567"/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567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2645654</v>
      </c>
      <c r="D50" s="128">
        <f>SUM(D51:D53)</f>
        <v>4441217</v>
      </c>
      <c r="E50" s="292">
        <f>SUM(E51:E53)</f>
        <v>4341831</v>
      </c>
    </row>
    <row r="51" spans="1:5" ht="12" customHeight="1" x14ac:dyDescent="0.2">
      <c r="A51" s="296" t="s">
        <v>354</v>
      </c>
      <c r="B51" s="11" t="s">
        <v>142</v>
      </c>
      <c r="C51" s="149">
        <v>2645654</v>
      </c>
      <c r="D51" s="149">
        <v>4441217</v>
      </c>
      <c r="E51" s="305">
        <v>4341831</v>
      </c>
    </row>
    <row r="52" spans="1:5" ht="12" customHeight="1" x14ac:dyDescent="0.2">
      <c r="A52" s="296" t="s">
        <v>355</v>
      </c>
      <c r="B52" s="9" t="s">
        <v>232</v>
      </c>
      <c r="C52" s="132"/>
      <c r="D52" s="132"/>
      <c r="E52" s="567"/>
    </row>
    <row r="53" spans="1:5" ht="15" customHeight="1" x14ac:dyDescent="0.2">
      <c r="A53" s="296" t="s">
        <v>356</v>
      </c>
      <c r="B53" s="9" t="s">
        <v>732</v>
      </c>
      <c r="C53" s="132"/>
      <c r="D53" s="132"/>
      <c r="E53" s="567"/>
    </row>
    <row r="54" spans="1:5" ht="23.25" thickBot="1" x14ac:dyDescent="0.25">
      <c r="A54" s="296" t="s">
        <v>357</v>
      </c>
      <c r="B54" s="9" t="s">
        <v>740</v>
      </c>
      <c r="C54" s="132"/>
      <c r="D54" s="132"/>
      <c r="E54" s="567"/>
    </row>
    <row r="55" spans="1:5" ht="15" customHeight="1" thickBot="1" x14ac:dyDescent="0.25">
      <c r="A55" s="300" t="s">
        <v>244</v>
      </c>
      <c r="B55" s="316" t="s">
        <v>734</v>
      </c>
      <c r="C55" s="314">
        <f>+C44+C50</f>
        <v>94771257</v>
      </c>
      <c r="D55" s="314">
        <f>+D44+D50</f>
        <v>101403568</v>
      </c>
      <c r="E55" s="315">
        <f>+E44+E50</f>
        <v>92889880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706</v>
      </c>
      <c r="B57" s="284"/>
      <c r="C57" s="673">
        <v>17.75</v>
      </c>
      <c r="D57" s="673">
        <v>16.75</v>
      </c>
      <c r="E57" s="568">
        <v>15</v>
      </c>
    </row>
    <row r="58" spans="1:5" ht="13.5" thickBot="1" x14ac:dyDescent="0.25">
      <c r="A58" s="283" t="s">
        <v>707</v>
      </c>
      <c r="B58" s="284"/>
      <c r="C58" s="285"/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61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941</v>
      </c>
    </row>
    <row r="2" spans="1:5" s="231" customFormat="1" ht="25.5" customHeight="1" x14ac:dyDescent="0.2">
      <c r="A2" s="229" t="s">
        <v>708</v>
      </c>
      <c r="B2" s="983" t="s">
        <v>586</v>
      </c>
      <c r="C2" s="984"/>
      <c r="D2" s="985"/>
      <c r="E2" s="289" t="s">
        <v>735</v>
      </c>
    </row>
    <row r="3" spans="1:5" s="231" customFormat="1" ht="24.75" thickBot="1" x14ac:dyDescent="0.25">
      <c r="A3" s="232" t="s">
        <v>736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834" t="s">
        <v>695</v>
      </c>
      <c r="B5" s="835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197271992</v>
      </c>
      <c r="D8" s="320">
        <f>SUM(D9:D18)</f>
        <v>191816808</v>
      </c>
      <c r="E8" s="292">
        <f>SUM(E9:E18)</f>
        <v>188214808</v>
      </c>
    </row>
    <row r="9" spans="1:5" s="246" customFormat="1" ht="12" customHeight="1" x14ac:dyDescent="0.2">
      <c r="A9" s="293" t="s">
        <v>340</v>
      </c>
      <c r="B9" s="14" t="s">
        <v>496</v>
      </c>
      <c r="C9" s="36"/>
      <c r="D9" s="36"/>
      <c r="E9" s="37"/>
    </row>
    <row r="10" spans="1:5" s="246" customFormat="1" ht="12" customHeight="1" x14ac:dyDescent="0.2">
      <c r="A10" s="296" t="s">
        <v>342</v>
      </c>
      <c r="B10" s="9" t="s">
        <v>509</v>
      </c>
      <c r="C10" s="39">
        <v>24562736</v>
      </c>
      <c r="D10" s="39">
        <v>19147680</v>
      </c>
      <c r="E10" s="40">
        <v>17284781</v>
      </c>
    </row>
    <row r="11" spans="1:5" s="246" customFormat="1" ht="12" customHeight="1" x14ac:dyDescent="0.2">
      <c r="A11" s="296" t="s">
        <v>343</v>
      </c>
      <c r="B11" s="9" t="s">
        <v>510</v>
      </c>
      <c r="C11" s="39">
        <v>10500000</v>
      </c>
      <c r="D11" s="39">
        <v>12446520</v>
      </c>
      <c r="E11" s="40">
        <v>11354243</v>
      </c>
    </row>
    <row r="12" spans="1:5" s="246" customFormat="1" ht="12" customHeight="1" x14ac:dyDescent="0.2">
      <c r="A12" s="296" t="s">
        <v>345</v>
      </c>
      <c r="B12" s="9" t="s">
        <v>511</v>
      </c>
      <c r="C12" s="39"/>
      <c r="D12" s="39"/>
      <c r="E12" s="40"/>
    </row>
    <row r="13" spans="1:5" s="246" customFormat="1" ht="12" customHeight="1" x14ac:dyDescent="0.2">
      <c r="A13" s="296" t="s">
        <v>468</v>
      </c>
      <c r="B13" s="9" t="s">
        <v>512</v>
      </c>
      <c r="C13" s="39">
        <v>158991720</v>
      </c>
      <c r="D13" s="39">
        <v>153561720</v>
      </c>
      <c r="E13" s="40">
        <v>152960039</v>
      </c>
    </row>
    <row r="14" spans="1:5" s="246" customFormat="1" ht="12" customHeight="1" x14ac:dyDescent="0.2">
      <c r="A14" s="296" t="s">
        <v>347</v>
      </c>
      <c r="B14" s="9" t="s">
        <v>712</v>
      </c>
      <c r="C14" s="39">
        <v>3217536</v>
      </c>
      <c r="D14" s="39">
        <v>5933224</v>
      </c>
      <c r="E14" s="40">
        <v>5622416</v>
      </c>
    </row>
    <row r="15" spans="1:5" s="248" customFormat="1" ht="12" customHeight="1" x14ac:dyDescent="0.2">
      <c r="A15" s="296" t="s">
        <v>348</v>
      </c>
      <c r="B15" s="7" t="s">
        <v>713</v>
      </c>
      <c r="C15" s="39"/>
      <c r="D15" s="39"/>
      <c r="E15" s="40"/>
    </row>
    <row r="16" spans="1:5" s="248" customFormat="1" ht="12" customHeight="1" x14ac:dyDescent="0.2">
      <c r="A16" s="296" t="s">
        <v>349</v>
      </c>
      <c r="B16" s="9" t="s">
        <v>515</v>
      </c>
      <c r="C16" s="39"/>
      <c r="D16" s="39"/>
      <c r="E16" s="40">
        <v>317</v>
      </c>
    </row>
    <row r="17" spans="1:5" s="246" customFormat="1" ht="12" customHeight="1" x14ac:dyDescent="0.2">
      <c r="A17" s="296" t="s">
        <v>350</v>
      </c>
      <c r="B17" s="9" t="s">
        <v>517</v>
      </c>
      <c r="C17" s="49"/>
      <c r="D17" s="49"/>
      <c r="E17" s="50"/>
    </row>
    <row r="18" spans="1:5" s="248" customFormat="1" ht="12" customHeight="1" thickBot="1" x14ac:dyDescent="0.25">
      <c r="A18" s="296" t="s">
        <v>351</v>
      </c>
      <c r="B18" s="7" t="s">
        <v>519</v>
      </c>
      <c r="C18" s="51"/>
      <c r="D18" s="51">
        <v>727664</v>
      </c>
      <c r="E18" s="52">
        <v>993012</v>
      </c>
    </row>
    <row r="19" spans="1:5" s="248" customFormat="1" ht="12" customHeight="1" thickBot="1" x14ac:dyDescent="0.25">
      <c r="A19" s="240" t="s">
        <v>243</v>
      </c>
      <c r="B19" s="291" t="s">
        <v>714</v>
      </c>
      <c r="C19" s="128">
        <v>5485000</v>
      </c>
      <c r="D19" s="320">
        <f>SUM(D20:D22)</f>
        <v>27807178</v>
      </c>
      <c r="E19" s="292">
        <f>SUM(E20:E22)</f>
        <v>24012212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322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322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>
        <v>5485000</v>
      </c>
      <c r="D22" s="322">
        <v>27807178</v>
      </c>
      <c r="E22" s="144">
        <v>24012212</v>
      </c>
    </row>
    <row r="23" spans="1:5" s="246" customFormat="1" ht="12" customHeight="1" thickBot="1" x14ac:dyDescent="0.25">
      <c r="A23" s="296" t="s">
        <v>357</v>
      </c>
      <c r="B23" s="9" t="s">
        <v>737</v>
      </c>
      <c r="C23" s="117"/>
      <c r="D23" s="322">
        <v>16877134</v>
      </c>
      <c r="E23" s="144">
        <v>16772212</v>
      </c>
    </row>
    <row r="24" spans="1:5" s="246" customFormat="1" ht="12" customHeight="1" thickBot="1" x14ac:dyDescent="0.25">
      <c r="A24" s="300" t="s">
        <v>244</v>
      </c>
      <c r="B24" s="82" t="s">
        <v>313</v>
      </c>
      <c r="C24" s="301"/>
      <c r="D24" s="325"/>
      <c r="E24" s="302"/>
    </row>
    <row r="25" spans="1:5" s="246" customFormat="1" ht="12" customHeight="1" thickBot="1" x14ac:dyDescent="0.25">
      <c r="A25" s="300" t="s">
        <v>245</v>
      </c>
      <c r="B25" s="82" t="s">
        <v>718</v>
      </c>
      <c r="C25" s="128">
        <f>+C26+C27</f>
        <v>0</v>
      </c>
      <c r="D25" s="320">
        <f>+D26+D27</f>
        <v>5095118</v>
      </c>
      <c r="E25" s="292">
        <f>+E26+E27</f>
        <v>5711118</v>
      </c>
    </row>
    <row r="26" spans="1:5" s="246" customFormat="1" ht="12" customHeight="1" x14ac:dyDescent="0.2">
      <c r="A26" s="303" t="s">
        <v>327</v>
      </c>
      <c r="B26" s="304" t="s">
        <v>715</v>
      </c>
      <c r="C26" s="149"/>
      <c r="D26" s="326"/>
      <c r="E26" s="305"/>
    </row>
    <row r="27" spans="1:5" s="246" customFormat="1" ht="12" customHeight="1" x14ac:dyDescent="0.2">
      <c r="A27" s="303" t="s">
        <v>328</v>
      </c>
      <c r="B27" s="306" t="s">
        <v>719</v>
      </c>
      <c r="C27" s="131"/>
      <c r="D27" s="327">
        <v>5095118</v>
      </c>
      <c r="E27" s="307">
        <v>5711118</v>
      </c>
    </row>
    <row r="28" spans="1:5" s="246" customFormat="1" ht="12" customHeight="1" thickBot="1" x14ac:dyDescent="0.25">
      <c r="A28" s="296" t="s">
        <v>492</v>
      </c>
      <c r="B28" s="308" t="s">
        <v>738</v>
      </c>
      <c r="C28" s="309"/>
      <c r="D28" s="328">
        <v>2430118</v>
      </c>
      <c r="E28" s="310">
        <v>2430118</v>
      </c>
    </row>
    <row r="29" spans="1:5" s="246" customFormat="1" ht="12" customHeight="1" thickBot="1" x14ac:dyDescent="0.25">
      <c r="A29" s="300" t="s">
        <v>246</v>
      </c>
      <c r="B29" s="82" t="s">
        <v>721</v>
      </c>
      <c r="C29" s="128">
        <f>+C30+C31+C32</f>
        <v>0</v>
      </c>
      <c r="D29" s="320">
        <f>+D30+D31+D32</f>
        <v>250000</v>
      </c>
      <c r="E29" s="292">
        <f>+E30+E31+E32</f>
        <v>250000</v>
      </c>
    </row>
    <row r="30" spans="1:5" s="246" customFormat="1" ht="12" customHeight="1" x14ac:dyDescent="0.2">
      <c r="A30" s="303" t="s">
        <v>329</v>
      </c>
      <c r="B30" s="304" t="s">
        <v>521</v>
      </c>
      <c r="C30" s="149"/>
      <c r="D30" s="326"/>
      <c r="E30" s="305"/>
    </row>
    <row r="31" spans="1:5" s="246" customFormat="1" ht="12" customHeight="1" x14ac:dyDescent="0.2">
      <c r="A31" s="303" t="s">
        <v>330</v>
      </c>
      <c r="B31" s="306" t="s">
        <v>206</v>
      </c>
      <c r="C31" s="131"/>
      <c r="D31" s="327"/>
      <c r="E31" s="307"/>
    </row>
    <row r="32" spans="1:5" s="246" customFormat="1" ht="12" customHeight="1" thickBot="1" x14ac:dyDescent="0.25">
      <c r="A32" s="296" t="s">
        <v>331</v>
      </c>
      <c r="B32" s="311" t="s">
        <v>523</v>
      </c>
      <c r="C32" s="309"/>
      <c r="D32" s="328">
        <v>250000</v>
      </c>
      <c r="E32" s="310">
        <v>250000</v>
      </c>
    </row>
    <row r="33" spans="1:5" s="246" customFormat="1" ht="12" customHeight="1" thickBot="1" x14ac:dyDescent="0.25">
      <c r="A33" s="300" t="s">
        <v>249</v>
      </c>
      <c r="B33" s="82" t="s">
        <v>655</v>
      </c>
      <c r="C33" s="301"/>
      <c r="D33" s="325">
        <v>400000</v>
      </c>
      <c r="E33" s="302">
        <v>400000</v>
      </c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25">
        <v>800000</v>
      </c>
      <c r="E34" s="302">
        <v>800000</v>
      </c>
    </row>
    <row r="35" spans="1:5" s="246" customFormat="1" ht="12" customHeight="1" thickBot="1" x14ac:dyDescent="0.25">
      <c r="A35" s="240" t="s">
        <v>251</v>
      </c>
      <c r="B35" s="82" t="s">
        <v>739</v>
      </c>
      <c r="C35" s="128">
        <f>+C8+C19+C24+C25+C29+C33+C34</f>
        <v>202756992</v>
      </c>
      <c r="D35" s="320">
        <f>+D8+D19+D24+D25+D29+D33+D34</f>
        <v>226169104</v>
      </c>
      <c r="E35" s="292">
        <f>+E8+E19+E24+E25+E29+E33+E34</f>
        <v>219388138</v>
      </c>
    </row>
    <row r="36" spans="1:5" s="248" customFormat="1" ht="12" customHeight="1" thickBot="1" x14ac:dyDescent="0.25">
      <c r="A36" s="312" t="s">
        <v>252</v>
      </c>
      <c r="B36" s="82" t="s">
        <v>724</v>
      </c>
      <c r="C36" s="128">
        <f>+C37+C38+C39</f>
        <v>373652357</v>
      </c>
      <c r="D36" s="320">
        <f>+D37+D38+D39</f>
        <v>464782147</v>
      </c>
      <c r="E36" s="292">
        <f>+E37+E38+E39</f>
        <v>464781764</v>
      </c>
    </row>
    <row r="37" spans="1:5" s="248" customFormat="1" ht="15" customHeight="1" x14ac:dyDescent="0.2">
      <c r="A37" s="303" t="s">
        <v>725</v>
      </c>
      <c r="B37" s="304" t="s">
        <v>145</v>
      </c>
      <c r="C37" s="149">
        <v>418046</v>
      </c>
      <c r="D37" s="326">
        <v>418046</v>
      </c>
      <c r="E37" s="305">
        <v>418046</v>
      </c>
    </row>
    <row r="38" spans="1:5" s="248" customFormat="1" ht="15" customHeight="1" x14ac:dyDescent="0.2">
      <c r="A38" s="303" t="s">
        <v>726</v>
      </c>
      <c r="B38" s="306" t="s">
        <v>448</v>
      </c>
      <c r="C38" s="131"/>
      <c r="D38" s="327"/>
      <c r="E38" s="307"/>
    </row>
    <row r="39" spans="1:5" ht="13.5" thickBot="1" x14ac:dyDescent="0.25">
      <c r="A39" s="296" t="s">
        <v>727</v>
      </c>
      <c r="B39" s="311" t="s">
        <v>728</v>
      </c>
      <c r="C39" s="309">
        <v>373234311</v>
      </c>
      <c r="D39" s="328">
        <v>464364101</v>
      </c>
      <c r="E39" s="310">
        <v>464363718</v>
      </c>
    </row>
    <row r="40" spans="1:5" s="244" customFormat="1" ht="16.5" customHeight="1" thickBot="1" x14ac:dyDescent="0.25">
      <c r="A40" s="312" t="s">
        <v>253</v>
      </c>
      <c r="B40" s="313" t="s">
        <v>729</v>
      </c>
      <c r="C40" s="314">
        <f>+C35+C36</f>
        <v>576409349</v>
      </c>
      <c r="D40" s="329">
        <f>+D35+D36</f>
        <v>690951251</v>
      </c>
      <c r="E40" s="315">
        <f>+E35+E36</f>
        <v>684169902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235</v>
      </c>
      <c r="B44" s="82" t="s">
        <v>730</v>
      </c>
      <c r="C44" s="128">
        <f>SUM(C45:C49)</f>
        <v>573189089</v>
      </c>
      <c r="D44" s="128">
        <f>SUM(D45:D49)</f>
        <v>680096747</v>
      </c>
      <c r="E44" s="292">
        <f>SUM(E45:E49)</f>
        <v>656200599</v>
      </c>
    </row>
    <row r="45" spans="1:5" ht="12" customHeight="1" x14ac:dyDescent="0.2">
      <c r="A45" s="296" t="s">
        <v>340</v>
      </c>
      <c r="B45" s="11" t="s">
        <v>341</v>
      </c>
      <c r="C45" s="74">
        <v>312180187</v>
      </c>
      <c r="D45" s="74">
        <v>375128707</v>
      </c>
      <c r="E45" s="75">
        <v>367673645</v>
      </c>
    </row>
    <row r="46" spans="1:5" ht="12" customHeight="1" x14ac:dyDescent="0.2">
      <c r="A46" s="296" t="s">
        <v>342</v>
      </c>
      <c r="B46" s="9" t="s">
        <v>449</v>
      </c>
      <c r="C46" s="39">
        <v>72296262</v>
      </c>
      <c r="D46" s="39">
        <v>86655880</v>
      </c>
      <c r="E46" s="40">
        <v>84636024</v>
      </c>
    </row>
    <row r="47" spans="1:5" ht="12" customHeight="1" x14ac:dyDescent="0.2">
      <c r="A47" s="296" t="s">
        <v>343</v>
      </c>
      <c r="B47" s="9" t="s">
        <v>344</v>
      </c>
      <c r="C47" s="42">
        <v>188712640</v>
      </c>
      <c r="D47" s="42">
        <v>218312160</v>
      </c>
      <c r="E47" s="43">
        <v>203890930</v>
      </c>
    </row>
    <row r="48" spans="1:5" s="266" customFormat="1" ht="12" customHeight="1" x14ac:dyDescent="0.2">
      <c r="A48" s="296" t="s">
        <v>345</v>
      </c>
      <c r="B48" s="9" t="s">
        <v>450</v>
      </c>
      <c r="C48" s="132"/>
      <c r="D48" s="132"/>
      <c r="E48" s="567"/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567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3220260</v>
      </c>
      <c r="D50" s="128">
        <f>SUM(D51:D53)</f>
        <v>10854504</v>
      </c>
      <c r="E50" s="292">
        <f>SUM(E51:E53)</f>
        <v>7554026</v>
      </c>
    </row>
    <row r="51" spans="1:5" ht="12" customHeight="1" x14ac:dyDescent="0.2">
      <c r="A51" s="296" t="s">
        <v>354</v>
      </c>
      <c r="B51" s="11" t="s">
        <v>142</v>
      </c>
      <c r="C51" s="149">
        <v>3220260</v>
      </c>
      <c r="D51" s="149">
        <v>10854504</v>
      </c>
      <c r="E51" s="305">
        <v>7554026</v>
      </c>
    </row>
    <row r="52" spans="1:5" ht="12" customHeight="1" x14ac:dyDescent="0.2">
      <c r="A52" s="296" t="s">
        <v>355</v>
      </c>
      <c r="B52" s="9" t="s">
        <v>232</v>
      </c>
      <c r="C52" s="132"/>
      <c r="D52" s="132"/>
      <c r="E52" s="567"/>
    </row>
    <row r="53" spans="1:5" ht="15" customHeight="1" x14ac:dyDescent="0.2">
      <c r="A53" s="296" t="s">
        <v>356</v>
      </c>
      <c r="B53" s="9" t="s">
        <v>732</v>
      </c>
      <c r="C53" s="132"/>
      <c r="D53" s="132"/>
      <c r="E53" s="567"/>
    </row>
    <row r="54" spans="1:5" ht="23.25" thickBot="1" x14ac:dyDescent="0.25">
      <c r="A54" s="296" t="s">
        <v>357</v>
      </c>
      <c r="B54" s="9" t="s">
        <v>740</v>
      </c>
      <c r="C54" s="132"/>
      <c r="D54" s="132"/>
      <c r="E54" s="567"/>
    </row>
    <row r="55" spans="1:5" ht="15" customHeight="1" thickBot="1" x14ac:dyDescent="0.25">
      <c r="A55" s="300" t="s">
        <v>244</v>
      </c>
      <c r="B55" s="316" t="s">
        <v>734</v>
      </c>
      <c r="C55" s="314">
        <f>+C44+C50</f>
        <v>576409349</v>
      </c>
      <c r="D55" s="314">
        <f>+D44+D50</f>
        <v>690951251</v>
      </c>
      <c r="E55" s="315">
        <f>+E44+E50</f>
        <v>663754625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706</v>
      </c>
      <c r="B57" s="284"/>
      <c r="C57" s="827">
        <v>142.80000000000001</v>
      </c>
      <c r="D57" s="827">
        <v>142.80000000000001</v>
      </c>
      <c r="E57" s="826">
        <v>146</v>
      </c>
    </row>
    <row r="58" spans="1:5" x14ac:dyDescent="0.2">
      <c r="A58" s="768" t="s">
        <v>505</v>
      </c>
      <c r="B58" s="769"/>
      <c r="C58" s="825">
        <v>4</v>
      </c>
      <c r="D58" s="825">
        <v>4</v>
      </c>
      <c r="E58" s="824">
        <v>0</v>
      </c>
    </row>
    <row r="59" spans="1:5" x14ac:dyDescent="0.2">
      <c r="A59" s="771" t="s">
        <v>506</v>
      </c>
      <c r="B59" s="770"/>
      <c r="C59" s="823">
        <v>32</v>
      </c>
      <c r="D59" s="823">
        <v>61</v>
      </c>
      <c r="E59" s="822">
        <v>58</v>
      </c>
    </row>
    <row r="60" spans="1:5" x14ac:dyDescent="0.2">
      <c r="A60" s="993" t="s">
        <v>507</v>
      </c>
      <c r="B60" s="994"/>
      <c r="C60" s="823">
        <v>5</v>
      </c>
      <c r="D60" s="823">
        <v>5</v>
      </c>
      <c r="E60" s="822">
        <v>1</v>
      </c>
    </row>
    <row r="61" spans="1:5" ht="13.5" thickBot="1" x14ac:dyDescent="0.25">
      <c r="A61" s="991" t="s">
        <v>819</v>
      </c>
      <c r="B61" s="992"/>
      <c r="C61" s="821"/>
      <c r="D61" s="820">
        <v>2</v>
      </c>
      <c r="E61" s="819">
        <v>1</v>
      </c>
    </row>
  </sheetData>
  <sheetProtection formatCells="0"/>
  <mergeCells count="6">
    <mergeCell ref="A61:B61"/>
    <mergeCell ref="B2:D2"/>
    <mergeCell ref="B3:D3"/>
    <mergeCell ref="A7:E7"/>
    <mergeCell ref="A43:E43"/>
    <mergeCell ref="A60:B60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3"/>
  </sheetPr>
  <dimension ref="A1:J31"/>
  <sheetViews>
    <sheetView view="pageLayout" topLeftCell="C16" zoomScaleNormal="100" zoomScaleSheetLayoutView="85" workbookViewId="0">
      <selection activeCell="K4" sqref="K4"/>
    </sheetView>
  </sheetViews>
  <sheetFormatPr defaultColWidth="8" defaultRowHeight="12.75" x14ac:dyDescent="0.2"/>
  <cols>
    <col min="1" max="1" width="5.85546875" style="95" customWidth="1"/>
    <col min="2" max="2" width="47.28515625" style="96" customWidth="1"/>
    <col min="3" max="3" width="14.5703125" style="95" bestFit="1" customWidth="1"/>
    <col min="4" max="4" width="15.5703125" style="95" bestFit="1" customWidth="1"/>
    <col min="5" max="5" width="14.5703125" style="95" bestFit="1" customWidth="1"/>
    <col min="6" max="6" width="47.28515625" style="95" customWidth="1"/>
    <col min="7" max="7" width="14.5703125" style="95" bestFit="1" customWidth="1"/>
    <col min="8" max="8" width="15.5703125" style="95" bestFit="1" customWidth="1"/>
    <col min="9" max="9" width="14.5703125" style="95" bestFit="1" customWidth="1"/>
    <col min="10" max="10" width="4.140625" style="95" customWidth="1"/>
    <col min="11" max="16384" width="8" style="95"/>
  </cols>
  <sheetData>
    <row r="1" spans="1:10" s="670" customFormat="1" ht="39.75" customHeight="1" x14ac:dyDescent="0.2">
      <c r="B1" s="674" t="s">
        <v>128</v>
      </c>
      <c r="C1" s="675"/>
      <c r="D1" s="675"/>
      <c r="E1" s="675"/>
      <c r="F1" s="675"/>
      <c r="G1" s="675"/>
      <c r="H1" s="675"/>
      <c r="I1" s="675"/>
      <c r="J1" s="943" t="s">
        <v>925</v>
      </c>
    </row>
    <row r="2" spans="1:10" ht="14.25" thickBot="1" x14ac:dyDescent="0.25">
      <c r="G2" s="97"/>
      <c r="H2" s="97"/>
      <c r="I2" s="97" t="s">
        <v>500</v>
      </c>
      <c r="J2" s="943"/>
    </row>
    <row r="3" spans="1:10" ht="18" customHeight="1" thickBot="1" x14ac:dyDescent="0.25">
      <c r="A3" s="941" t="s">
        <v>405</v>
      </c>
      <c r="B3" s="98" t="s">
        <v>129</v>
      </c>
      <c r="C3" s="99"/>
      <c r="D3" s="99"/>
      <c r="E3" s="99"/>
      <c r="F3" s="98" t="s">
        <v>130</v>
      </c>
      <c r="G3" s="100"/>
      <c r="H3" s="100"/>
      <c r="I3" s="100"/>
      <c r="J3" s="943"/>
    </row>
    <row r="4" spans="1:10" s="105" customFormat="1" ht="35.25" customHeight="1" thickBot="1" x14ac:dyDescent="0.25">
      <c r="A4" s="942"/>
      <c r="B4" s="101" t="s">
        <v>227</v>
      </c>
      <c r="C4" s="102" t="s">
        <v>778</v>
      </c>
      <c r="D4" s="103" t="s">
        <v>779</v>
      </c>
      <c r="E4" s="102" t="s">
        <v>780</v>
      </c>
      <c r="F4" s="101" t="s">
        <v>227</v>
      </c>
      <c r="G4" s="102" t="str">
        <f>+C4</f>
        <v>2017. évi eredeti előirányzat</v>
      </c>
      <c r="H4" s="103" t="str">
        <f>+D4</f>
        <v>2017.évi módosított előirányzat</v>
      </c>
      <c r="I4" s="104" t="str">
        <f>+E4</f>
        <v>2017. évi teljesítés</v>
      </c>
      <c r="J4" s="943"/>
    </row>
    <row r="5" spans="1:10" s="110" customFormat="1" ht="12" customHeight="1" thickBot="1" x14ac:dyDescent="0.25">
      <c r="A5" s="106" t="s">
        <v>457</v>
      </c>
      <c r="B5" s="107" t="s">
        <v>458</v>
      </c>
      <c r="C5" s="108" t="s">
        <v>459</v>
      </c>
      <c r="D5" s="108" t="s">
        <v>460</v>
      </c>
      <c r="E5" s="108" t="s">
        <v>461</v>
      </c>
      <c r="F5" s="107" t="s">
        <v>649</v>
      </c>
      <c r="G5" s="108" t="s">
        <v>650</v>
      </c>
      <c r="H5" s="108" t="s">
        <v>651</v>
      </c>
      <c r="I5" s="109" t="s">
        <v>652</v>
      </c>
      <c r="J5" s="943"/>
    </row>
    <row r="6" spans="1:10" ht="15" customHeight="1" x14ac:dyDescent="0.2">
      <c r="A6" s="111" t="s">
        <v>235</v>
      </c>
      <c r="B6" s="112" t="s">
        <v>653</v>
      </c>
      <c r="C6" s="740">
        <v>1190157400</v>
      </c>
      <c r="D6" s="113">
        <v>1136384587</v>
      </c>
      <c r="E6" s="113">
        <v>1136384587</v>
      </c>
      <c r="F6" s="112" t="s">
        <v>248</v>
      </c>
      <c r="G6" s="743">
        <v>979157571</v>
      </c>
      <c r="H6" s="113">
        <v>1094113234</v>
      </c>
      <c r="I6" s="114">
        <v>1063192965</v>
      </c>
      <c r="J6" s="943"/>
    </row>
    <row r="7" spans="1:10" ht="15" customHeight="1" x14ac:dyDescent="0.2">
      <c r="A7" s="115" t="s">
        <v>243</v>
      </c>
      <c r="B7" s="116" t="s">
        <v>654</v>
      </c>
      <c r="C7" s="741">
        <v>183768000</v>
      </c>
      <c r="D7" s="117">
        <v>336112913</v>
      </c>
      <c r="E7" s="117">
        <v>329344570</v>
      </c>
      <c r="F7" s="116" t="s">
        <v>449</v>
      </c>
      <c r="G7" s="744">
        <v>210734361</v>
      </c>
      <c r="H7" s="117">
        <v>230642127</v>
      </c>
      <c r="I7" s="118">
        <v>223000766</v>
      </c>
      <c r="J7" s="943"/>
    </row>
    <row r="8" spans="1:10" ht="15" customHeight="1" x14ac:dyDescent="0.2">
      <c r="A8" s="115" t="s">
        <v>244</v>
      </c>
      <c r="B8" s="116" t="s">
        <v>781</v>
      </c>
      <c r="C8" s="741"/>
      <c r="D8" s="117">
        <v>16877134</v>
      </c>
      <c r="E8" s="117">
        <v>23612212</v>
      </c>
      <c r="F8" s="116" t="s">
        <v>131</v>
      </c>
      <c r="G8" s="744">
        <v>852397442</v>
      </c>
      <c r="H8" s="117">
        <v>953501741</v>
      </c>
      <c r="I8" s="118">
        <v>840414038</v>
      </c>
      <c r="J8" s="943"/>
    </row>
    <row r="9" spans="1:10" ht="15" customHeight="1" x14ac:dyDescent="0.2">
      <c r="A9" s="115" t="s">
        <v>245</v>
      </c>
      <c r="B9" s="116" t="s">
        <v>313</v>
      </c>
      <c r="C9" s="741">
        <v>319390000</v>
      </c>
      <c r="D9" s="117">
        <v>366490000</v>
      </c>
      <c r="E9" s="117">
        <v>359172384</v>
      </c>
      <c r="F9" s="116" t="s">
        <v>450</v>
      </c>
      <c r="G9" s="744">
        <v>95230000</v>
      </c>
      <c r="H9" s="117">
        <v>78463740</v>
      </c>
      <c r="I9" s="118">
        <v>75302178</v>
      </c>
      <c r="J9" s="943"/>
    </row>
    <row r="10" spans="1:10" ht="15" customHeight="1" x14ac:dyDescent="0.2">
      <c r="A10" s="115" t="s">
        <v>246</v>
      </c>
      <c r="B10" s="119" t="s">
        <v>655</v>
      </c>
      <c r="C10" s="741">
        <v>448054678</v>
      </c>
      <c r="D10" s="117">
        <v>24644433</v>
      </c>
      <c r="E10" s="117">
        <v>21824515</v>
      </c>
      <c r="F10" s="116" t="s">
        <v>451</v>
      </c>
      <c r="G10" s="744">
        <v>37165000</v>
      </c>
      <c r="H10" s="117">
        <v>118488027</v>
      </c>
      <c r="I10" s="118">
        <v>118326665</v>
      </c>
      <c r="J10" s="943"/>
    </row>
    <row r="11" spans="1:10" ht="15" customHeight="1" x14ac:dyDescent="0.2">
      <c r="A11" s="115" t="s">
        <v>249</v>
      </c>
      <c r="B11" s="116" t="s">
        <v>497</v>
      </c>
      <c r="C11" s="742">
        <v>6024000</v>
      </c>
      <c r="D11" s="117">
        <v>447749145</v>
      </c>
      <c r="E11" s="120">
        <v>420500148</v>
      </c>
      <c r="F11" s="116" t="s">
        <v>247</v>
      </c>
      <c r="G11" s="744">
        <v>125911000</v>
      </c>
      <c r="H11" s="117">
        <v>33567853</v>
      </c>
      <c r="I11" s="118"/>
      <c r="J11" s="943"/>
    </row>
    <row r="12" spans="1:10" ht="15" customHeight="1" x14ac:dyDescent="0.2">
      <c r="A12" s="115" t="s">
        <v>250</v>
      </c>
      <c r="B12" s="116" t="s">
        <v>519</v>
      </c>
      <c r="C12" s="117"/>
      <c r="D12" s="120"/>
      <c r="E12" s="117"/>
      <c r="F12" s="121"/>
      <c r="G12" s="117"/>
      <c r="H12" s="117"/>
      <c r="I12" s="118"/>
      <c r="J12" s="943"/>
    </row>
    <row r="13" spans="1:10" ht="15" customHeight="1" x14ac:dyDescent="0.2">
      <c r="A13" s="115" t="s">
        <v>251</v>
      </c>
      <c r="B13" s="121"/>
      <c r="C13" s="117"/>
      <c r="D13" s="117"/>
      <c r="E13" s="117"/>
      <c r="F13" s="121"/>
      <c r="G13" s="117"/>
      <c r="H13" s="117"/>
      <c r="I13" s="118"/>
      <c r="J13" s="943"/>
    </row>
    <row r="14" spans="1:10" ht="15" customHeight="1" x14ac:dyDescent="0.2">
      <c r="A14" s="115" t="s">
        <v>252</v>
      </c>
      <c r="B14" s="122"/>
      <c r="C14" s="120"/>
      <c r="D14" s="120"/>
      <c r="E14" s="120"/>
      <c r="F14" s="121"/>
      <c r="G14" s="117"/>
      <c r="H14" s="117"/>
      <c r="I14" s="118"/>
      <c r="J14" s="943"/>
    </row>
    <row r="15" spans="1:10" ht="15" customHeight="1" x14ac:dyDescent="0.2">
      <c r="A15" s="115" t="s">
        <v>253</v>
      </c>
      <c r="B15" s="121"/>
      <c r="C15" s="117"/>
      <c r="D15" s="117"/>
      <c r="E15" s="117"/>
      <c r="F15" s="121"/>
      <c r="G15" s="117"/>
      <c r="H15" s="117"/>
      <c r="I15" s="118"/>
      <c r="J15" s="943"/>
    </row>
    <row r="16" spans="1:10" ht="15" customHeight="1" x14ac:dyDescent="0.2">
      <c r="A16" s="115" t="s">
        <v>254</v>
      </c>
      <c r="B16" s="121"/>
      <c r="C16" s="117"/>
      <c r="D16" s="117"/>
      <c r="E16" s="117"/>
      <c r="F16" s="121"/>
      <c r="G16" s="117"/>
      <c r="H16" s="117"/>
      <c r="I16" s="118"/>
      <c r="J16" s="943"/>
    </row>
    <row r="17" spans="1:10" ht="15" customHeight="1" thickBot="1" x14ac:dyDescent="0.25">
      <c r="A17" s="115" t="s">
        <v>255</v>
      </c>
      <c r="B17" s="123"/>
      <c r="C17" s="124"/>
      <c r="D17" s="124"/>
      <c r="E17" s="124"/>
      <c r="F17" s="121"/>
      <c r="G17" s="124"/>
      <c r="H17" s="124"/>
      <c r="I17" s="125"/>
      <c r="J17" s="943"/>
    </row>
    <row r="18" spans="1:10" ht="17.25" customHeight="1" thickBot="1" x14ac:dyDescent="0.25">
      <c r="A18" s="126" t="s">
        <v>256</v>
      </c>
      <c r="B18" s="127" t="s">
        <v>656</v>
      </c>
      <c r="C18" s="128">
        <f>SUM(C6:C17)</f>
        <v>2147394078</v>
      </c>
      <c r="D18" s="128">
        <f>SUM(D6:D17)-D8</f>
        <v>2311381078</v>
      </c>
      <c r="E18" s="128">
        <f>SUM(E6:E17)-E8</f>
        <v>2267226204</v>
      </c>
      <c r="F18" s="127" t="s">
        <v>657</v>
      </c>
      <c r="G18" s="128">
        <f>SUM(G6:G17)</f>
        <v>2300595374</v>
      </c>
      <c r="H18" s="128">
        <f>SUM(H6:H17)</f>
        <v>2508776722</v>
      </c>
      <c r="I18" s="128">
        <f>SUM(I6:I17)</f>
        <v>2320236612</v>
      </c>
      <c r="J18" s="943"/>
    </row>
    <row r="19" spans="1:10" ht="15" customHeight="1" x14ac:dyDescent="0.2">
      <c r="A19" s="796" t="s">
        <v>259</v>
      </c>
      <c r="B19" s="802" t="s">
        <v>658</v>
      </c>
      <c r="C19" s="803">
        <f>+C20+C21+C22+C23</f>
        <v>292999415</v>
      </c>
      <c r="D19" s="803">
        <f>+D20+D21+D22+D23</f>
        <v>292999415</v>
      </c>
      <c r="E19" s="804">
        <f>+E20+E21+E22+E23</f>
        <v>292999415</v>
      </c>
      <c r="F19" s="799" t="s">
        <v>201</v>
      </c>
      <c r="G19" s="131"/>
      <c r="H19" s="131"/>
      <c r="I19" s="131"/>
      <c r="J19" s="943"/>
    </row>
    <row r="20" spans="1:10" ht="15" customHeight="1" x14ac:dyDescent="0.2">
      <c r="A20" s="798" t="s">
        <v>260</v>
      </c>
      <c r="B20" s="130" t="s">
        <v>132</v>
      </c>
      <c r="C20" s="132">
        <v>292999415</v>
      </c>
      <c r="D20" s="132">
        <v>292999415</v>
      </c>
      <c r="E20" s="152">
        <v>292999415</v>
      </c>
      <c r="F20" s="799" t="s">
        <v>659</v>
      </c>
      <c r="G20" s="132">
        <v>100000000</v>
      </c>
      <c r="H20" s="132">
        <v>100000000</v>
      </c>
      <c r="I20" s="132"/>
      <c r="J20" s="943"/>
    </row>
    <row r="21" spans="1:10" ht="15" customHeight="1" x14ac:dyDescent="0.2">
      <c r="A21" s="798" t="s">
        <v>261</v>
      </c>
      <c r="B21" s="130" t="s">
        <v>133</v>
      </c>
      <c r="C21" s="132"/>
      <c r="D21" s="132"/>
      <c r="E21" s="152"/>
      <c r="F21" s="799" t="s">
        <v>363</v>
      </c>
      <c r="G21" s="132"/>
      <c r="H21" s="132"/>
      <c r="I21" s="132"/>
      <c r="J21" s="943"/>
    </row>
    <row r="22" spans="1:10" ht="15" customHeight="1" x14ac:dyDescent="0.2">
      <c r="A22" s="798" t="s">
        <v>262</v>
      </c>
      <c r="B22" s="130" t="s">
        <v>134</v>
      </c>
      <c r="C22" s="132"/>
      <c r="D22" s="132"/>
      <c r="E22" s="152"/>
      <c r="F22" s="799" t="s">
        <v>381</v>
      </c>
      <c r="G22" s="132"/>
      <c r="H22" s="132"/>
      <c r="I22" s="132"/>
      <c r="J22" s="943"/>
    </row>
    <row r="23" spans="1:10" ht="15" customHeight="1" x14ac:dyDescent="0.2">
      <c r="A23" s="798" t="s">
        <v>263</v>
      </c>
      <c r="B23" s="130" t="s">
        <v>135</v>
      </c>
      <c r="C23" s="132"/>
      <c r="D23" s="132"/>
      <c r="E23" s="152"/>
      <c r="F23" s="800" t="s">
        <v>136</v>
      </c>
      <c r="G23" s="132"/>
      <c r="H23" s="132"/>
      <c r="I23" s="132"/>
      <c r="J23" s="943"/>
    </row>
    <row r="24" spans="1:10" ht="15" customHeight="1" x14ac:dyDescent="0.2">
      <c r="A24" s="798" t="s">
        <v>264</v>
      </c>
      <c r="B24" s="130" t="s">
        <v>660</v>
      </c>
      <c r="C24" s="133">
        <f>+C25+C27</f>
        <v>100000000</v>
      </c>
      <c r="D24" s="133">
        <f>+D25+D27</f>
        <v>100000000</v>
      </c>
      <c r="E24" s="805">
        <f>+E25+E27+E26</f>
        <v>38167591</v>
      </c>
      <c r="F24" s="799" t="s">
        <v>202</v>
      </c>
      <c r="G24" s="132"/>
      <c r="H24" s="132"/>
      <c r="I24" s="132"/>
      <c r="J24" s="943"/>
    </row>
    <row r="25" spans="1:10" ht="15" customHeight="1" x14ac:dyDescent="0.2">
      <c r="A25" s="796" t="s">
        <v>265</v>
      </c>
      <c r="B25" s="130" t="s">
        <v>661</v>
      </c>
      <c r="C25" s="132">
        <v>100000000</v>
      </c>
      <c r="D25" s="132">
        <v>100000000</v>
      </c>
      <c r="E25" s="152"/>
      <c r="F25" s="797" t="s">
        <v>203</v>
      </c>
      <c r="G25" s="131"/>
      <c r="H25" s="131"/>
      <c r="I25" s="131"/>
      <c r="J25" s="943"/>
    </row>
    <row r="26" spans="1:10" ht="15" customHeight="1" x14ac:dyDescent="0.2">
      <c r="A26" s="796" t="s">
        <v>266</v>
      </c>
      <c r="B26" s="130" t="s">
        <v>498</v>
      </c>
      <c r="C26" s="132"/>
      <c r="D26" s="132">
        <v>38167591</v>
      </c>
      <c r="E26" s="152">
        <v>38167591</v>
      </c>
      <c r="F26" s="797"/>
      <c r="G26" s="131"/>
      <c r="H26" s="131"/>
      <c r="I26" s="131"/>
      <c r="J26" s="943"/>
    </row>
    <row r="27" spans="1:10" ht="15" customHeight="1" thickBot="1" x14ac:dyDescent="0.25">
      <c r="A27" s="798" t="s">
        <v>267</v>
      </c>
      <c r="B27" s="806" t="s">
        <v>212</v>
      </c>
      <c r="C27" s="309"/>
      <c r="D27" s="309"/>
      <c r="E27" s="807"/>
      <c r="F27" s="801" t="s">
        <v>211</v>
      </c>
      <c r="G27" s="132">
        <v>35164932</v>
      </c>
      <c r="H27" s="132">
        <v>35164932</v>
      </c>
      <c r="I27" s="132">
        <v>35164932</v>
      </c>
      <c r="J27" s="943"/>
    </row>
    <row r="28" spans="1:10" ht="17.25" customHeight="1" thickBot="1" x14ac:dyDescent="0.25">
      <c r="A28" s="126" t="s">
        <v>268</v>
      </c>
      <c r="B28" s="127" t="s">
        <v>662</v>
      </c>
      <c r="C28" s="128">
        <f>+C19+C24</f>
        <v>392999415</v>
      </c>
      <c r="D28" s="128">
        <f>+D19+D24+D26</f>
        <v>431167006</v>
      </c>
      <c r="E28" s="128">
        <f>+E19+E24</f>
        <v>331167006</v>
      </c>
      <c r="F28" s="127" t="s">
        <v>663</v>
      </c>
      <c r="G28" s="128">
        <f>SUM(G19:G27)</f>
        <v>135164932</v>
      </c>
      <c r="H28" s="128">
        <f>SUM(H19:H27)</f>
        <v>135164932</v>
      </c>
      <c r="I28" s="128">
        <f>SUM(I19:I27)</f>
        <v>35164932</v>
      </c>
      <c r="J28" s="943"/>
    </row>
    <row r="29" spans="1:10" ht="13.5" thickBot="1" x14ac:dyDescent="0.25">
      <c r="A29" s="126" t="s">
        <v>269</v>
      </c>
      <c r="B29" s="134" t="s">
        <v>664</v>
      </c>
      <c r="C29" s="135">
        <f>+C18+C28</f>
        <v>2540393493</v>
      </c>
      <c r="D29" s="135">
        <f>+D18+D28</f>
        <v>2742548084</v>
      </c>
      <c r="E29" s="136">
        <f>+E18+E28</f>
        <v>2598393210</v>
      </c>
      <c r="F29" s="134" t="s">
        <v>665</v>
      </c>
      <c r="G29" s="135">
        <f>+G18+G28</f>
        <v>2435760306</v>
      </c>
      <c r="H29" s="135">
        <f>+H18+H28</f>
        <v>2643941654</v>
      </c>
      <c r="I29" s="135">
        <f>+I18+I28</f>
        <v>2355401544</v>
      </c>
      <c r="J29" s="943"/>
    </row>
    <row r="30" spans="1:10" ht="17.25" customHeight="1" thickBot="1" x14ac:dyDescent="0.25">
      <c r="A30" s="126" t="s">
        <v>270</v>
      </c>
      <c r="B30" s="134" t="s">
        <v>137</v>
      </c>
      <c r="C30" s="135">
        <f>IF(C18-G18&lt;0,G18-C18,"-")</f>
        <v>153201296</v>
      </c>
      <c r="D30" s="135">
        <f>IF(D18-H18&lt;0,H18-D18,"-")</f>
        <v>197395644</v>
      </c>
      <c r="E30" s="136">
        <f>IF(E18-I18&lt;0,I18-E18,"-")</f>
        <v>53010408</v>
      </c>
      <c r="F30" s="134" t="s">
        <v>138</v>
      </c>
      <c r="G30" s="135" t="str">
        <f>IF(C18-G18&gt;0,C18-G18,"-")</f>
        <v>-</v>
      </c>
      <c r="H30" s="135" t="str">
        <f>IF(D18-H18&gt;0,D18-H18,"-")</f>
        <v>-</v>
      </c>
      <c r="I30" s="135" t="str">
        <f>IF(E18-I18&gt;0,E18-I18,"-")</f>
        <v>-</v>
      </c>
      <c r="J30" s="943"/>
    </row>
    <row r="31" spans="1:10" ht="17.25" customHeight="1" thickBot="1" x14ac:dyDescent="0.25">
      <c r="A31" s="126" t="s">
        <v>271</v>
      </c>
      <c r="B31" s="134" t="s">
        <v>139</v>
      </c>
      <c r="C31" s="135" t="str">
        <f>IF(C29-G29&lt;0,G29-C29,"-")</f>
        <v>-</v>
      </c>
      <c r="D31" s="135" t="str">
        <f>IF(D29-H29&lt;0,H29-D29,"-")</f>
        <v>-</v>
      </c>
      <c r="E31" s="136" t="str">
        <f>IF(E29-I29&lt;0,I29-E29,"-")</f>
        <v>-</v>
      </c>
      <c r="F31" s="134" t="s">
        <v>140</v>
      </c>
      <c r="G31" s="135">
        <f>IF(C29-G29&gt;0,C29-G29,"-")</f>
        <v>104633187</v>
      </c>
      <c r="H31" s="135">
        <f>IF(D29-H29&gt;0,D29-H29,"-")</f>
        <v>98606430</v>
      </c>
      <c r="I31" s="135">
        <f>IF(E29-I29&gt;0,E29-I29,"-")</f>
        <v>242991666</v>
      </c>
      <c r="J31" s="943"/>
    </row>
  </sheetData>
  <mergeCells count="2">
    <mergeCell ref="A3:A4"/>
    <mergeCell ref="J1:J31"/>
  </mergeCells>
  <phoneticPr fontId="21" type="noConversion"/>
  <printOptions horizontalCentered="1"/>
  <pageMargins left="0.33" right="0.48" top="0.9055118110236221" bottom="0.5" header="0.6692913385826772" footer="0.28000000000000003"/>
  <pageSetup paperSize="9" scale="70" orientation="landscape" verticalDpi="300" r:id="rId1"/>
  <headerFooter alignWithMargins="0">
    <oddHeader xml:space="preserve">&amp;R&amp;"Times New Roman CE,Félkövér dőlt"&amp;11 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E58"/>
  <sheetViews>
    <sheetView zoomScaleNormal="100" zoomScaleSheetLayoutView="145" workbookViewId="0">
      <selection activeCell="E1" sqref="E1"/>
    </sheetView>
  </sheetViews>
  <sheetFormatPr defaultColWidth="8" defaultRowHeight="12.75" x14ac:dyDescent="0.2"/>
  <cols>
    <col min="1" max="1" width="16" style="317" customWidth="1"/>
    <col min="2" max="2" width="53.140625" style="239" customWidth="1"/>
    <col min="3" max="5" width="13.5703125" style="239" customWidth="1"/>
    <col min="6" max="16384" width="8" style="239"/>
  </cols>
  <sheetData>
    <row r="1" spans="1:5" s="228" customFormat="1" ht="21" customHeight="1" thickBot="1" x14ac:dyDescent="0.25">
      <c r="A1" s="224"/>
      <c r="B1" s="225"/>
      <c r="C1" s="226"/>
      <c r="D1" s="226"/>
      <c r="E1" s="288" t="s">
        <v>942</v>
      </c>
    </row>
    <row r="2" spans="1:5" s="231" customFormat="1" ht="25.5" customHeight="1" x14ac:dyDescent="0.2">
      <c r="A2" s="229" t="s">
        <v>708</v>
      </c>
      <c r="B2" s="983" t="s">
        <v>200</v>
      </c>
      <c r="C2" s="984"/>
      <c r="D2" s="985"/>
      <c r="E2" s="289" t="s">
        <v>735</v>
      </c>
    </row>
    <row r="3" spans="1:5" s="231" customFormat="1" ht="24.75" thickBot="1" x14ac:dyDescent="0.25">
      <c r="A3" s="232" t="s">
        <v>736</v>
      </c>
      <c r="B3" s="986" t="s">
        <v>694</v>
      </c>
      <c r="C3" s="989"/>
      <c r="D3" s="990"/>
      <c r="E3" s="290" t="s">
        <v>692</v>
      </c>
    </row>
    <row r="4" spans="1:5" s="236" customFormat="1" ht="15.95" customHeight="1" thickBot="1" x14ac:dyDescent="0.3">
      <c r="A4" s="234"/>
      <c r="B4" s="234"/>
      <c r="C4" s="235"/>
      <c r="D4" s="235"/>
      <c r="E4" s="235" t="s">
        <v>501</v>
      </c>
    </row>
    <row r="5" spans="1:5" ht="24.75" thickBot="1" x14ac:dyDescent="0.25">
      <c r="A5" s="834" t="s">
        <v>695</v>
      </c>
      <c r="B5" s="835" t="s">
        <v>696</v>
      </c>
      <c r="C5" s="237" t="s">
        <v>455</v>
      </c>
      <c r="D5" s="237" t="s">
        <v>456</v>
      </c>
      <c r="E5" s="238" t="s">
        <v>228</v>
      </c>
    </row>
    <row r="6" spans="1:5" s="244" customFormat="1" ht="12.95" customHeight="1" thickBot="1" x14ac:dyDescent="0.25">
      <c r="A6" s="240" t="s">
        <v>457</v>
      </c>
      <c r="B6" s="241" t="s">
        <v>458</v>
      </c>
      <c r="C6" s="241" t="s">
        <v>459</v>
      </c>
      <c r="D6" s="242" t="s">
        <v>460</v>
      </c>
      <c r="E6" s="243" t="s">
        <v>461</v>
      </c>
    </row>
    <row r="7" spans="1:5" s="244" customFormat="1" ht="15.95" customHeight="1" thickBot="1" x14ac:dyDescent="0.25">
      <c r="A7" s="980" t="s">
        <v>129</v>
      </c>
      <c r="B7" s="981"/>
      <c r="C7" s="981"/>
      <c r="D7" s="981"/>
      <c r="E7" s="982"/>
    </row>
    <row r="8" spans="1:5" s="246" customFormat="1" ht="12" customHeight="1" thickBot="1" x14ac:dyDescent="0.25">
      <c r="A8" s="240" t="s">
        <v>235</v>
      </c>
      <c r="B8" s="291" t="s">
        <v>711</v>
      </c>
      <c r="C8" s="128">
        <f>SUM(C9:C18)</f>
        <v>4175872</v>
      </c>
      <c r="D8" s="320">
        <f>SUM(D9:D18)</f>
        <v>4095774</v>
      </c>
      <c r="E8" s="292">
        <f>SUM(E9:E18)</f>
        <v>3749495</v>
      </c>
    </row>
    <row r="9" spans="1:5" s="246" customFormat="1" ht="12" customHeight="1" x14ac:dyDescent="0.2">
      <c r="A9" s="293" t="s">
        <v>340</v>
      </c>
      <c r="B9" s="14" t="s">
        <v>496</v>
      </c>
      <c r="C9" s="294"/>
      <c r="D9" s="321"/>
      <c r="E9" s="295"/>
    </row>
    <row r="10" spans="1:5" s="246" customFormat="1" ht="12" customHeight="1" x14ac:dyDescent="0.2">
      <c r="A10" s="296" t="s">
        <v>342</v>
      </c>
      <c r="B10" s="9" t="s">
        <v>509</v>
      </c>
      <c r="C10" s="117">
        <v>1416800</v>
      </c>
      <c r="D10" s="322">
        <v>2410400</v>
      </c>
      <c r="E10" s="144">
        <v>2175107</v>
      </c>
    </row>
    <row r="11" spans="1:5" s="246" customFormat="1" ht="12" customHeight="1" x14ac:dyDescent="0.2">
      <c r="A11" s="296" t="s">
        <v>343</v>
      </c>
      <c r="B11" s="9" t="s">
        <v>510</v>
      </c>
      <c r="C11" s="117"/>
      <c r="D11" s="322"/>
      <c r="E11" s="144"/>
    </row>
    <row r="12" spans="1:5" s="246" customFormat="1" ht="12" customHeight="1" x14ac:dyDescent="0.2">
      <c r="A12" s="296" t="s">
        <v>345</v>
      </c>
      <c r="B12" s="9" t="s">
        <v>511</v>
      </c>
      <c r="C12" s="117"/>
      <c r="D12" s="322"/>
      <c r="E12" s="144"/>
    </row>
    <row r="13" spans="1:5" s="246" customFormat="1" ht="12" customHeight="1" x14ac:dyDescent="0.2">
      <c r="A13" s="296" t="s">
        <v>468</v>
      </c>
      <c r="B13" s="9" t="s">
        <v>512</v>
      </c>
      <c r="C13" s="117">
        <v>1871280</v>
      </c>
      <c r="D13" s="322">
        <v>656880</v>
      </c>
      <c r="E13" s="144">
        <v>618817</v>
      </c>
    </row>
    <row r="14" spans="1:5" s="246" customFormat="1" ht="12" customHeight="1" x14ac:dyDescent="0.2">
      <c r="A14" s="296" t="s">
        <v>347</v>
      </c>
      <c r="B14" s="9" t="s">
        <v>712</v>
      </c>
      <c r="C14" s="117">
        <v>887792</v>
      </c>
      <c r="D14" s="322">
        <v>827289</v>
      </c>
      <c r="E14" s="144">
        <v>754366</v>
      </c>
    </row>
    <row r="15" spans="1:5" s="248" customFormat="1" ht="12" customHeight="1" x14ac:dyDescent="0.2">
      <c r="A15" s="296" t="s">
        <v>348</v>
      </c>
      <c r="B15" s="7" t="s">
        <v>713</v>
      </c>
      <c r="C15" s="117"/>
      <c r="D15" s="322"/>
      <c r="E15" s="144"/>
    </row>
    <row r="16" spans="1:5" s="248" customFormat="1" ht="12" customHeight="1" x14ac:dyDescent="0.2">
      <c r="A16" s="296" t="s">
        <v>349</v>
      </c>
      <c r="B16" s="9" t="s">
        <v>515</v>
      </c>
      <c r="C16" s="297"/>
      <c r="D16" s="323">
        <v>12</v>
      </c>
      <c r="E16" s="298">
        <v>12</v>
      </c>
    </row>
    <row r="17" spans="1:5" s="246" customFormat="1" ht="12" customHeight="1" x14ac:dyDescent="0.2">
      <c r="A17" s="296" t="s">
        <v>350</v>
      </c>
      <c r="B17" s="9" t="s">
        <v>517</v>
      </c>
      <c r="C17" s="117"/>
      <c r="D17" s="322"/>
      <c r="E17" s="144"/>
    </row>
    <row r="18" spans="1:5" s="248" customFormat="1" ht="12" customHeight="1" thickBot="1" x14ac:dyDescent="0.25">
      <c r="A18" s="296" t="s">
        <v>351</v>
      </c>
      <c r="B18" s="7" t="s">
        <v>519</v>
      </c>
      <c r="C18" s="124"/>
      <c r="D18" s="324">
        <v>201193</v>
      </c>
      <c r="E18" s="299">
        <v>201193</v>
      </c>
    </row>
    <row r="19" spans="1:5" s="248" customFormat="1" ht="12" customHeight="1" thickBot="1" x14ac:dyDescent="0.25">
      <c r="A19" s="240" t="s">
        <v>243</v>
      </c>
      <c r="B19" s="291" t="s">
        <v>714</v>
      </c>
      <c r="C19" s="128">
        <f>SUM(C20:C22)</f>
        <v>0</v>
      </c>
      <c r="D19" s="320">
        <f>SUM(D20:D22)</f>
        <v>0</v>
      </c>
      <c r="E19" s="292">
        <f>SUM(E20:E22)</f>
        <v>0</v>
      </c>
    </row>
    <row r="20" spans="1:5" s="248" customFormat="1" ht="12" customHeight="1" x14ac:dyDescent="0.2">
      <c r="A20" s="296" t="s">
        <v>354</v>
      </c>
      <c r="B20" s="11" t="s">
        <v>472</v>
      </c>
      <c r="C20" s="117"/>
      <c r="D20" s="322"/>
      <c r="E20" s="144"/>
    </row>
    <row r="21" spans="1:5" s="248" customFormat="1" ht="12" customHeight="1" x14ac:dyDescent="0.2">
      <c r="A21" s="296" t="s">
        <v>355</v>
      </c>
      <c r="B21" s="9" t="s">
        <v>715</v>
      </c>
      <c r="C21" s="117"/>
      <c r="D21" s="322"/>
      <c r="E21" s="144"/>
    </row>
    <row r="22" spans="1:5" s="248" customFormat="1" ht="12" customHeight="1" x14ac:dyDescent="0.2">
      <c r="A22" s="296" t="s">
        <v>356</v>
      </c>
      <c r="B22" s="9" t="s">
        <v>716</v>
      </c>
      <c r="C22" s="117"/>
      <c r="D22" s="322"/>
      <c r="E22" s="144"/>
    </row>
    <row r="23" spans="1:5" s="246" customFormat="1" ht="12" customHeight="1" thickBot="1" x14ac:dyDescent="0.25">
      <c r="A23" s="296" t="s">
        <v>357</v>
      </c>
      <c r="B23" s="9" t="s">
        <v>737</v>
      </c>
      <c r="C23" s="117"/>
      <c r="D23" s="322"/>
      <c r="E23" s="144"/>
    </row>
    <row r="24" spans="1:5" s="246" customFormat="1" ht="12" customHeight="1" thickBot="1" x14ac:dyDescent="0.25">
      <c r="A24" s="300" t="s">
        <v>244</v>
      </c>
      <c r="B24" s="82" t="s">
        <v>313</v>
      </c>
      <c r="C24" s="301"/>
      <c r="D24" s="325"/>
      <c r="E24" s="302"/>
    </row>
    <row r="25" spans="1:5" s="246" customFormat="1" ht="12" customHeight="1" thickBot="1" x14ac:dyDescent="0.25">
      <c r="A25" s="300" t="s">
        <v>245</v>
      </c>
      <c r="B25" s="82" t="s">
        <v>718</v>
      </c>
      <c r="C25" s="128">
        <f>+C26+C27</f>
        <v>0</v>
      </c>
      <c r="D25" s="320">
        <f>+D26+D27</f>
        <v>0</v>
      </c>
      <c r="E25" s="292">
        <f>+E26+E27</f>
        <v>0</v>
      </c>
    </row>
    <row r="26" spans="1:5" s="246" customFormat="1" ht="12" customHeight="1" x14ac:dyDescent="0.2">
      <c r="A26" s="303" t="s">
        <v>327</v>
      </c>
      <c r="B26" s="304" t="s">
        <v>715</v>
      </c>
      <c r="C26" s="149"/>
      <c r="D26" s="326"/>
      <c r="E26" s="305"/>
    </row>
    <row r="27" spans="1:5" s="246" customFormat="1" ht="12" customHeight="1" x14ac:dyDescent="0.2">
      <c r="A27" s="303" t="s">
        <v>328</v>
      </c>
      <c r="B27" s="306" t="s">
        <v>719</v>
      </c>
      <c r="C27" s="131"/>
      <c r="D27" s="327"/>
      <c r="E27" s="307"/>
    </row>
    <row r="28" spans="1:5" s="246" customFormat="1" ht="12" customHeight="1" thickBot="1" x14ac:dyDescent="0.25">
      <c r="A28" s="296" t="s">
        <v>492</v>
      </c>
      <c r="B28" s="308" t="s">
        <v>738</v>
      </c>
      <c r="C28" s="309"/>
      <c r="D28" s="328"/>
      <c r="E28" s="310"/>
    </row>
    <row r="29" spans="1:5" s="246" customFormat="1" ht="12" customHeight="1" thickBot="1" x14ac:dyDescent="0.25">
      <c r="A29" s="300" t="s">
        <v>246</v>
      </c>
      <c r="B29" s="82" t="s">
        <v>721</v>
      </c>
      <c r="C29" s="128">
        <f>+C30+C31+C32</f>
        <v>0</v>
      </c>
      <c r="D29" s="320">
        <f>+D30+D31+D32</f>
        <v>0</v>
      </c>
      <c r="E29" s="292">
        <f>+E30+E31+E32</f>
        <v>0</v>
      </c>
    </row>
    <row r="30" spans="1:5" s="246" customFormat="1" ht="12" customHeight="1" x14ac:dyDescent="0.2">
      <c r="A30" s="303" t="s">
        <v>329</v>
      </c>
      <c r="B30" s="304" t="s">
        <v>521</v>
      </c>
      <c r="C30" s="149"/>
      <c r="D30" s="326"/>
      <c r="E30" s="305"/>
    </row>
    <row r="31" spans="1:5" s="246" customFormat="1" ht="12" customHeight="1" x14ac:dyDescent="0.2">
      <c r="A31" s="303" t="s">
        <v>330</v>
      </c>
      <c r="B31" s="306" t="s">
        <v>206</v>
      </c>
      <c r="C31" s="131"/>
      <c r="D31" s="327"/>
      <c r="E31" s="307"/>
    </row>
    <row r="32" spans="1:5" s="246" customFormat="1" ht="12" customHeight="1" thickBot="1" x14ac:dyDescent="0.25">
      <c r="A32" s="296" t="s">
        <v>331</v>
      </c>
      <c r="B32" s="311" t="s">
        <v>523</v>
      </c>
      <c r="C32" s="309"/>
      <c r="D32" s="328"/>
      <c r="E32" s="310"/>
    </row>
    <row r="33" spans="1:5" s="246" customFormat="1" ht="12" customHeight="1" thickBot="1" x14ac:dyDescent="0.25">
      <c r="A33" s="300" t="s">
        <v>249</v>
      </c>
      <c r="B33" s="82" t="s">
        <v>655</v>
      </c>
      <c r="C33" s="301">
        <v>0</v>
      </c>
      <c r="D33" s="325"/>
      <c r="E33" s="302"/>
    </row>
    <row r="34" spans="1:5" s="246" customFormat="1" ht="12" customHeight="1" thickBot="1" x14ac:dyDescent="0.25">
      <c r="A34" s="300" t="s">
        <v>250</v>
      </c>
      <c r="B34" s="82" t="s">
        <v>722</v>
      </c>
      <c r="C34" s="301"/>
      <c r="D34" s="325">
        <v>200000</v>
      </c>
      <c r="E34" s="302">
        <v>200000</v>
      </c>
    </row>
    <row r="35" spans="1:5" s="246" customFormat="1" ht="12" customHeight="1" thickBot="1" x14ac:dyDescent="0.25">
      <c r="A35" s="240" t="s">
        <v>251</v>
      </c>
      <c r="B35" s="82" t="s">
        <v>739</v>
      </c>
      <c r="C35" s="128">
        <f>+C8+C19+C24+C25+C29+C33+C34</f>
        <v>4175872</v>
      </c>
      <c r="D35" s="320">
        <f>+D8+D19+D24+D25+D29+D33+D34</f>
        <v>4295774</v>
      </c>
      <c r="E35" s="292">
        <f>+E8+E19+E24+E25+E29+E33+E34</f>
        <v>3949495</v>
      </c>
    </row>
    <row r="36" spans="1:5" s="248" customFormat="1" ht="12" customHeight="1" thickBot="1" x14ac:dyDescent="0.25">
      <c r="A36" s="312" t="s">
        <v>252</v>
      </c>
      <c r="B36" s="82" t="s">
        <v>724</v>
      </c>
      <c r="C36" s="128">
        <f>+C37+C38+C39</f>
        <v>69138181</v>
      </c>
      <c r="D36" s="320">
        <f>+D37+D38+D39</f>
        <v>75832192</v>
      </c>
      <c r="E36" s="292">
        <f>+E37+E38+E39</f>
        <v>74436173</v>
      </c>
    </row>
    <row r="37" spans="1:5" s="248" customFormat="1" ht="15" customHeight="1" x14ac:dyDescent="0.2">
      <c r="A37" s="303" t="s">
        <v>725</v>
      </c>
      <c r="B37" s="304" t="s">
        <v>145</v>
      </c>
      <c r="C37" s="149">
        <v>66655</v>
      </c>
      <c r="D37" s="326">
        <v>66655</v>
      </c>
      <c r="E37" s="305">
        <v>66655</v>
      </c>
    </row>
    <row r="38" spans="1:5" s="248" customFormat="1" ht="15" customHeight="1" x14ac:dyDescent="0.2">
      <c r="A38" s="303" t="s">
        <v>726</v>
      </c>
      <c r="B38" s="306" t="s">
        <v>448</v>
      </c>
      <c r="C38" s="131"/>
      <c r="D38" s="327"/>
      <c r="E38" s="307"/>
    </row>
    <row r="39" spans="1:5" ht="13.5" thickBot="1" x14ac:dyDescent="0.25">
      <c r="A39" s="296" t="s">
        <v>727</v>
      </c>
      <c r="B39" s="311" t="s">
        <v>728</v>
      </c>
      <c r="C39" s="309">
        <v>69071526</v>
      </c>
      <c r="D39" s="328">
        <v>75765537</v>
      </c>
      <c r="E39" s="310">
        <v>74369518</v>
      </c>
    </row>
    <row r="40" spans="1:5" s="244" customFormat="1" ht="16.5" customHeight="1" thickBot="1" x14ac:dyDescent="0.25">
      <c r="A40" s="312" t="s">
        <v>253</v>
      </c>
      <c r="B40" s="313" t="s">
        <v>729</v>
      </c>
      <c r="C40" s="314">
        <f>+C35+C36</f>
        <v>73314053</v>
      </c>
      <c r="D40" s="329">
        <f>+D35+D36</f>
        <v>80127966</v>
      </c>
      <c r="E40" s="315">
        <f>+E35+E36</f>
        <v>78385668</v>
      </c>
    </row>
    <row r="41" spans="1:5" s="266" customFormat="1" ht="12" customHeight="1" x14ac:dyDescent="0.2">
      <c r="A41" s="258"/>
      <c r="B41" s="259"/>
      <c r="C41" s="260"/>
      <c r="D41" s="260"/>
      <c r="E41" s="260"/>
    </row>
    <row r="42" spans="1:5" ht="12" customHeight="1" thickBot="1" x14ac:dyDescent="0.25">
      <c r="A42" s="261"/>
      <c r="B42" s="262"/>
      <c r="C42" s="263"/>
      <c r="D42" s="263"/>
      <c r="E42" s="263"/>
    </row>
    <row r="43" spans="1:5" ht="12" customHeight="1" thickBot="1" x14ac:dyDescent="0.25">
      <c r="A43" s="980" t="s">
        <v>130</v>
      </c>
      <c r="B43" s="981"/>
      <c r="C43" s="981"/>
      <c r="D43" s="981"/>
      <c r="E43" s="982"/>
    </row>
    <row r="44" spans="1:5" ht="12" customHeight="1" thickBot="1" x14ac:dyDescent="0.25">
      <c r="A44" s="300" t="s">
        <v>235</v>
      </c>
      <c r="B44" s="82" t="s">
        <v>730</v>
      </c>
      <c r="C44" s="128">
        <f>SUM(C45:C49)</f>
        <v>72964053</v>
      </c>
      <c r="D44" s="128">
        <f>SUM(D45:D49)</f>
        <v>79438466</v>
      </c>
      <c r="E44" s="292">
        <f>SUM(E45:E49)</f>
        <v>77604882</v>
      </c>
    </row>
    <row r="45" spans="1:5" ht="12" customHeight="1" x14ac:dyDescent="0.2">
      <c r="A45" s="296" t="s">
        <v>340</v>
      </c>
      <c r="B45" s="11" t="s">
        <v>341</v>
      </c>
      <c r="C45" s="74">
        <v>49257950</v>
      </c>
      <c r="D45" s="74">
        <v>50892662</v>
      </c>
      <c r="E45" s="75">
        <v>50598702</v>
      </c>
    </row>
    <row r="46" spans="1:5" ht="12" customHeight="1" x14ac:dyDescent="0.2">
      <c r="A46" s="296"/>
      <c r="B46" s="9" t="s">
        <v>449</v>
      </c>
      <c r="C46" s="39">
        <v>11047568</v>
      </c>
      <c r="D46" s="39">
        <v>11401925</v>
      </c>
      <c r="E46" s="40">
        <v>11330893</v>
      </c>
    </row>
    <row r="47" spans="1:5" ht="12" customHeight="1" x14ac:dyDescent="0.2">
      <c r="A47" s="296" t="s">
        <v>343</v>
      </c>
      <c r="B47" s="9" t="s">
        <v>344</v>
      </c>
      <c r="C47" s="42">
        <v>12658535</v>
      </c>
      <c r="D47" s="42">
        <v>17143879</v>
      </c>
      <c r="E47" s="43">
        <v>15675287</v>
      </c>
    </row>
    <row r="48" spans="1:5" s="266" customFormat="1" ht="12" customHeight="1" x14ac:dyDescent="0.2">
      <c r="A48" s="296" t="s">
        <v>345</v>
      </c>
      <c r="B48" s="9" t="s">
        <v>450</v>
      </c>
      <c r="C48" s="132"/>
      <c r="D48" s="132"/>
      <c r="E48" s="567"/>
    </row>
    <row r="49" spans="1:5" ht="12" customHeight="1" thickBot="1" x14ac:dyDescent="0.25">
      <c r="A49" s="296" t="s">
        <v>468</v>
      </c>
      <c r="B49" s="9" t="s">
        <v>451</v>
      </c>
      <c r="C49" s="132"/>
      <c r="D49" s="132"/>
      <c r="E49" s="567"/>
    </row>
    <row r="50" spans="1:5" ht="12" customHeight="1" thickBot="1" x14ac:dyDescent="0.25">
      <c r="A50" s="300" t="s">
        <v>243</v>
      </c>
      <c r="B50" s="82" t="s">
        <v>731</v>
      </c>
      <c r="C50" s="128">
        <f>SUM(C51:C53)</f>
        <v>350000</v>
      </c>
      <c r="D50" s="128">
        <f>SUM(D51:D53)</f>
        <v>689500</v>
      </c>
      <c r="E50" s="292">
        <f>SUM(E51:E53)</f>
        <v>687147</v>
      </c>
    </row>
    <row r="51" spans="1:5" ht="12" customHeight="1" x14ac:dyDescent="0.2">
      <c r="A51" s="296" t="s">
        <v>354</v>
      </c>
      <c r="B51" s="11" t="s">
        <v>142</v>
      </c>
      <c r="C51" s="149">
        <v>350000</v>
      </c>
      <c r="D51" s="149">
        <v>689500</v>
      </c>
      <c r="E51" s="305">
        <v>687147</v>
      </c>
    </row>
    <row r="52" spans="1:5" ht="12" customHeight="1" x14ac:dyDescent="0.2">
      <c r="A52" s="296" t="s">
        <v>355</v>
      </c>
      <c r="B52" s="9" t="s">
        <v>232</v>
      </c>
      <c r="C52" s="132"/>
      <c r="D52" s="132"/>
      <c r="E52" s="567"/>
    </row>
    <row r="53" spans="1:5" ht="15" customHeight="1" x14ac:dyDescent="0.2">
      <c r="A53" s="296" t="s">
        <v>356</v>
      </c>
      <c r="B53" s="9" t="s">
        <v>732</v>
      </c>
      <c r="C53" s="132"/>
      <c r="D53" s="132"/>
      <c r="E53" s="567"/>
    </row>
    <row r="54" spans="1:5" ht="23.25" thickBot="1" x14ac:dyDescent="0.25">
      <c r="A54" s="296" t="s">
        <v>357</v>
      </c>
      <c r="B54" s="9" t="s">
        <v>740</v>
      </c>
      <c r="C54" s="132"/>
      <c r="D54" s="132"/>
      <c r="E54" s="567"/>
    </row>
    <row r="55" spans="1:5" ht="15" customHeight="1" thickBot="1" x14ac:dyDescent="0.25">
      <c r="A55" s="300" t="s">
        <v>244</v>
      </c>
      <c r="B55" s="316" t="s">
        <v>734</v>
      </c>
      <c r="C55" s="314">
        <f>+C44+C50</f>
        <v>73314053</v>
      </c>
      <c r="D55" s="314">
        <f>+D44+D50</f>
        <v>80127966</v>
      </c>
      <c r="E55" s="315">
        <f>+E44+E50</f>
        <v>78292029</v>
      </c>
    </row>
    <row r="56" spans="1:5" ht="13.5" thickBot="1" x14ac:dyDescent="0.25">
      <c r="C56" s="318"/>
      <c r="D56" s="318"/>
      <c r="E56" s="318"/>
    </row>
    <row r="57" spans="1:5" ht="13.5" thickBot="1" x14ac:dyDescent="0.25">
      <c r="A57" s="283" t="s">
        <v>706</v>
      </c>
      <c r="B57" s="284"/>
      <c r="C57" s="285">
        <v>20</v>
      </c>
      <c r="D57" s="285">
        <v>21</v>
      </c>
      <c r="E57" s="319">
        <v>21</v>
      </c>
    </row>
    <row r="58" spans="1:5" ht="13.5" thickBot="1" x14ac:dyDescent="0.25">
      <c r="A58" s="283" t="s">
        <v>707</v>
      </c>
      <c r="B58" s="284"/>
      <c r="C58" s="285">
        <v>0</v>
      </c>
      <c r="D58" s="285">
        <v>0</v>
      </c>
      <c r="E58" s="319">
        <v>0</v>
      </c>
    </row>
  </sheetData>
  <sheetProtection formatCells="0"/>
  <mergeCells count="4">
    <mergeCell ref="B2:D2"/>
    <mergeCell ref="B3:D3"/>
    <mergeCell ref="A7:E7"/>
    <mergeCell ref="A43:E43"/>
  </mergeCells>
  <printOptions horizontalCentered="1"/>
  <pageMargins left="0.78740157480314965" right="0.78740157480314965" top="0.98425196850393704" bottom="0.98425196850393704" header="0.78740157480314965" footer="0.78740157480314965"/>
  <pageSetup paperSize="9" scale="74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H38"/>
  <sheetViews>
    <sheetView view="pageLayout" zoomScaleNormal="100" workbookViewId="0">
      <selection activeCell="H3" sqref="H3"/>
    </sheetView>
  </sheetViews>
  <sheetFormatPr defaultColWidth="8" defaultRowHeight="12.75" x14ac:dyDescent="0.2"/>
  <cols>
    <col min="1" max="1" width="6" style="330" customWidth="1"/>
    <col min="2" max="2" width="27.7109375" style="239" customWidth="1"/>
    <col min="3" max="3" width="11.85546875" style="239" customWidth="1"/>
    <col min="4" max="6" width="10.140625" style="239" customWidth="1"/>
    <col min="7" max="7" width="11" style="239" customWidth="1"/>
    <col min="8" max="16384" width="8" style="239"/>
  </cols>
  <sheetData>
    <row r="1" spans="1:8" ht="14.25" thickBot="1" x14ac:dyDescent="0.25">
      <c r="G1" s="97" t="s">
        <v>500</v>
      </c>
    </row>
    <row r="2" spans="1:8" ht="17.25" customHeight="1" thickBot="1" x14ac:dyDescent="0.25">
      <c r="A2" s="999" t="s">
        <v>320</v>
      </c>
      <c r="B2" s="1001" t="s">
        <v>741</v>
      </c>
      <c r="C2" s="1001" t="s">
        <v>742</v>
      </c>
      <c r="D2" s="1001" t="s">
        <v>743</v>
      </c>
      <c r="E2" s="995" t="s">
        <v>744</v>
      </c>
      <c r="F2" s="995"/>
      <c r="G2" s="996"/>
    </row>
    <row r="3" spans="1:8" s="333" customFormat="1" ht="57.75" customHeight="1" thickBot="1" x14ac:dyDescent="0.25">
      <c r="A3" s="1000"/>
      <c r="B3" s="1002"/>
      <c r="C3" s="1002"/>
      <c r="D3" s="1002"/>
      <c r="E3" s="331" t="s">
        <v>745</v>
      </c>
      <c r="F3" s="331" t="s">
        <v>746</v>
      </c>
      <c r="G3" s="332" t="s">
        <v>747</v>
      </c>
    </row>
    <row r="4" spans="1:8" s="266" customFormat="1" ht="15" customHeight="1" thickBot="1" x14ac:dyDescent="0.25">
      <c r="A4" s="240" t="s">
        <v>457</v>
      </c>
      <c r="B4" s="241" t="s">
        <v>458</v>
      </c>
      <c r="C4" s="241" t="s">
        <v>459</v>
      </c>
      <c r="D4" s="241" t="s">
        <v>460</v>
      </c>
      <c r="E4" s="241" t="s">
        <v>748</v>
      </c>
      <c r="F4" s="241" t="s">
        <v>649</v>
      </c>
      <c r="G4" s="334" t="s">
        <v>650</v>
      </c>
    </row>
    <row r="5" spans="1:8" ht="15" customHeight="1" x14ac:dyDescent="0.2">
      <c r="A5" s="335" t="s">
        <v>235</v>
      </c>
      <c r="B5" s="336" t="s">
        <v>233</v>
      </c>
      <c r="C5" s="337">
        <v>1426020</v>
      </c>
      <c r="D5" s="337"/>
      <c r="E5" s="338">
        <f t="shared" ref="E5:E11" si="0">C5-D5</f>
        <v>1426020</v>
      </c>
      <c r="F5" s="338">
        <f t="shared" ref="F5:F10" si="1">D5+E5</f>
        <v>1426020</v>
      </c>
      <c r="G5" s="339"/>
    </row>
    <row r="6" spans="1:8" ht="15" customHeight="1" x14ac:dyDescent="0.2">
      <c r="A6" s="340" t="s">
        <v>243</v>
      </c>
      <c r="B6" s="341" t="s">
        <v>314</v>
      </c>
      <c r="C6" s="169">
        <v>665045</v>
      </c>
      <c r="D6" s="169"/>
      <c r="E6" s="338">
        <f t="shared" si="0"/>
        <v>665045</v>
      </c>
      <c r="F6" s="338">
        <f t="shared" si="1"/>
        <v>665045</v>
      </c>
      <c r="G6" s="342"/>
    </row>
    <row r="7" spans="1:8" ht="25.9" customHeight="1" x14ac:dyDescent="0.2">
      <c r="A7" s="340" t="s">
        <v>244</v>
      </c>
      <c r="B7" s="341" t="s">
        <v>585</v>
      </c>
      <c r="C7" s="169">
        <v>361287</v>
      </c>
      <c r="D7" s="169"/>
      <c r="E7" s="338">
        <f t="shared" si="0"/>
        <v>361287</v>
      </c>
      <c r="F7" s="338">
        <f t="shared" si="1"/>
        <v>361287</v>
      </c>
      <c r="G7" s="342"/>
      <c r="H7" s="281"/>
    </row>
    <row r="8" spans="1:8" ht="24" customHeight="1" x14ac:dyDescent="0.2">
      <c r="A8" s="340" t="s">
        <v>245</v>
      </c>
      <c r="B8" s="341" t="s">
        <v>586</v>
      </c>
      <c r="C8" s="169">
        <v>20415277</v>
      </c>
      <c r="D8" s="169"/>
      <c r="E8" s="338">
        <f t="shared" si="0"/>
        <v>20415277</v>
      </c>
      <c r="F8" s="338">
        <f t="shared" si="1"/>
        <v>20415277</v>
      </c>
      <c r="G8" s="342"/>
      <c r="H8" s="281"/>
    </row>
    <row r="9" spans="1:8" x14ac:dyDescent="0.2">
      <c r="A9" s="340" t="s">
        <v>246</v>
      </c>
      <c r="B9" s="341" t="s">
        <v>200</v>
      </c>
      <c r="C9" s="169">
        <v>93639</v>
      </c>
      <c r="D9" s="169"/>
      <c r="E9" s="338">
        <f t="shared" si="0"/>
        <v>93639</v>
      </c>
      <c r="F9" s="338">
        <f t="shared" si="1"/>
        <v>93639</v>
      </c>
      <c r="G9" s="342"/>
    </row>
    <row r="10" spans="1:8" ht="15" customHeight="1" x14ac:dyDescent="0.2">
      <c r="A10" s="340" t="s">
        <v>249</v>
      </c>
      <c r="B10" s="341" t="s">
        <v>770</v>
      </c>
      <c r="C10" s="169">
        <v>3212174</v>
      </c>
      <c r="D10" s="169"/>
      <c r="E10" s="338">
        <f t="shared" si="0"/>
        <v>3212174</v>
      </c>
      <c r="F10" s="338">
        <f t="shared" si="1"/>
        <v>3212174</v>
      </c>
      <c r="G10" s="342"/>
    </row>
    <row r="11" spans="1:8" ht="15" customHeight="1" x14ac:dyDescent="0.2">
      <c r="A11" s="340" t="s">
        <v>250</v>
      </c>
      <c r="B11" s="341" t="s">
        <v>771</v>
      </c>
      <c r="C11" s="169">
        <v>594503758</v>
      </c>
      <c r="D11" s="169"/>
      <c r="E11" s="338">
        <f t="shared" si="0"/>
        <v>594503758</v>
      </c>
      <c r="F11" s="338">
        <f>+C11-G11</f>
        <v>146165531</v>
      </c>
      <c r="G11" s="342">
        <v>448338227</v>
      </c>
    </row>
    <row r="12" spans="1:8" ht="15" customHeight="1" x14ac:dyDescent="0.2">
      <c r="A12" s="340" t="s">
        <v>251</v>
      </c>
      <c r="B12" s="341"/>
      <c r="C12" s="169"/>
      <c r="D12" s="169"/>
      <c r="E12" s="338">
        <f>C12+D12</f>
        <v>0</v>
      </c>
      <c r="F12" s="338">
        <f>D12+E12</f>
        <v>0</v>
      </c>
      <c r="G12" s="342"/>
    </row>
    <row r="13" spans="1:8" ht="15" customHeight="1" x14ac:dyDescent="0.2">
      <c r="A13" s="340" t="s">
        <v>252</v>
      </c>
      <c r="B13" s="341"/>
      <c r="C13" s="169"/>
      <c r="D13" s="169"/>
      <c r="E13" s="338">
        <f t="shared" ref="E13:E29" si="2">C13+D13</f>
        <v>0</v>
      </c>
      <c r="F13" s="169"/>
      <c r="G13" s="342"/>
    </row>
    <row r="14" spans="1:8" ht="15" customHeight="1" x14ac:dyDescent="0.2">
      <c r="A14" s="340" t="s">
        <v>253</v>
      </c>
      <c r="B14" s="341"/>
      <c r="C14" s="169"/>
      <c r="D14" s="169"/>
      <c r="E14" s="338">
        <f t="shared" si="2"/>
        <v>0</v>
      </c>
      <c r="F14" s="169"/>
      <c r="G14" s="342"/>
    </row>
    <row r="15" spans="1:8" ht="15" customHeight="1" x14ac:dyDescent="0.2">
      <c r="A15" s="340" t="s">
        <v>254</v>
      </c>
      <c r="B15" s="341"/>
      <c r="C15" s="169"/>
      <c r="D15" s="169"/>
      <c r="E15" s="338">
        <f t="shared" si="2"/>
        <v>0</v>
      </c>
      <c r="F15" s="169"/>
      <c r="G15" s="342"/>
    </row>
    <row r="16" spans="1:8" ht="15" customHeight="1" x14ac:dyDescent="0.2">
      <c r="A16" s="340" t="s">
        <v>255</v>
      </c>
      <c r="B16" s="341"/>
      <c r="C16" s="169"/>
      <c r="D16" s="169"/>
      <c r="E16" s="338">
        <f t="shared" si="2"/>
        <v>0</v>
      </c>
      <c r="F16" s="169"/>
      <c r="G16" s="342"/>
    </row>
    <row r="17" spans="1:7" ht="15" customHeight="1" x14ac:dyDescent="0.2">
      <c r="A17" s="340" t="s">
        <v>256</v>
      </c>
      <c r="B17" s="341"/>
      <c r="C17" s="169"/>
      <c r="D17" s="169"/>
      <c r="E17" s="338">
        <f t="shared" si="2"/>
        <v>0</v>
      </c>
      <c r="F17" s="169"/>
      <c r="G17" s="342"/>
    </row>
    <row r="18" spans="1:7" ht="15" customHeight="1" x14ac:dyDescent="0.2">
      <c r="A18" s="340" t="s">
        <v>259</v>
      </c>
      <c r="B18" s="341"/>
      <c r="C18" s="169"/>
      <c r="D18" s="169"/>
      <c r="E18" s="338">
        <f t="shared" si="2"/>
        <v>0</v>
      </c>
      <c r="F18" s="169"/>
      <c r="G18" s="342"/>
    </row>
    <row r="19" spans="1:7" ht="15" customHeight="1" x14ac:dyDescent="0.2">
      <c r="A19" s="340" t="s">
        <v>260</v>
      </c>
      <c r="B19" s="341"/>
      <c r="C19" s="169"/>
      <c r="D19" s="169"/>
      <c r="E19" s="338">
        <f t="shared" si="2"/>
        <v>0</v>
      </c>
      <c r="F19" s="169"/>
      <c r="G19" s="342"/>
    </row>
    <row r="20" spans="1:7" ht="15" customHeight="1" x14ac:dyDescent="0.2">
      <c r="A20" s="340" t="s">
        <v>261</v>
      </c>
      <c r="B20" s="341"/>
      <c r="C20" s="169"/>
      <c r="D20" s="169"/>
      <c r="E20" s="338">
        <f t="shared" si="2"/>
        <v>0</v>
      </c>
      <c r="F20" s="169"/>
      <c r="G20" s="342"/>
    </row>
    <row r="21" spans="1:7" ht="15" customHeight="1" x14ac:dyDescent="0.2">
      <c r="A21" s="340" t="s">
        <v>262</v>
      </c>
      <c r="B21" s="341"/>
      <c r="C21" s="169"/>
      <c r="D21" s="169"/>
      <c r="E21" s="338">
        <f t="shared" si="2"/>
        <v>0</v>
      </c>
      <c r="F21" s="169"/>
      <c r="G21" s="342"/>
    </row>
    <row r="22" spans="1:7" ht="15" customHeight="1" x14ac:dyDescent="0.2">
      <c r="A22" s="340" t="s">
        <v>263</v>
      </c>
      <c r="B22" s="341"/>
      <c r="C22" s="169"/>
      <c r="D22" s="169"/>
      <c r="E22" s="338">
        <f t="shared" si="2"/>
        <v>0</v>
      </c>
      <c r="F22" s="169"/>
      <c r="G22" s="342"/>
    </row>
    <row r="23" spans="1:7" ht="15" customHeight="1" x14ac:dyDescent="0.2">
      <c r="A23" s="340" t="s">
        <v>264</v>
      </c>
      <c r="B23" s="341"/>
      <c r="C23" s="169"/>
      <c r="D23" s="169"/>
      <c r="E23" s="338">
        <f t="shared" si="2"/>
        <v>0</v>
      </c>
      <c r="F23" s="169"/>
      <c r="G23" s="342"/>
    </row>
    <row r="24" spans="1:7" ht="15" customHeight="1" x14ac:dyDescent="0.2">
      <c r="A24" s="340" t="s">
        <v>265</v>
      </c>
      <c r="B24" s="341"/>
      <c r="C24" s="169"/>
      <c r="D24" s="169"/>
      <c r="E24" s="338">
        <f t="shared" si="2"/>
        <v>0</v>
      </c>
      <c r="F24" s="169"/>
      <c r="G24" s="342"/>
    </row>
    <row r="25" spans="1:7" ht="15" customHeight="1" x14ac:dyDescent="0.2">
      <c r="A25" s="340" t="s">
        <v>266</v>
      </c>
      <c r="B25" s="341"/>
      <c r="C25" s="169"/>
      <c r="D25" s="169"/>
      <c r="E25" s="338">
        <f t="shared" si="2"/>
        <v>0</v>
      </c>
      <c r="F25" s="169"/>
      <c r="G25" s="342"/>
    </row>
    <row r="26" spans="1:7" ht="15" customHeight="1" x14ac:dyDescent="0.2">
      <c r="A26" s="340" t="s">
        <v>267</v>
      </c>
      <c r="B26" s="341"/>
      <c r="C26" s="169"/>
      <c r="D26" s="169"/>
      <c r="E26" s="338">
        <f t="shared" si="2"/>
        <v>0</v>
      </c>
      <c r="F26" s="169"/>
      <c r="G26" s="342"/>
    </row>
    <row r="27" spans="1:7" ht="15" customHeight="1" x14ac:dyDescent="0.2">
      <c r="A27" s="340" t="s">
        <v>268</v>
      </c>
      <c r="B27" s="341"/>
      <c r="C27" s="169"/>
      <c r="D27" s="169"/>
      <c r="E27" s="338">
        <f t="shared" si="2"/>
        <v>0</v>
      </c>
      <c r="F27" s="169"/>
      <c r="G27" s="342"/>
    </row>
    <row r="28" spans="1:7" ht="15" customHeight="1" x14ac:dyDescent="0.2">
      <c r="A28" s="340" t="s">
        <v>269</v>
      </c>
      <c r="B28" s="341"/>
      <c r="C28" s="169"/>
      <c r="D28" s="169"/>
      <c r="E28" s="338">
        <f t="shared" si="2"/>
        <v>0</v>
      </c>
      <c r="F28" s="169"/>
      <c r="G28" s="342"/>
    </row>
    <row r="29" spans="1:7" ht="15" customHeight="1" x14ac:dyDescent="0.2">
      <c r="A29" s="340" t="s">
        <v>270</v>
      </c>
      <c r="B29" s="341"/>
      <c r="C29" s="169"/>
      <c r="D29" s="169"/>
      <c r="E29" s="338">
        <f t="shared" si="2"/>
        <v>0</v>
      </c>
      <c r="F29" s="169"/>
      <c r="G29" s="342"/>
    </row>
    <row r="30" spans="1:7" ht="15" customHeight="1" x14ac:dyDescent="0.2">
      <c r="A30" s="340" t="s">
        <v>271</v>
      </c>
      <c r="B30" s="341"/>
      <c r="C30" s="169"/>
      <c r="D30" s="169"/>
      <c r="E30" s="338"/>
      <c r="F30" s="169"/>
      <c r="G30" s="342"/>
    </row>
    <row r="31" spans="1:7" ht="15" customHeight="1" x14ac:dyDescent="0.2">
      <c r="A31" s="340" t="s">
        <v>272</v>
      </c>
      <c r="B31" s="341"/>
      <c r="C31" s="169"/>
      <c r="D31" s="169"/>
      <c r="E31" s="338">
        <f>C31+D31</f>
        <v>0</v>
      </c>
      <c r="F31" s="169"/>
      <c r="G31" s="342"/>
    </row>
    <row r="32" spans="1:7" ht="15" customHeight="1" x14ac:dyDescent="0.2">
      <c r="A32" s="340" t="s">
        <v>273</v>
      </c>
      <c r="B32" s="341"/>
      <c r="C32" s="169"/>
      <c r="D32" s="169"/>
      <c r="E32" s="338">
        <f>C32+D32</f>
        <v>0</v>
      </c>
      <c r="F32" s="169"/>
      <c r="G32" s="342"/>
    </row>
    <row r="33" spans="1:7" ht="15" customHeight="1" x14ac:dyDescent="0.2">
      <c r="A33" s="340" t="s">
        <v>274</v>
      </c>
      <c r="B33" s="341"/>
      <c r="C33" s="169"/>
      <c r="D33" s="169"/>
      <c r="E33" s="338">
        <f>C33+D33</f>
        <v>0</v>
      </c>
      <c r="F33" s="169"/>
      <c r="G33" s="342"/>
    </row>
    <row r="34" spans="1:7" ht="15" customHeight="1" x14ac:dyDescent="0.2">
      <c r="A34" s="340" t="s">
        <v>275</v>
      </c>
      <c r="B34" s="341"/>
      <c r="C34" s="169"/>
      <c r="D34" s="169"/>
      <c r="E34" s="338">
        <f>C34+D34</f>
        <v>0</v>
      </c>
      <c r="F34" s="169"/>
      <c r="G34" s="342"/>
    </row>
    <row r="35" spans="1:7" ht="15" customHeight="1" thickBot="1" x14ac:dyDescent="0.25">
      <c r="A35" s="340" t="s">
        <v>276</v>
      </c>
      <c r="B35" s="343"/>
      <c r="C35" s="171"/>
      <c r="D35" s="171"/>
      <c r="E35" s="338">
        <f>C35+D35</f>
        <v>0</v>
      </c>
      <c r="F35" s="171"/>
      <c r="G35" s="344"/>
    </row>
    <row r="36" spans="1:7" ht="15" customHeight="1" thickBot="1" x14ac:dyDescent="0.25">
      <c r="A36" s="997" t="s">
        <v>231</v>
      </c>
      <c r="B36" s="998"/>
      <c r="C36" s="173">
        <f>SUM(C5:C35)</f>
        <v>620677200</v>
      </c>
      <c r="D36" s="173">
        <f>SUM(D5:D35)</f>
        <v>0</v>
      </c>
      <c r="E36" s="173">
        <f>SUM(E5:E35)</f>
        <v>620677200</v>
      </c>
      <c r="F36" s="173">
        <f>SUM(F5:F35)</f>
        <v>172338973</v>
      </c>
      <c r="G36" s="175">
        <f>SUM(G5:G35)</f>
        <v>448338227</v>
      </c>
    </row>
    <row r="38" spans="1:7" x14ac:dyDescent="0.2">
      <c r="C38" s="281"/>
    </row>
  </sheetData>
  <mergeCells count="6">
    <mergeCell ref="E2:G2"/>
    <mergeCell ref="A36:B36"/>
    <mergeCell ref="A2:A3"/>
    <mergeCell ref="B2:B3"/>
    <mergeCell ref="C2:C3"/>
    <mergeCell ref="D2:D3"/>
  </mergeCells>
  <printOptions horizontalCentered="1"/>
  <pageMargins left="0.78740157480314965" right="0.78740157480314965" top="1.5748031496062993" bottom="0.98425196850393704" header="0.78740157480314965" footer="0.78740157480314965"/>
  <pageSetup paperSize="9" scale="95" orientation="portrait" verticalDpi="300" r:id="rId1"/>
  <headerFooter alignWithMargins="0">
    <oddHeader xml:space="preserve">&amp;C&amp;"Times New Roman CE,Félkövér"&amp;12
KÖLTSÉGVETÉSI SZERVEK MARADVÁNYÁNAK ALAKULÁSA&amp;R&amp;"Times New Roman CE,Félkövér dőlt"&amp;12 8. melléklet a 12/2018. (V.31.) önkormányzati rendelethez&amp;"Times New Roman CE,Dőlt"
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40"/>
  <sheetViews>
    <sheetView zoomScaleNormal="100" workbookViewId="0">
      <selection activeCell="K1" sqref="K1:K27"/>
    </sheetView>
  </sheetViews>
  <sheetFormatPr defaultColWidth="8" defaultRowHeight="12.75" x14ac:dyDescent="0.2"/>
  <cols>
    <col min="1" max="1" width="5.85546875" style="177" customWidth="1"/>
    <col min="2" max="2" width="27.7109375" style="161" customWidth="1"/>
    <col min="3" max="3" width="14.5703125" style="161" customWidth="1"/>
    <col min="4" max="9" width="11" style="161" customWidth="1"/>
    <col min="10" max="10" width="11.85546875" style="161" customWidth="1"/>
    <col min="11" max="11" width="3.42578125" style="161" customWidth="1"/>
    <col min="12" max="256" width="8" style="161"/>
    <col min="257" max="257" width="5.85546875" style="161" customWidth="1"/>
    <col min="258" max="258" width="27.7109375" style="161" customWidth="1"/>
    <col min="259" max="259" width="14.5703125" style="161" customWidth="1"/>
    <col min="260" max="265" width="11" style="161" customWidth="1"/>
    <col min="266" max="266" width="11.85546875" style="161" customWidth="1"/>
    <col min="267" max="267" width="3.42578125" style="161" customWidth="1"/>
    <col min="268" max="512" width="8" style="161"/>
    <col min="513" max="513" width="5.85546875" style="161" customWidth="1"/>
    <col min="514" max="514" width="27.7109375" style="161" customWidth="1"/>
    <col min="515" max="515" width="14.5703125" style="161" customWidth="1"/>
    <col min="516" max="521" width="11" style="161" customWidth="1"/>
    <col min="522" max="522" width="11.85546875" style="161" customWidth="1"/>
    <col min="523" max="523" width="3.42578125" style="161" customWidth="1"/>
    <col min="524" max="768" width="8" style="161"/>
    <col min="769" max="769" width="5.85546875" style="161" customWidth="1"/>
    <col min="770" max="770" width="27.7109375" style="161" customWidth="1"/>
    <col min="771" max="771" width="14.5703125" style="161" customWidth="1"/>
    <col min="772" max="777" width="11" style="161" customWidth="1"/>
    <col min="778" max="778" width="11.85546875" style="161" customWidth="1"/>
    <col min="779" max="779" width="3.42578125" style="161" customWidth="1"/>
    <col min="780" max="1024" width="8" style="161"/>
    <col min="1025" max="1025" width="5.85546875" style="161" customWidth="1"/>
    <col min="1026" max="1026" width="27.7109375" style="161" customWidth="1"/>
    <col min="1027" max="1027" width="14.5703125" style="161" customWidth="1"/>
    <col min="1028" max="1033" width="11" style="161" customWidth="1"/>
    <col min="1034" max="1034" width="11.85546875" style="161" customWidth="1"/>
    <col min="1035" max="1035" width="3.42578125" style="161" customWidth="1"/>
    <col min="1036" max="1280" width="8" style="161"/>
    <col min="1281" max="1281" width="5.85546875" style="161" customWidth="1"/>
    <col min="1282" max="1282" width="27.7109375" style="161" customWidth="1"/>
    <col min="1283" max="1283" width="14.5703125" style="161" customWidth="1"/>
    <col min="1284" max="1289" width="11" style="161" customWidth="1"/>
    <col min="1290" max="1290" width="11.85546875" style="161" customWidth="1"/>
    <col min="1291" max="1291" width="3.42578125" style="161" customWidth="1"/>
    <col min="1292" max="1536" width="8" style="161"/>
    <col min="1537" max="1537" width="5.85546875" style="161" customWidth="1"/>
    <col min="1538" max="1538" width="27.7109375" style="161" customWidth="1"/>
    <col min="1539" max="1539" width="14.5703125" style="161" customWidth="1"/>
    <col min="1540" max="1545" width="11" style="161" customWidth="1"/>
    <col min="1546" max="1546" width="11.85546875" style="161" customWidth="1"/>
    <col min="1547" max="1547" width="3.42578125" style="161" customWidth="1"/>
    <col min="1548" max="1792" width="8" style="161"/>
    <col min="1793" max="1793" width="5.85546875" style="161" customWidth="1"/>
    <col min="1794" max="1794" width="27.7109375" style="161" customWidth="1"/>
    <col min="1795" max="1795" width="14.5703125" style="161" customWidth="1"/>
    <col min="1796" max="1801" width="11" style="161" customWidth="1"/>
    <col min="1802" max="1802" width="11.85546875" style="161" customWidth="1"/>
    <col min="1803" max="1803" width="3.42578125" style="161" customWidth="1"/>
    <col min="1804" max="2048" width="8" style="161"/>
    <col min="2049" max="2049" width="5.85546875" style="161" customWidth="1"/>
    <col min="2050" max="2050" width="27.7109375" style="161" customWidth="1"/>
    <col min="2051" max="2051" width="14.5703125" style="161" customWidth="1"/>
    <col min="2052" max="2057" width="11" style="161" customWidth="1"/>
    <col min="2058" max="2058" width="11.85546875" style="161" customWidth="1"/>
    <col min="2059" max="2059" width="3.42578125" style="161" customWidth="1"/>
    <col min="2060" max="2304" width="8" style="161"/>
    <col min="2305" max="2305" width="5.85546875" style="161" customWidth="1"/>
    <col min="2306" max="2306" width="27.7109375" style="161" customWidth="1"/>
    <col min="2307" max="2307" width="14.5703125" style="161" customWidth="1"/>
    <col min="2308" max="2313" width="11" style="161" customWidth="1"/>
    <col min="2314" max="2314" width="11.85546875" style="161" customWidth="1"/>
    <col min="2315" max="2315" width="3.42578125" style="161" customWidth="1"/>
    <col min="2316" max="2560" width="8" style="161"/>
    <col min="2561" max="2561" width="5.85546875" style="161" customWidth="1"/>
    <col min="2562" max="2562" width="27.7109375" style="161" customWidth="1"/>
    <col min="2563" max="2563" width="14.5703125" style="161" customWidth="1"/>
    <col min="2564" max="2569" width="11" style="161" customWidth="1"/>
    <col min="2570" max="2570" width="11.85546875" style="161" customWidth="1"/>
    <col min="2571" max="2571" width="3.42578125" style="161" customWidth="1"/>
    <col min="2572" max="2816" width="8" style="161"/>
    <col min="2817" max="2817" width="5.85546875" style="161" customWidth="1"/>
    <col min="2818" max="2818" width="27.7109375" style="161" customWidth="1"/>
    <col min="2819" max="2819" width="14.5703125" style="161" customWidth="1"/>
    <col min="2820" max="2825" width="11" style="161" customWidth="1"/>
    <col min="2826" max="2826" width="11.85546875" style="161" customWidth="1"/>
    <col min="2827" max="2827" width="3.42578125" style="161" customWidth="1"/>
    <col min="2828" max="3072" width="8" style="161"/>
    <col min="3073" max="3073" width="5.85546875" style="161" customWidth="1"/>
    <col min="3074" max="3074" width="27.7109375" style="161" customWidth="1"/>
    <col min="3075" max="3075" width="14.5703125" style="161" customWidth="1"/>
    <col min="3076" max="3081" width="11" style="161" customWidth="1"/>
    <col min="3082" max="3082" width="11.85546875" style="161" customWidth="1"/>
    <col min="3083" max="3083" width="3.42578125" style="161" customWidth="1"/>
    <col min="3084" max="3328" width="8" style="161"/>
    <col min="3329" max="3329" width="5.85546875" style="161" customWidth="1"/>
    <col min="3330" max="3330" width="27.7109375" style="161" customWidth="1"/>
    <col min="3331" max="3331" width="14.5703125" style="161" customWidth="1"/>
    <col min="3332" max="3337" width="11" style="161" customWidth="1"/>
    <col min="3338" max="3338" width="11.85546875" style="161" customWidth="1"/>
    <col min="3339" max="3339" width="3.42578125" style="161" customWidth="1"/>
    <col min="3340" max="3584" width="8" style="161"/>
    <col min="3585" max="3585" width="5.85546875" style="161" customWidth="1"/>
    <col min="3586" max="3586" width="27.7109375" style="161" customWidth="1"/>
    <col min="3587" max="3587" width="14.5703125" style="161" customWidth="1"/>
    <col min="3588" max="3593" width="11" style="161" customWidth="1"/>
    <col min="3594" max="3594" width="11.85546875" style="161" customWidth="1"/>
    <col min="3595" max="3595" width="3.42578125" style="161" customWidth="1"/>
    <col min="3596" max="3840" width="8" style="161"/>
    <col min="3841" max="3841" width="5.85546875" style="161" customWidth="1"/>
    <col min="3842" max="3842" width="27.7109375" style="161" customWidth="1"/>
    <col min="3843" max="3843" width="14.5703125" style="161" customWidth="1"/>
    <col min="3844" max="3849" width="11" style="161" customWidth="1"/>
    <col min="3850" max="3850" width="11.85546875" style="161" customWidth="1"/>
    <col min="3851" max="3851" width="3.42578125" style="161" customWidth="1"/>
    <col min="3852" max="4096" width="8" style="161"/>
    <col min="4097" max="4097" width="5.85546875" style="161" customWidth="1"/>
    <col min="4098" max="4098" width="27.7109375" style="161" customWidth="1"/>
    <col min="4099" max="4099" width="14.5703125" style="161" customWidth="1"/>
    <col min="4100" max="4105" width="11" style="161" customWidth="1"/>
    <col min="4106" max="4106" width="11.85546875" style="161" customWidth="1"/>
    <col min="4107" max="4107" width="3.42578125" style="161" customWidth="1"/>
    <col min="4108" max="4352" width="8" style="161"/>
    <col min="4353" max="4353" width="5.85546875" style="161" customWidth="1"/>
    <col min="4354" max="4354" width="27.7109375" style="161" customWidth="1"/>
    <col min="4355" max="4355" width="14.5703125" style="161" customWidth="1"/>
    <col min="4356" max="4361" width="11" style="161" customWidth="1"/>
    <col min="4362" max="4362" width="11.85546875" style="161" customWidth="1"/>
    <col min="4363" max="4363" width="3.42578125" style="161" customWidth="1"/>
    <col min="4364" max="4608" width="8" style="161"/>
    <col min="4609" max="4609" width="5.85546875" style="161" customWidth="1"/>
    <col min="4610" max="4610" width="27.7109375" style="161" customWidth="1"/>
    <col min="4611" max="4611" width="14.5703125" style="161" customWidth="1"/>
    <col min="4612" max="4617" width="11" style="161" customWidth="1"/>
    <col min="4618" max="4618" width="11.85546875" style="161" customWidth="1"/>
    <col min="4619" max="4619" width="3.42578125" style="161" customWidth="1"/>
    <col min="4620" max="4864" width="8" style="161"/>
    <col min="4865" max="4865" width="5.85546875" style="161" customWidth="1"/>
    <col min="4866" max="4866" width="27.7109375" style="161" customWidth="1"/>
    <col min="4867" max="4867" width="14.5703125" style="161" customWidth="1"/>
    <col min="4868" max="4873" width="11" style="161" customWidth="1"/>
    <col min="4874" max="4874" width="11.85546875" style="161" customWidth="1"/>
    <col min="4875" max="4875" width="3.42578125" style="161" customWidth="1"/>
    <col min="4876" max="5120" width="8" style="161"/>
    <col min="5121" max="5121" width="5.85546875" style="161" customWidth="1"/>
    <col min="5122" max="5122" width="27.7109375" style="161" customWidth="1"/>
    <col min="5123" max="5123" width="14.5703125" style="161" customWidth="1"/>
    <col min="5124" max="5129" width="11" style="161" customWidth="1"/>
    <col min="5130" max="5130" width="11.85546875" style="161" customWidth="1"/>
    <col min="5131" max="5131" width="3.42578125" style="161" customWidth="1"/>
    <col min="5132" max="5376" width="8" style="161"/>
    <col min="5377" max="5377" width="5.85546875" style="161" customWidth="1"/>
    <col min="5378" max="5378" width="27.7109375" style="161" customWidth="1"/>
    <col min="5379" max="5379" width="14.5703125" style="161" customWidth="1"/>
    <col min="5380" max="5385" width="11" style="161" customWidth="1"/>
    <col min="5386" max="5386" width="11.85546875" style="161" customWidth="1"/>
    <col min="5387" max="5387" width="3.42578125" style="161" customWidth="1"/>
    <col min="5388" max="5632" width="8" style="161"/>
    <col min="5633" max="5633" width="5.85546875" style="161" customWidth="1"/>
    <col min="5634" max="5634" width="27.7109375" style="161" customWidth="1"/>
    <col min="5635" max="5635" width="14.5703125" style="161" customWidth="1"/>
    <col min="5636" max="5641" width="11" style="161" customWidth="1"/>
    <col min="5642" max="5642" width="11.85546875" style="161" customWidth="1"/>
    <col min="5643" max="5643" width="3.42578125" style="161" customWidth="1"/>
    <col min="5644" max="5888" width="8" style="161"/>
    <col min="5889" max="5889" width="5.85546875" style="161" customWidth="1"/>
    <col min="5890" max="5890" width="27.7109375" style="161" customWidth="1"/>
    <col min="5891" max="5891" width="14.5703125" style="161" customWidth="1"/>
    <col min="5892" max="5897" width="11" style="161" customWidth="1"/>
    <col min="5898" max="5898" width="11.85546875" style="161" customWidth="1"/>
    <col min="5899" max="5899" width="3.42578125" style="161" customWidth="1"/>
    <col min="5900" max="6144" width="8" style="161"/>
    <col min="6145" max="6145" width="5.85546875" style="161" customWidth="1"/>
    <col min="6146" max="6146" width="27.7109375" style="161" customWidth="1"/>
    <col min="6147" max="6147" width="14.5703125" style="161" customWidth="1"/>
    <col min="6148" max="6153" width="11" style="161" customWidth="1"/>
    <col min="6154" max="6154" width="11.85546875" style="161" customWidth="1"/>
    <col min="6155" max="6155" width="3.42578125" style="161" customWidth="1"/>
    <col min="6156" max="6400" width="8" style="161"/>
    <col min="6401" max="6401" width="5.85546875" style="161" customWidth="1"/>
    <col min="6402" max="6402" width="27.7109375" style="161" customWidth="1"/>
    <col min="6403" max="6403" width="14.5703125" style="161" customWidth="1"/>
    <col min="6404" max="6409" width="11" style="161" customWidth="1"/>
    <col min="6410" max="6410" width="11.85546875" style="161" customWidth="1"/>
    <col min="6411" max="6411" width="3.42578125" style="161" customWidth="1"/>
    <col min="6412" max="6656" width="8" style="161"/>
    <col min="6657" max="6657" width="5.85546875" style="161" customWidth="1"/>
    <col min="6658" max="6658" width="27.7109375" style="161" customWidth="1"/>
    <col min="6659" max="6659" width="14.5703125" style="161" customWidth="1"/>
    <col min="6660" max="6665" width="11" style="161" customWidth="1"/>
    <col min="6666" max="6666" width="11.85546875" style="161" customWidth="1"/>
    <col min="6667" max="6667" width="3.42578125" style="161" customWidth="1"/>
    <col min="6668" max="6912" width="8" style="161"/>
    <col min="6913" max="6913" width="5.85546875" style="161" customWidth="1"/>
    <col min="6914" max="6914" width="27.7109375" style="161" customWidth="1"/>
    <col min="6915" max="6915" width="14.5703125" style="161" customWidth="1"/>
    <col min="6916" max="6921" width="11" style="161" customWidth="1"/>
    <col min="6922" max="6922" width="11.85546875" style="161" customWidth="1"/>
    <col min="6923" max="6923" width="3.42578125" style="161" customWidth="1"/>
    <col min="6924" max="7168" width="8" style="161"/>
    <col min="7169" max="7169" width="5.85546875" style="161" customWidth="1"/>
    <col min="7170" max="7170" width="27.7109375" style="161" customWidth="1"/>
    <col min="7171" max="7171" width="14.5703125" style="161" customWidth="1"/>
    <col min="7172" max="7177" width="11" style="161" customWidth="1"/>
    <col min="7178" max="7178" width="11.85546875" style="161" customWidth="1"/>
    <col min="7179" max="7179" width="3.42578125" style="161" customWidth="1"/>
    <col min="7180" max="7424" width="8" style="161"/>
    <col min="7425" max="7425" width="5.85546875" style="161" customWidth="1"/>
    <col min="7426" max="7426" width="27.7109375" style="161" customWidth="1"/>
    <col min="7427" max="7427" width="14.5703125" style="161" customWidth="1"/>
    <col min="7428" max="7433" width="11" style="161" customWidth="1"/>
    <col min="7434" max="7434" width="11.85546875" style="161" customWidth="1"/>
    <col min="7435" max="7435" width="3.42578125" style="161" customWidth="1"/>
    <col min="7436" max="7680" width="8" style="161"/>
    <col min="7681" max="7681" width="5.85546875" style="161" customWidth="1"/>
    <col min="7682" max="7682" width="27.7109375" style="161" customWidth="1"/>
    <col min="7683" max="7683" width="14.5703125" style="161" customWidth="1"/>
    <col min="7684" max="7689" width="11" style="161" customWidth="1"/>
    <col min="7690" max="7690" width="11.85546875" style="161" customWidth="1"/>
    <col min="7691" max="7691" width="3.42578125" style="161" customWidth="1"/>
    <col min="7692" max="7936" width="8" style="161"/>
    <col min="7937" max="7937" width="5.85546875" style="161" customWidth="1"/>
    <col min="7938" max="7938" width="27.7109375" style="161" customWidth="1"/>
    <col min="7939" max="7939" width="14.5703125" style="161" customWidth="1"/>
    <col min="7940" max="7945" width="11" style="161" customWidth="1"/>
    <col min="7946" max="7946" width="11.85546875" style="161" customWidth="1"/>
    <col min="7947" max="7947" width="3.42578125" style="161" customWidth="1"/>
    <col min="7948" max="8192" width="8" style="161"/>
    <col min="8193" max="8193" width="5.85546875" style="161" customWidth="1"/>
    <col min="8194" max="8194" width="27.7109375" style="161" customWidth="1"/>
    <col min="8195" max="8195" width="14.5703125" style="161" customWidth="1"/>
    <col min="8196" max="8201" width="11" style="161" customWidth="1"/>
    <col min="8202" max="8202" width="11.85546875" style="161" customWidth="1"/>
    <col min="8203" max="8203" width="3.42578125" style="161" customWidth="1"/>
    <col min="8204" max="8448" width="8" style="161"/>
    <col min="8449" max="8449" width="5.85546875" style="161" customWidth="1"/>
    <col min="8450" max="8450" width="27.7109375" style="161" customWidth="1"/>
    <col min="8451" max="8451" width="14.5703125" style="161" customWidth="1"/>
    <col min="8452" max="8457" width="11" style="161" customWidth="1"/>
    <col min="8458" max="8458" width="11.85546875" style="161" customWidth="1"/>
    <col min="8459" max="8459" width="3.42578125" style="161" customWidth="1"/>
    <col min="8460" max="8704" width="8" style="161"/>
    <col min="8705" max="8705" width="5.85546875" style="161" customWidth="1"/>
    <col min="8706" max="8706" width="27.7109375" style="161" customWidth="1"/>
    <col min="8707" max="8707" width="14.5703125" style="161" customWidth="1"/>
    <col min="8708" max="8713" width="11" style="161" customWidth="1"/>
    <col min="8714" max="8714" width="11.85546875" style="161" customWidth="1"/>
    <col min="8715" max="8715" width="3.42578125" style="161" customWidth="1"/>
    <col min="8716" max="8960" width="8" style="161"/>
    <col min="8961" max="8961" width="5.85546875" style="161" customWidth="1"/>
    <col min="8962" max="8962" width="27.7109375" style="161" customWidth="1"/>
    <col min="8963" max="8963" width="14.5703125" style="161" customWidth="1"/>
    <col min="8964" max="8969" width="11" style="161" customWidth="1"/>
    <col min="8970" max="8970" width="11.85546875" style="161" customWidth="1"/>
    <col min="8971" max="8971" width="3.42578125" style="161" customWidth="1"/>
    <col min="8972" max="9216" width="8" style="161"/>
    <col min="9217" max="9217" width="5.85546875" style="161" customWidth="1"/>
    <col min="9218" max="9218" width="27.7109375" style="161" customWidth="1"/>
    <col min="9219" max="9219" width="14.5703125" style="161" customWidth="1"/>
    <col min="9220" max="9225" width="11" style="161" customWidth="1"/>
    <col min="9226" max="9226" width="11.85546875" style="161" customWidth="1"/>
    <col min="9227" max="9227" width="3.42578125" style="161" customWidth="1"/>
    <col min="9228" max="9472" width="8" style="161"/>
    <col min="9473" max="9473" width="5.85546875" style="161" customWidth="1"/>
    <col min="9474" max="9474" width="27.7109375" style="161" customWidth="1"/>
    <col min="9475" max="9475" width="14.5703125" style="161" customWidth="1"/>
    <col min="9476" max="9481" width="11" style="161" customWidth="1"/>
    <col min="9482" max="9482" width="11.85546875" style="161" customWidth="1"/>
    <col min="9483" max="9483" width="3.42578125" style="161" customWidth="1"/>
    <col min="9484" max="9728" width="8" style="161"/>
    <col min="9729" max="9729" width="5.85546875" style="161" customWidth="1"/>
    <col min="9730" max="9730" width="27.7109375" style="161" customWidth="1"/>
    <col min="9731" max="9731" width="14.5703125" style="161" customWidth="1"/>
    <col min="9732" max="9737" width="11" style="161" customWidth="1"/>
    <col min="9738" max="9738" width="11.85546875" style="161" customWidth="1"/>
    <col min="9739" max="9739" width="3.42578125" style="161" customWidth="1"/>
    <col min="9740" max="9984" width="8" style="161"/>
    <col min="9985" max="9985" width="5.85546875" style="161" customWidth="1"/>
    <col min="9986" max="9986" width="27.7109375" style="161" customWidth="1"/>
    <col min="9987" max="9987" width="14.5703125" style="161" customWidth="1"/>
    <col min="9988" max="9993" width="11" style="161" customWidth="1"/>
    <col min="9994" max="9994" width="11.85546875" style="161" customWidth="1"/>
    <col min="9995" max="9995" width="3.42578125" style="161" customWidth="1"/>
    <col min="9996" max="10240" width="8" style="161"/>
    <col min="10241" max="10241" width="5.85546875" style="161" customWidth="1"/>
    <col min="10242" max="10242" width="27.7109375" style="161" customWidth="1"/>
    <col min="10243" max="10243" width="14.5703125" style="161" customWidth="1"/>
    <col min="10244" max="10249" width="11" style="161" customWidth="1"/>
    <col min="10250" max="10250" width="11.85546875" style="161" customWidth="1"/>
    <col min="10251" max="10251" width="3.42578125" style="161" customWidth="1"/>
    <col min="10252" max="10496" width="8" style="161"/>
    <col min="10497" max="10497" width="5.85546875" style="161" customWidth="1"/>
    <col min="10498" max="10498" width="27.7109375" style="161" customWidth="1"/>
    <col min="10499" max="10499" width="14.5703125" style="161" customWidth="1"/>
    <col min="10500" max="10505" width="11" style="161" customWidth="1"/>
    <col min="10506" max="10506" width="11.85546875" style="161" customWidth="1"/>
    <col min="10507" max="10507" width="3.42578125" style="161" customWidth="1"/>
    <col min="10508" max="10752" width="8" style="161"/>
    <col min="10753" max="10753" width="5.85546875" style="161" customWidth="1"/>
    <col min="10754" max="10754" width="27.7109375" style="161" customWidth="1"/>
    <col min="10755" max="10755" width="14.5703125" style="161" customWidth="1"/>
    <col min="10756" max="10761" width="11" style="161" customWidth="1"/>
    <col min="10762" max="10762" width="11.85546875" style="161" customWidth="1"/>
    <col min="10763" max="10763" width="3.42578125" style="161" customWidth="1"/>
    <col min="10764" max="11008" width="8" style="161"/>
    <col min="11009" max="11009" width="5.85546875" style="161" customWidth="1"/>
    <col min="11010" max="11010" width="27.7109375" style="161" customWidth="1"/>
    <col min="11011" max="11011" width="14.5703125" style="161" customWidth="1"/>
    <col min="11012" max="11017" width="11" style="161" customWidth="1"/>
    <col min="11018" max="11018" width="11.85546875" style="161" customWidth="1"/>
    <col min="11019" max="11019" width="3.42578125" style="161" customWidth="1"/>
    <col min="11020" max="11264" width="8" style="161"/>
    <col min="11265" max="11265" width="5.85546875" style="161" customWidth="1"/>
    <col min="11266" max="11266" width="27.7109375" style="161" customWidth="1"/>
    <col min="11267" max="11267" width="14.5703125" style="161" customWidth="1"/>
    <col min="11268" max="11273" width="11" style="161" customWidth="1"/>
    <col min="11274" max="11274" width="11.85546875" style="161" customWidth="1"/>
    <col min="11275" max="11275" width="3.42578125" style="161" customWidth="1"/>
    <col min="11276" max="11520" width="8" style="161"/>
    <col min="11521" max="11521" width="5.85546875" style="161" customWidth="1"/>
    <col min="11522" max="11522" width="27.7109375" style="161" customWidth="1"/>
    <col min="11523" max="11523" width="14.5703125" style="161" customWidth="1"/>
    <col min="11524" max="11529" width="11" style="161" customWidth="1"/>
    <col min="11530" max="11530" width="11.85546875" style="161" customWidth="1"/>
    <col min="11531" max="11531" width="3.42578125" style="161" customWidth="1"/>
    <col min="11532" max="11776" width="8" style="161"/>
    <col min="11777" max="11777" width="5.85546875" style="161" customWidth="1"/>
    <col min="11778" max="11778" width="27.7109375" style="161" customWidth="1"/>
    <col min="11779" max="11779" width="14.5703125" style="161" customWidth="1"/>
    <col min="11780" max="11785" width="11" style="161" customWidth="1"/>
    <col min="11786" max="11786" width="11.85546875" style="161" customWidth="1"/>
    <col min="11787" max="11787" width="3.42578125" style="161" customWidth="1"/>
    <col min="11788" max="12032" width="8" style="161"/>
    <col min="12033" max="12033" width="5.85546875" style="161" customWidth="1"/>
    <col min="12034" max="12034" width="27.7109375" style="161" customWidth="1"/>
    <col min="12035" max="12035" width="14.5703125" style="161" customWidth="1"/>
    <col min="12036" max="12041" width="11" style="161" customWidth="1"/>
    <col min="12042" max="12042" width="11.85546875" style="161" customWidth="1"/>
    <col min="12043" max="12043" width="3.42578125" style="161" customWidth="1"/>
    <col min="12044" max="12288" width="8" style="161"/>
    <col min="12289" max="12289" width="5.85546875" style="161" customWidth="1"/>
    <col min="12290" max="12290" width="27.7109375" style="161" customWidth="1"/>
    <col min="12291" max="12291" width="14.5703125" style="161" customWidth="1"/>
    <col min="12292" max="12297" width="11" style="161" customWidth="1"/>
    <col min="12298" max="12298" width="11.85546875" style="161" customWidth="1"/>
    <col min="12299" max="12299" width="3.42578125" style="161" customWidth="1"/>
    <col min="12300" max="12544" width="8" style="161"/>
    <col min="12545" max="12545" width="5.85546875" style="161" customWidth="1"/>
    <col min="12546" max="12546" width="27.7109375" style="161" customWidth="1"/>
    <col min="12547" max="12547" width="14.5703125" style="161" customWidth="1"/>
    <col min="12548" max="12553" width="11" style="161" customWidth="1"/>
    <col min="12554" max="12554" width="11.85546875" style="161" customWidth="1"/>
    <col min="12555" max="12555" width="3.42578125" style="161" customWidth="1"/>
    <col min="12556" max="12800" width="8" style="161"/>
    <col min="12801" max="12801" width="5.85546875" style="161" customWidth="1"/>
    <col min="12802" max="12802" width="27.7109375" style="161" customWidth="1"/>
    <col min="12803" max="12803" width="14.5703125" style="161" customWidth="1"/>
    <col min="12804" max="12809" width="11" style="161" customWidth="1"/>
    <col min="12810" max="12810" width="11.85546875" style="161" customWidth="1"/>
    <col min="12811" max="12811" width="3.42578125" style="161" customWidth="1"/>
    <col min="12812" max="13056" width="8" style="161"/>
    <col min="13057" max="13057" width="5.85546875" style="161" customWidth="1"/>
    <col min="13058" max="13058" width="27.7109375" style="161" customWidth="1"/>
    <col min="13059" max="13059" width="14.5703125" style="161" customWidth="1"/>
    <col min="13060" max="13065" width="11" style="161" customWidth="1"/>
    <col min="13066" max="13066" width="11.85546875" style="161" customWidth="1"/>
    <col min="13067" max="13067" width="3.42578125" style="161" customWidth="1"/>
    <col min="13068" max="13312" width="8" style="161"/>
    <col min="13313" max="13313" width="5.85546875" style="161" customWidth="1"/>
    <col min="13314" max="13314" width="27.7109375" style="161" customWidth="1"/>
    <col min="13315" max="13315" width="14.5703125" style="161" customWidth="1"/>
    <col min="13316" max="13321" width="11" style="161" customWidth="1"/>
    <col min="13322" max="13322" width="11.85546875" style="161" customWidth="1"/>
    <col min="13323" max="13323" width="3.42578125" style="161" customWidth="1"/>
    <col min="13324" max="13568" width="8" style="161"/>
    <col min="13569" max="13569" width="5.85546875" style="161" customWidth="1"/>
    <col min="13570" max="13570" width="27.7109375" style="161" customWidth="1"/>
    <col min="13571" max="13571" width="14.5703125" style="161" customWidth="1"/>
    <col min="13572" max="13577" width="11" style="161" customWidth="1"/>
    <col min="13578" max="13578" width="11.85546875" style="161" customWidth="1"/>
    <col min="13579" max="13579" width="3.42578125" style="161" customWidth="1"/>
    <col min="13580" max="13824" width="8" style="161"/>
    <col min="13825" max="13825" width="5.85546875" style="161" customWidth="1"/>
    <col min="13826" max="13826" width="27.7109375" style="161" customWidth="1"/>
    <col min="13827" max="13827" width="14.5703125" style="161" customWidth="1"/>
    <col min="13828" max="13833" width="11" style="161" customWidth="1"/>
    <col min="13834" max="13834" width="11.85546875" style="161" customWidth="1"/>
    <col min="13835" max="13835" width="3.42578125" style="161" customWidth="1"/>
    <col min="13836" max="14080" width="8" style="161"/>
    <col min="14081" max="14081" width="5.85546875" style="161" customWidth="1"/>
    <col min="14082" max="14082" width="27.7109375" style="161" customWidth="1"/>
    <col min="14083" max="14083" width="14.5703125" style="161" customWidth="1"/>
    <col min="14084" max="14089" width="11" style="161" customWidth="1"/>
    <col min="14090" max="14090" width="11.85546875" style="161" customWidth="1"/>
    <col min="14091" max="14091" width="3.42578125" style="161" customWidth="1"/>
    <col min="14092" max="14336" width="8" style="161"/>
    <col min="14337" max="14337" width="5.85546875" style="161" customWidth="1"/>
    <col min="14338" max="14338" width="27.7109375" style="161" customWidth="1"/>
    <col min="14339" max="14339" width="14.5703125" style="161" customWidth="1"/>
    <col min="14340" max="14345" width="11" style="161" customWidth="1"/>
    <col min="14346" max="14346" width="11.85546875" style="161" customWidth="1"/>
    <col min="14347" max="14347" width="3.42578125" style="161" customWidth="1"/>
    <col min="14348" max="14592" width="8" style="161"/>
    <col min="14593" max="14593" width="5.85546875" style="161" customWidth="1"/>
    <col min="14594" max="14594" width="27.7109375" style="161" customWidth="1"/>
    <col min="14595" max="14595" width="14.5703125" style="161" customWidth="1"/>
    <col min="14596" max="14601" width="11" style="161" customWidth="1"/>
    <col min="14602" max="14602" width="11.85546875" style="161" customWidth="1"/>
    <col min="14603" max="14603" width="3.42578125" style="161" customWidth="1"/>
    <col min="14604" max="14848" width="8" style="161"/>
    <col min="14849" max="14849" width="5.85546875" style="161" customWidth="1"/>
    <col min="14850" max="14850" width="27.7109375" style="161" customWidth="1"/>
    <col min="14851" max="14851" width="14.5703125" style="161" customWidth="1"/>
    <col min="14852" max="14857" width="11" style="161" customWidth="1"/>
    <col min="14858" max="14858" width="11.85546875" style="161" customWidth="1"/>
    <col min="14859" max="14859" width="3.42578125" style="161" customWidth="1"/>
    <col min="14860" max="15104" width="8" style="161"/>
    <col min="15105" max="15105" width="5.85546875" style="161" customWidth="1"/>
    <col min="15106" max="15106" width="27.7109375" style="161" customWidth="1"/>
    <col min="15107" max="15107" width="14.5703125" style="161" customWidth="1"/>
    <col min="15108" max="15113" width="11" style="161" customWidth="1"/>
    <col min="15114" max="15114" width="11.85546875" style="161" customWidth="1"/>
    <col min="15115" max="15115" width="3.42578125" style="161" customWidth="1"/>
    <col min="15116" max="15360" width="8" style="161"/>
    <col min="15361" max="15361" width="5.85546875" style="161" customWidth="1"/>
    <col min="15362" max="15362" width="27.7109375" style="161" customWidth="1"/>
    <col min="15363" max="15363" width="14.5703125" style="161" customWidth="1"/>
    <col min="15364" max="15369" width="11" style="161" customWidth="1"/>
    <col min="15370" max="15370" width="11.85546875" style="161" customWidth="1"/>
    <col min="15371" max="15371" width="3.42578125" style="161" customWidth="1"/>
    <col min="15372" max="15616" width="8" style="161"/>
    <col min="15617" max="15617" width="5.85546875" style="161" customWidth="1"/>
    <col min="15618" max="15618" width="27.7109375" style="161" customWidth="1"/>
    <col min="15619" max="15619" width="14.5703125" style="161" customWidth="1"/>
    <col min="15620" max="15625" width="11" style="161" customWidth="1"/>
    <col min="15626" max="15626" width="11.85546875" style="161" customWidth="1"/>
    <col min="15627" max="15627" width="3.42578125" style="161" customWidth="1"/>
    <col min="15628" max="15872" width="8" style="161"/>
    <col min="15873" max="15873" width="5.85546875" style="161" customWidth="1"/>
    <col min="15874" max="15874" width="27.7109375" style="161" customWidth="1"/>
    <col min="15875" max="15875" width="14.5703125" style="161" customWidth="1"/>
    <col min="15876" max="15881" width="11" style="161" customWidth="1"/>
    <col min="15882" max="15882" width="11.85546875" style="161" customWidth="1"/>
    <col min="15883" max="15883" width="3.42578125" style="161" customWidth="1"/>
    <col min="15884" max="16128" width="8" style="161"/>
    <col min="16129" max="16129" width="5.85546875" style="161" customWidth="1"/>
    <col min="16130" max="16130" width="27.7109375" style="161" customWidth="1"/>
    <col min="16131" max="16131" width="14.5703125" style="161" customWidth="1"/>
    <col min="16132" max="16137" width="11" style="161" customWidth="1"/>
    <col min="16138" max="16138" width="11.85546875" style="161" customWidth="1"/>
    <col min="16139" max="16139" width="3.42578125" style="161" customWidth="1"/>
    <col min="16140" max="16384" width="8" style="161"/>
  </cols>
  <sheetData>
    <row r="1" spans="1:11" ht="14.25" thickBot="1" x14ac:dyDescent="0.25">
      <c r="A1" s="345"/>
      <c r="B1" s="346"/>
      <c r="C1" s="346"/>
      <c r="D1" s="346"/>
      <c r="E1" s="346"/>
      <c r="F1" s="1003"/>
      <c r="G1" s="1003"/>
      <c r="H1" s="1003"/>
      <c r="I1" s="346"/>
      <c r="J1" s="347" t="s">
        <v>500</v>
      </c>
      <c r="K1" s="1004" t="s">
        <v>943</v>
      </c>
    </row>
    <row r="2" spans="1:11" s="350" customFormat="1" ht="26.25" customHeight="1" x14ac:dyDescent="0.2">
      <c r="A2" s="1005" t="s">
        <v>405</v>
      </c>
      <c r="B2" s="1007" t="s">
        <v>406</v>
      </c>
      <c r="C2" s="1007" t="s">
        <v>407</v>
      </c>
      <c r="D2" s="1007" t="s">
        <v>408</v>
      </c>
      <c r="E2" s="1007" t="s">
        <v>780</v>
      </c>
      <c r="F2" s="348" t="s">
        <v>409</v>
      </c>
      <c r="G2" s="349"/>
      <c r="H2" s="349"/>
      <c r="I2" s="349"/>
      <c r="J2" s="1010" t="s">
        <v>410</v>
      </c>
      <c r="K2" s="1004"/>
    </row>
    <row r="3" spans="1:11" s="353" customFormat="1" ht="32.25" customHeight="1" thickBot="1" x14ac:dyDescent="0.25">
      <c r="A3" s="1006"/>
      <c r="B3" s="1008"/>
      <c r="C3" s="1008"/>
      <c r="D3" s="1009"/>
      <c r="E3" s="1009"/>
      <c r="F3" s="351" t="s">
        <v>159</v>
      </c>
      <c r="G3" s="352" t="s">
        <v>583</v>
      </c>
      <c r="H3" s="352" t="s">
        <v>820</v>
      </c>
      <c r="I3" s="712" t="s">
        <v>821</v>
      </c>
      <c r="J3" s="1011"/>
      <c r="K3" s="1004"/>
    </row>
    <row r="4" spans="1:11" s="357" customFormat="1" ht="14.1" customHeight="1" thickBot="1" x14ac:dyDescent="0.25">
      <c r="A4" s="905" t="s">
        <v>457</v>
      </c>
      <c r="B4" s="354" t="s">
        <v>749</v>
      </c>
      <c r="C4" s="355" t="s">
        <v>459</v>
      </c>
      <c r="D4" s="355" t="s">
        <v>460</v>
      </c>
      <c r="E4" s="355" t="s">
        <v>461</v>
      </c>
      <c r="F4" s="355" t="s">
        <v>649</v>
      </c>
      <c r="G4" s="355" t="s">
        <v>650</v>
      </c>
      <c r="H4" s="355" t="s">
        <v>651</v>
      </c>
      <c r="I4" s="355" t="s">
        <v>652</v>
      </c>
      <c r="J4" s="356" t="s">
        <v>750</v>
      </c>
      <c r="K4" s="1004"/>
    </row>
    <row r="5" spans="1:11" ht="33.75" customHeight="1" x14ac:dyDescent="0.2">
      <c r="A5" s="912" t="s">
        <v>235</v>
      </c>
      <c r="B5" s="906" t="s">
        <v>563</v>
      </c>
      <c r="C5" s="358"/>
      <c r="D5" s="359">
        <v>100000000</v>
      </c>
      <c r="E5" s="359">
        <v>0</v>
      </c>
      <c r="F5" s="359">
        <v>0</v>
      </c>
      <c r="G5" s="359">
        <v>0</v>
      </c>
      <c r="H5" s="359">
        <v>0</v>
      </c>
      <c r="I5" s="360">
        <v>0</v>
      </c>
      <c r="J5" s="361">
        <v>0</v>
      </c>
      <c r="K5" s="1004"/>
    </row>
    <row r="6" spans="1:11" ht="21" customHeight="1" x14ac:dyDescent="0.2">
      <c r="A6" s="913" t="s">
        <v>243</v>
      </c>
      <c r="B6" s="907" t="s">
        <v>373</v>
      </c>
      <c r="C6" s="362">
        <v>2017</v>
      </c>
      <c r="D6" s="169">
        <v>100000000</v>
      </c>
      <c r="E6" s="169">
        <v>0</v>
      </c>
      <c r="F6" s="169">
        <v>0</v>
      </c>
      <c r="G6" s="169"/>
      <c r="H6" s="169"/>
      <c r="I6" s="170"/>
      <c r="J6" s="363">
        <f>SUM(F6:I6)</f>
        <v>0</v>
      </c>
      <c r="K6" s="1004"/>
    </row>
    <row r="7" spans="1:11" ht="36" customHeight="1" x14ac:dyDescent="0.2">
      <c r="A7" s="913" t="s">
        <v>244</v>
      </c>
      <c r="B7" s="908" t="s">
        <v>564</v>
      </c>
      <c r="C7" s="364"/>
      <c r="D7" s="365">
        <f t="shared" ref="D7:J7" si="0">SUM(D8:D14)</f>
        <v>81378294</v>
      </c>
      <c r="E7" s="365">
        <f t="shared" si="0"/>
        <v>5310000</v>
      </c>
      <c r="F7" s="365">
        <f t="shared" si="0"/>
        <v>8486704</v>
      </c>
      <c r="G7" s="365">
        <f t="shared" si="0"/>
        <v>14320000</v>
      </c>
      <c r="H7" s="365">
        <f t="shared" si="0"/>
        <v>11682590</v>
      </c>
      <c r="I7" s="366">
        <f t="shared" si="0"/>
        <v>41579000</v>
      </c>
      <c r="J7" s="367">
        <f t="shared" si="0"/>
        <v>76068294</v>
      </c>
      <c r="K7" s="1004"/>
    </row>
    <row r="8" spans="1:11" ht="22.5" x14ac:dyDescent="0.2">
      <c r="A8" s="913" t="s">
        <v>245</v>
      </c>
      <c r="B8" s="586" t="s">
        <v>374</v>
      </c>
      <c r="C8" s="362">
        <v>2013</v>
      </c>
      <c r="D8" s="895">
        <v>2880704</v>
      </c>
      <c r="E8" s="169">
        <v>2310000</v>
      </c>
      <c r="F8" s="169">
        <v>570704</v>
      </c>
      <c r="G8" s="687">
        <v>0</v>
      </c>
      <c r="H8" s="569">
        <v>0</v>
      </c>
      <c r="I8" s="570">
        <v>0</v>
      </c>
      <c r="J8" s="367">
        <f t="shared" ref="J8:J14" si="1">SUM(F8:I8)</f>
        <v>570704</v>
      </c>
      <c r="K8" s="1004"/>
    </row>
    <row r="9" spans="1:11" ht="45" x14ac:dyDescent="0.2">
      <c r="A9" s="913" t="s">
        <v>246</v>
      </c>
      <c r="B9" s="586" t="s">
        <v>375</v>
      </c>
      <c r="C9" s="362">
        <v>2016</v>
      </c>
      <c r="D9" s="895">
        <v>10694590</v>
      </c>
      <c r="E9" s="687">
        <v>0</v>
      </c>
      <c r="F9" s="687">
        <v>4444000</v>
      </c>
      <c r="G9" s="169">
        <v>4444000</v>
      </c>
      <c r="H9" s="569">
        <v>1806590</v>
      </c>
      <c r="I9" s="570">
        <v>0</v>
      </c>
      <c r="J9" s="367">
        <f t="shared" si="1"/>
        <v>10694590</v>
      </c>
      <c r="K9" s="1004"/>
    </row>
    <row r="10" spans="1:11" ht="33.75" x14ac:dyDescent="0.2">
      <c r="A10" s="913" t="s">
        <v>249</v>
      </c>
      <c r="B10" s="586" t="s">
        <v>376</v>
      </c>
      <c r="C10" s="362">
        <v>2016</v>
      </c>
      <c r="D10" s="895">
        <v>10303000</v>
      </c>
      <c r="E10" s="687">
        <v>0</v>
      </c>
      <c r="F10" s="687">
        <v>1472000</v>
      </c>
      <c r="G10" s="687">
        <v>1472000</v>
      </c>
      <c r="H10" s="687">
        <v>1472000</v>
      </c>
      <c r="I10" s="710">
        <v>5887000</v>
      </c>
      <c r="J10" s="367">
        <f t="shared" si="1"/>
        <v>10303000</v>
      </c>
      <c r="K10" s="1004"/>
    </row>
    <row r="11" spans="1:11" ht="22.5" x14ac:dyDescent="0.2">
      <c r="A11" s="913" t="s">
        <v>250</v>
      </c>
      <c r="B11" s="898" t="s">
        <v>377</v>
      </c>
      <c r="C11" s="362">
        <v>2016</v>
      </c>
      <c r="D11" s="895">
        <v>4434961</v>
      </c>
      <c r="E11" s="169">
        <v>1330500</v>
      </c>
      <c r="F11" s="169">
        <v>887000</v>
      </c>
      <c r="G11" s="169">
        <v>887000</v>
      </c>
      <c r="H11" s="169">
        <v>887000</v>
      </c>
      <c r="I11" s="170">
        <v>443461</v>
      </c>
      <c r="J11" s="367">
        <f t="shared" si="1"/>
        <v>3104461</v>
      </c>
      <c r="K11" s="1004"/>
    </row>
    <row r="12" spans="1:11" ht="24.75" customHeight="1" x14ac:dyDescent="0.2">
      <c r="A12" s="913" t="s">
        <v>251</v>
      </c>
      <c r="B12" s="898" t="s">
        <v>378</v>
      </c>
      <c r="C12" s="362">
        <v>2016</v>
      </c>
      <c r="D12" s="895">
        <v>5565039</v>
      </c>
      <c r="E12" s="169">
        <v>1669500</v>
      </c>
      <c r="F12" s="687">
        <v>1113000</v>
      </c>
      <c r="G12" s="687">
        <v>1113000</v>
      </c>
      <c r="H12" s="687">
        <v>1113000</v>
      </c>
      <c r="I12" s="710">
        <v>556539</v>
      </c>
      <c r="J12" s="367">
        <f t="shared" si="1"/>
        <v>3895539</v>
      </c>
      <c r="K12" s="1004"/>
    </row>
    <row r="13" spans="1:11" ht="26.25" customHeight="1" x14ac:dyDescent="0.2">
      <c r="A13" s="913" t="s">
        <v>252</v>
      </c>
      <c r="B13" s="909" t="s">
        <v>917</v>
      </c>
      <c r="C13" s="896">
        <v>2017</v>
      </c>
      <c r="D13" s="895">
        <v>42000000</v>
      </c>
      <c r="E13" s="687">
        <v>0</v>
      </c>
      <c r="F13" s="687">
        <v>0</v>
      </c>
      <c r="G13" s="687">
        <v>4940000</v>
      </c>
      <c r="H13" s="687">
        <v>4940000</v>
      </c>
      <c r="I13" s="710">
        <v>32120000</v>
      </c>
      <c r="J13" s="367">
        <f t="shared" si="1"/>
        <v>42000000</v>
      </c>
      <c r="K13" s="1004"/>
    </row>
    <row r="14" spans="1:11" ht="48" customHeight="1" x14ac:dyDescent="0.2">
      <c r="A14" s="913" t="s">
        <v>253</v>
      </c>
      <c r="B14" s="910" t="s">
        <v>918</v>
      </c>
      <c r="C14" s="897">
        <v>2017</v>
      </c>
      <c r="D14" s="895">
        <v>5500000</v>
      </c>
      <c r="E14" s="687">
        <v>0</v>
      </c>
      <c r="F14" s="687">
        <v>0</v>
      </c>
      <c r="G14" s="687">
        <v>1464000</v>
      </c>
      <c r="H14" s="687">
        <v>1464000</v>
      </c>
      <c r="I14" s="710">
        <v>2572000</v>
      </c>
      <c r="J14" s="367">
        <f t="shared" si="1"/>
        <v>5500000</v>
      </c>
      <c r="K14" s="1004"/>
    </row>
    <row r="15" spans="1:11" ht="28.5" customHeight="1" x14ac:dyDescent="0.2">
      <c r="A15" s="913" t="s">
        <v>254</v>
      </c>
      <c r="B15" s="908" t="s">
        <v>463</v>
      </c>
      <c r="C15" s="364"/>
      <c r="D15" s="365">
        <f>SUM(D16:D22)</f>
        <v>623482173</v>
      </c>
      <c r="E15" s="365">
        <f t="shared" ref="E15:I15" si="2">SUM(E16:E22)</f>
        <v>144083345</v>
      </c>
      <c r="F15" s="365">
        <f t="shared" si="2"/>
        <v>478150361</v>
      </c>
      <c r="G15" s="365">
        <f t="shared" si="2"/>
        <v>0</v>
      </c>
      <c r="H15" s="365">
        <f t="shared" si="2"/>
        <v>0</v>
      </c>
      <c r="I15" s="365">
        <f t="shared" si="2"/>
        <v>0</v>
      </c>
      <c r="J15" s="365">
        <f>SUM(J16:J22)</f>
        <v>478150361</v>
      </c>
      <c r="K15" s="1004"/>
    </row>
    <row r="16" spans="1:11" ht="27" customHeight="1" x14ac:dyDescent="0.2">
      <c r="A16" s="913" t="s">
        <v>255</v>
      </c>
      <c r="B16" s="898" t="s">
        <v>241</v>
      </c>
      <c r="C16" s="711">
        <v>2016</v>
      </c>
      <c r="D16" s="587">
        <v>74946705</v>
      </c>
      <c r="E16" s="587">
        <v>74496433</v>
      </c>
      <c r="F16" s="900" t="s">
        <v>858</v>
      </c>
      <c r="G16" s="900" t="s">
        <v>858</v>
      </c>
      <c r="H16" s="900" t="s">
        <v>858</v>
      </c>
      <c r="I16" s="901" t="s">
        <v>858</v>
      </c>
      <c r="J16" s="902" t="s">
        <v>858</v>
      </c>
      <c r="K16" s="1004"/>
    </row>
    <row r="17" spans="1:11" ht="33.75" x14ac:dyDescent="0.2">
      <c r="A17" s="913" t="s">
        <v>256</v>
      </c>
      <c r="B17" s="586" t="s">
        <v>242</v>
      </c>
      <c r="C17" s="711">
        <v>2016</v>
      </c>
      <c r="D17" s="587">
        <f>226695+E17</f>
        <v>30794590</v>
      </c>
      <c r="E17" s="587">
        <v>30567895</v>
      </c>
      <c r="F17" s="900" t="s">
        <v>858</v>
      </c>
      <c r="G17" s="900" t="s">
        <v>858</v>
      </c>
      <c r="H17" s="900" t="s">
        <v>858</v>
      </c>
      <c r="I17" s="901" t="s">
        <v>858</v>
      </c>
      <c r="J17" s="904" t="s">
        <v>858</v>
      </c>
      <c r="K17" s="1004"/>
    </row>
    <row r="18" spans="1:11" x14ac:dyDescent="0.2">
      <c r="A18" s="913" t="s">
        <v>259</v>
      </c>
      <c r="B18" s="586" t="s">
        <v>920</v>
      </c>
      <c r="C18" s="711">
        <v>2017</v>
      </c>
      <c r="D18" s="587">
        <v>75588869</v>
      </c>
      <c r="E18" s="587">
        <v>30808241</v>
      </c>
      <c r="F18" s="587">
        <f>D18-E18</f>
        <v>44780628</v>
      </c>
      <c r="G18" s="687">
        <v>0</v>
      </c>
      <c r="H18" s="687">
        <v>0</v>
      </c>
      <c r="I18" s="687">
        <v>0</v>
      </c>
      <c r="J18" s="367">
        <f>F18</f>
        <v>44780628</v>
      </c>
      <c r="K18" s="1004"/>
    </row>
    <row r="19" spans="1:11" x14ac:dyDescent="0.2">
      <c r="A19" s="913" t="s">
        <v>260</v>
      </c>
      <c r="B19" s="586" t="s">
        <v>921</v>
      </c>
      <c r="C19" s="711">
        <v>2017</v>
      </c>
      <c r="D19" s="587">
        <v>214128350</v>
      </c>
      <c r="E19" s="900" t="s">
        <v>858</v>
      </c>
      <c r="F19" s="587">
        <v>213937850</v>
      </c>
      <c r="G19" s="687">
        <v>0</v>
      </c>
      <c r="H19" s="687">
        <v>0</v>
      </c>
      <c r="I19" s="687">
        <v>0</v>
      </c>
      <c r="J19" s="367">
        <f>F19</f>
        <v>213937850</v>
      </c>
      <c r="K19" s="1004"/>
    </row>
    <row r="20" spans="1:11" ht="22.5" x14ac:dyDescent="0.2">
      <c r="A20" s="913" t="s">
        <v>261</v>
      </c>
      <c r="B20" s="586" t="s">
        <v>922</v>
      </c>
      <c r="C20" s="711">
        <v>2017</v>
      </c>
      <c r="D20" s="587">
        <v>199720812</v>
      </c>
      <c r="E20" s="587">
        <v>1824796</v>
      </c>
      <c r="F20" s="587">
        <v>197515016</v>
      </c>
      <c r="G20" s="687">
        <v>0</v>
      </c>
      <c r="H20" s="687">
        <v>0</v>
      </c>
      <c r="I20" s="687">
        <v>0</v>
      </c>
      <c r="J20" s="367">
        <f>F20</f>
        <v>197515016</v>
      </c>
      <c r="K20" s="1004"/>
    </row>
    <row r="21" spans="1:11" x14ac:dyDescent="0.2">
      <c r="A21" s="913" t="s">
        <v>262</v>
      </c>
      <c r="B21" s="586" t="s">
        <v>923</v>
      </c>
      <c r="C21" s="711">
        <v>2017</v>
      </c>
      <c r="D21" s="587">
        <v>9000000</v>
      </c>
      <c r="E21" s="587">
        <v>5275000</v>
      </c>
      <c r="F21" s="587">
        <v>3725000</v>
      </c>
      <c r="G21" s="687">
        <v>0</v>
      </c>
      <c r="H21" s="687">
        <v>0</v>
      </c>
      <c r="I21" s="687">
        <v>0</v>
      </c>
      <c r="J21" s="367">
        <v>3725000</v>
      </c>
      <c r="K21" s="1004"/>
    </row>
    <row r="22" spans="1:11" ht="22.5" x14ac:dyDescent="0.2">
      <c r="A22" s="913" t="s">
        <v>263</v>
      </c>
      <c r="B22" s="586" t="s">
        <v>924</v>
      </c>
      <c r="C22" s="711">
        <v>2017</v>
      </c>
      <c r="D22" s="587">
        <v>19302847</v>
      </c>
      <c r="E22" s="587">
        <v>1110980</v>
      </c>
      <c r="F22" s="587">
        <f>D22-E22</f>
        <v>18191867</v>
      </c>
      <c r="G22" s="687">
        <v>0</v>
      </c>
      <c r="H22" s="687">
        <v>0</v>
      </c>
      <c r="I22" s="687">
        <v>0</v>
      </c>
      <c r="J22" s="367">
        <v>18191867</v>
      </c>
      <c r="K22" s="1004"/>
    </row>
    <row r="23" spans="1:11" ht="27" customHeight="1" x14ac:dyDescent="0.2">
      <c r="A23" s="913" t="s">
        <v>264</v>
      </c>
      <c r="B23" s="908" t="s">
        <v>379</v>
      </c>
      <c r="C23" s="364"/>
      <c r="D23" s="365">
        <f t="shared" ref="D23:I23" si="3">SUM(D24:D24)</f>
        <v>0</v>
      </c>
      <c r="E23" s="365">
        <f t="shared" si="3"/>
        <v>0</v>
      </c>
      <c r="F23" s="365">
        <f t="shared" si="3"/>
        <v>0</v>
      </c>
      <c r="G23" s="365">
        <f t="shared" si="3"/>
        <v>0</v>
      </c>
      <c r="H23" s="365">
        <f t="shared" si="3"/>
        <v>0</v>
      </c>
      <c r="I23" s="366">
        <f t="shared" si="3"/>
        <v>0</v>
      </c>
      <c r="J23" s="367">
        <f>SUM(F23:I23)</f>
        <v>0</v>
      </c>
      <c r="K23" s="1004"/>
    </row>
    <row r="24" spans="1:11" ht="21" customHeight="1" x14ac:dyDescent="0.2">
      <c r="A24" s="913" t="s">
        <v>265</v>
      </c>
      <c r="B24" s="907"/>
      <c r="C24" s="362"/>
      <c r="D24" s="169"/>
      <c r="E24" s="169"/>
      <c r="F24" s="169"/>
      <c r="G24" s="169"/>
      <c r="H24" s="169"/>
      <c r="I24" s="170"/>
      <c r="J24" s="363">
        <f>SUM(F24:I24)</f>
        <v>0</v>
      </c>
      <c r="K24" s="1004"/>
    </row>
    <row r="25" spans="1:11" ht="21" customHeight="1" x14ac:dyDescent="0.2">
      <c r="A25" s="913" t="s">
        <v>266</v>
      </c>
      <c r="B25" s="911" t="s">
        <v>411</v>
      </c>
      <c r="C25" s="368"/>
      <c r="D25" s="369">
        <f t="shared" ref="D25:I25" si="4">SUM(D26:D26)</f>
        <v>0</v>
      </c>
      <c r="E25" s="369">
        <f t="shared" si="4"/>
        <v>0</v>
      </c>
      <c r="F25" s="369">
        <f t="shared" si="4"/>
        <v>0</v>
      </c>
      <c r="G25" s="369">
        <f t="shared" si="4"/>
        <v>0</v>
      </c>
      <c r="H25" s="369">
        <f t="shared" si="4"/>
        <v>0</v>
      </c>
      <c r="I25" s="370">
        <f t="shared" si="4"/>
        <v>0</v>
      </c>
      <c r="J25" s="367">
        <f>SUM(F25:I25)</f>
        <v>0</v>
      </c>
      <c r="K25" s="1004"/>
    </row>
    <row r="26" spans="1:11" ht="21" customHeight="1" thickBot="1" x14ac:dyDescent="0.25">
      <c r="A26" s="914" t="s">
        <v>267</v>
      </c>
      <c r="B26" s="907"/>
      <c r="C26" s="362"/>
      <c r="D26" s="169"/>
      <c r="E26" s="169"/>
      <c r="F26" s="169"/>
      <c r="G26" s="169"/>
      <c r="H26" s="169"/>
      <c r="I26" s="170"/>
      <c r="J26" s="903">
        <f>SUM(F26:I26)</f>
        <v>0</v>
      </c>
      <c r="K26" s="1004"/>
    </row>
    <row r="27" spans="1:11" ht="25.5" customHeight="1" thickBot="1" x14ac:dyDescent="0.25">
      <c r="A27" s="915"/>
      <c r="B27" s="899" t="s">
        <v>412</v>
      </c>
      <c r="C27" s="371"/>
      <c r="D27" s="372">
        <f>D5+D7+D15+D23+D25</f>
        <v>804860467</v>
      </c>
      <c r="E27" s="372">
        <f t="shared" ref="E27:J27" si="5">E5+E7+E15+E23+E25</f>
        <v>149393345</v>
      </c>
      <c r="F27" s="372">
        <f t="shared" si="5"/>
        <v>486637065</v>
      </c>
      <c r="G27" s="372">
        <f t="shared" si="5"/>
        <v>14320000</v>
      </c>
      <c r="H27" s="372">
        <f t="shared" si="5"/>
        <v>11682590</v>
      </c>
      <c r="I27" s="713">
        <f t="shared" si="5"/>
        <v>41579000</v>
      </c>
      <c r="J27" s="373">
        <f t="shared" si="5"/>
        <v>554218655</v>
      </c>
      <c r="K27" s="1004"/>
    </row>
    <row r="29" spans="1:11" ht="25.5" x14ac:dyDescent="0.2">
      <c r="B29" s="571" t="s">
        <v>919</v>
      </c>
    </row>
    <row r="30" spans="1:11" x14ac:dyDescent="0.2">
      <c r="B30" s="571"/>
      <c r="C30" s="572"/>
      <c r="D30" s="572"/>
      <c r="E30" s="572"/>
      <c r="F30" s="572"/>
      <c r="H30" s="573"/>
    </row>
    <row r="31" spans="1:11" x14ac:dyDescent="0.2">
      <c r="B31" s="573"/>
      <c r="C31" s="573"/>
      <c r="D31" s="573"/>
      <c r="E31" s="574"/>
      <c r="F31" s="574"/>
    </row>
    <row r="32" spans="1:11" x14ac:dyDescent="0.2">
      <c r="B32" s="573"/>
      <c r="C32" s="575"/>
      <c r="D32" s="575"/>
      <c r="E32" s="575"/>
      <c r="F32" s="574"/>
    </row>
    <row r="33" spans="2:6" x14ac:dyDescent="0.2">
      <c r="B33" s="573"/>
      <c r="C33" s="575"/>
      <c r="D33" s="575"/>
      <c r="E33" s="575"/>
      <c r="F33" s="575"/>
    </row>
    <row r="34" spans="2:6" x14ac:dyDescent="0.2">
      <c r="B34" s="573"/>
      <c r="C34" s="575"/>
      <c r="D34" s="575"/>
      <c r="E34" s="575"/>
      <c r="F34" s="574"/>
    </row>
    <row r="35" spans="2:6" x14ac:dyDescent="0.2">
      <c r="B35" s="571"/>
    </row>
    <row r="36" spans="2:6" x14ac:dyDescent="0.2">
      <c r="B36" s="571"/>
    </row>
    <row r="37" spans="2:6" x14ac:dyDescent="0.2">
      <c r="B37" s="573"/>
    </row>
    <row r="38" spans="2:6" x14ac:dyDescent="0.2">
      <c r="B38" s="573"/>
    </row>
    <row r="39" spans="2:6" x14ac:dyDescent="0.2">
      <c r="B39" s="573"/>
    </row>
    <row r="40" spans="2:6" x14ac:dyDescent="0.2">
      <c r="B40" s="573"/>
    </row>
  </sheetData>
  <mergeCells count="8">
    <mergeCell ref="F1:H1"/>
    <mergeCell ref="K1:K27"/>
    <mergeCell ref="A2:A3"/>
    <mergeCell ref="B2:B3"/>
    <mergeCell ref="C2:C3"/>
    <mergeCell ref="D2:D3"/>
    <mergeCell ref="E2:E3"/>
    <mergeCell ref="J2:J3"/>
  </mergeCells>
  <printOptions horizontalCentered="1"/>
  <pageMargins left="0.78740157480314965" right="0.78740157480314965" top="1.39" bottom="0.98425196850393704" header="0.78740157480314965" footer="0.78740157480314965"/>
  <pageSetup paperSize="9" scale="60" orientation="landscape" verticalDpi="300" r:id="rId1"/>
  <headerFooter alignWithMargins="0">
    <oddHeader>&amp;C&amp;"Times New Roman CE,Félkövér"&amp;12
Többéves kihatással járó döntésekből származó kötelezettségek
célok szerint, évenkénti bontásban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J19"/>
  <sheetViews>
    <sheetView workbookViewId="0">
      <selection activeCell="J1" sqref="J1:J19"/>
    </sheetView>
  </sheetViews>
  <sheetFormatPr defaultRowHeight="12.75" x14ac:dyDescent="0.2"/>
  <cols>
    <col min="2" max="2" width="14.5703125" customWidth="1"/>
    <col min="3" max="3" width="13.28515625" customWidth="1"/>
    <col min="4" max="4" width="12.85546875" customWidth="1"/>
    <col min="5" max="5" width="15.140625" customWidth="1"/>
    <col min="6" max="6" width="14.140625" customWidth="1"/>
    <col min="7" max="7" width="13.5703125" customWidth="1"/>
    <col min="8" max="8" width="19.140625" customWidth="1"/>
    <col min="9" max="9" width="14.42578125" customWidth="1"/>
    <col min="10" max="10" width="4.28515625" customWidth="1"/>
    <col min="258" max="258" width="14.5703125" customWidth="1"/>
    <col min="259" max="259" width="13.28515625" customWidth="1"/>
    <col min="260" max="260" width="12.85546875" customWidth="1"/>
    <col min="261" max="261" width="15.140625" customWidth="1"/>
    <col min="262" max="262" width="14.140625" customWidth="1"/>
    <col min="263" max="263" width="13.5703125" customWidth="1"/>
    <col min="264" max="264" width="19.140625" customWidth="1"/>
    <col min="265" max="265" width="14.42578125" customWidth="1"/>
    <col min="266" max="266" width="4.28515625" customWidth="1"/>
    <col min="514" max="514" width="14.5703125" customWidth="1"/>
    <col min="515" max="515" width="13.28515625" customWidth="1"/>
    <col min="516" max="516" width="12.85546875" customWidth="1"/>
    <col min="517" max="517" width="15.140625" customWidth="1"/>
    <col min="518" max="518" width="14.140625" customWidth="1"/>
    <col min="519" max="519" width="13.5703125" customWidth="1"/>
    <col min="520" max="520" width="19.140625" customWidth="1"/>
    <col min="521" max="521" width="14.42578125" customWidth="1"/>
    <col min="522" max="522" width="4.28515625" customWidth="1"/>
    <col min="770" max="770" width="14.5703125" customWidth="1"/>
    <col min="771" max="771" width="13.28515625" customWidth="1"/>
    <col min="772" max="772" width="12.85546875" customWidth="1"/>
    <col min="773" max="773" width="15.140625" customWidth="1"/>
    <col min="774" max="774" width="14.140625" customWidth="1"/>
    <col min="775" max="775" width="13.5703125" customWidth="1"/>
    <col min="776" max="776" width="19.140625" customWidth="1"/>
    <col min="777" max="777" width="14.42578125" customWidth="1"/>
    <col min="778" max="778" width="4.28515625" customWidth="1"/>
    <col min="1026" max="1026" width="14.5703125" customWidth="1"/>
    <col min="1027" max="1027" width="13.28515625" customWidth="1"/>
    <col min="1028" max="1028" width="12.85546875" customWidth="1"/>
    <col min="1029" max="1029" width="15.140625" customWidth="1"/>
    <col min="1030" max="1030" width="14.140625" customWidth="1"/>
    <col min="1031" max="1031" width="13.5703125" customWidth="1"/>
    <col min="1032" max="1032" width="19.140625" customWidth="1"/>
    <col min="1033" max="1033" width="14.42578125" customWidth="1"/>
    <col min="1034" max="1034" width="4.28515625" customWidth="1"/>
    <col min="1282" max="1282" width="14.5703125" customWidth="1"/>
    <col min="1283" max="1283" width="13.28515625" customWidth="1"/>
    <col min="1284" max="1284" width="12.85546875" customWidth="1"/>
    <col min="1285" max="1285" width="15.140625" customWidth="1"/>
    <col min="1286" max="1286" width="14.140625" customWidth="1"/>
    <col min="1287" max="1287" width="13.5703125" customWidth="1"/>
    <col min="1288" max="1288" width="19.140625" customWidth="1"/>
    <col min="1289" max="1289" width="14.42578125" customWidth="1"/>
    <col min="1290" max="1290" width="4.28515625" customWidth="1"/>
    <col min="1538" max="1538" width="14.5703125" customWidth="1"/>
    <col min="1539" max="1539" width="13.28515625" customWidth="1"/>
    <col min="1540" max="1540" width="12.85546875" customWidth="1"/>
    <col min="1541" max="1541" width="15.140625" customWidth="1"/>
    <col min="1542" max="1542" width="14.140625" customWidth="1"/>
    <col min="1543" max="1543" width="13.5703125" customWidth="1"/>
    <col min="1544" max="1544" width="19.140625" customWidth="1"/>
    <col min="1545" max="1545" width="14.42578125" customWidth="1"/>
    <col min="1546" max="1546" width="4.28515625" customWidth="1"/>
    <col min="1794" max="1794" width="14.5703125" customWidth="1"/>
    <col min="1795" max="1795" width="13.28515625" customWidth="1"/>
    <col min="1796" max="1796" width="12.85546875" customWidth="1"/>
    <col min="1797" max="1797" width="15.140625" customWidth="1"/>
    <col min="1798" max="1798" width="14.140625" customWidth="1"/>
    <col min="1799" max="1799" width="13.5703125" customWidth="1"/>
    <col min="1800" max="1800" width="19.140625" customWidth="1"/>
    <col min="1801" max="1801" width="14.42578125" customWidth="1"/>
    <col min="1802" max="1802" width="4.28515625" customWidth="1"/>
    <col min="2050" max="2050" width="14.5703125" customWidth="1"/>
    <col min="2051" max="2051" width="13.28515625" customWidth="1"/>
    <col min="2052" max="2052" width="12.85546875" customWidth="1"/>
    <col min="2053" max="2053" width="15.140625" customWidth="1"/>
    <col min="2054" max="2054" width="14.140625" customWidth="1"/>
    <col min="2055" max="2055" width="13.5703125" customWidth="1"/>
    <col min="2056" max="2056" width="19.140625" customWidth="1"/>
    <col min="2057" max="2057" width="14.42578125" customWidth="1"/>
    <col min="2058" max="2058" width="4.28515625" customWidth="1"/>
    <col min="2306" max="2306" width="14.5703125" customWidth="1"/>
    <col min="2307" max="2307" width="13.28515625" customWidth="1"/>
    <col min="2308" max="2308" width="12.85546875" customWidth="1"/>
    <col min="2309" max="2309" width="15.140625" customWidth="1"/>
    <col min="2310" max="2310" width="14.140625" customWidth="1"/>
    <col min="2311" max="2311" width="13.5703125" customWidth="1"/>
    <col min="2312" max="2312" width="19.140625" customWidth="1"/>
    <col min="2313" max="2313" width="14.42578125" customWidth="1"/>
    <col min="2314" max="2314" width="4.28515625" customWidth="1"/>
    <col min="2562" max="2562" width="14.5703125" customWidth="1"/>
    <col min="2563" max="2563" width="13.28515625" customWidth="1"/>
    <col min="2564" max="2564" width="12.85546875" customWidth="1"/>
    <col min="2565" max="2565" width="15.140625" customWidth="1"/>
    <col min="2566" max="2566" width="14.140625" customWidth="1"/>
    <col min="2567" max="2567" width="13.5703125" customWidth="1"/>
    <col min="2568" max="2568" width="19.140625" customWidth="1"/>
    <col min="2569" max="2569" width="14.42578125" customWidth="1"/>
    <col min="2570" max="2570" width="4.28515625" customWidth="1"/>
    <col min="2818" max="2818" width="14.5703125" customWidth="1"/>
    <col min="2819" max="2819" width="13.28515625" customWidth="1"/>
    <col min="2820" max="2820" width="12.85546875" customWidth="1"/>
    <col min="2821" max="2821" width="15.140625" customWidth="1"/>
    <col min="2822" max="2822" width="14.140625" customWidth="1"/>
    <col min="2823" max="2823" width="13.5703125" customWidth="1"/>
    <col min="2824" max="2824" width="19.140625" customWidth="1"/>
    <col min="2825" max="2825" width="14.42578125" customWidth="1"/>
    <col min="2826" max="2826" width="4.28515625" customWidth="1"/>
    <col min="3074" max="3074" width="14.5703125" customWidth="1"/>
    <col min="3075" max="3075" width="13.28515625" customWidth="1"/>
    <col min="3076" max="3076" width="12.85546875" customWidth="1"/>
    <col min="3077" max="3077" width="15.140625" customWidth="1"/>
    <col min="3078" max="3078" width="14.140625" customWidth="1"/>
    <col min="3079" max="3079" width="13.5703125" customWidth="1"/>
    <col min="3080" max="3080" width="19.140625" customWidth="1"/>
    <col min="3081" max="3081" width="14.42578125" customWidth="1"/>
    <col min="3082" max="3082" width="4.28515625" customWidth="1"/>
    <col min="3330" max="3330" width="14.5703125" customWidth="1"/>
    <col min="3331" max="3331" width="13.28515625" customWidth="1"/>
    <col min="3332" max="3332" width="12.85546875" customWidth="1"/>
    <col min="3333" max="3333" width="15.140625" customWidth="1"/>
    <col min="3334" max="3334" width="14.140625" customWidth="1"/>
    <col min="3335" max="3335" width="13.5703125" customWidth="1"/>
    <col min="3336" max="3336" width="19.140625" customWidth="1"/>
    <col min="3337" max="3337" width="14.42578125" customWidth="1"/>
    <col min="3338" max="3338" width="4.28515625" customWidth="1"/>
    <col min="3586" max="3586" width="14.5703125" customWidth="1"/>
    <col min="3587" max="3587" width="13.28515625" customWidth="1"/>
    <col min="3588" max="3588" width="12.85546875" customWidth="1"/>
    <col min="3589" max="3589" width="15.140625" customWidth="1"/>
    <col min="3590" max="3590" width="14.140625" customWidth="1"/>
    <col min="3591" max="3591" width="13.5703125" customWidth="1"/>
    <col min="3592" max="3592" width="19.140625" customWidth="1"/>
    <col min="3593" max="3593" width="14.42578125" customWidth="1"/>
    <col min="3594" max="3594" width="4.28515625" customWidth="1"/>
    <col min="3842" max="3842" width="14.5703125" customWidth="1"/>
    <col min="3843" max="3843" width="13.28515625" customWidth="1"/>
    <col min="3844" max="3844" width="12.85546875" customWidth="1"/>
    <col min="3845" max="3845" width="15.140625" customWidth="1"/>
    <col min="3846" max="3846" width="14.140625" customWidth="1"/>
    <col min="3847" max="3847" width="13.5703125" customWidth="1"/>
    <col min="3848" max="3848" width="19.140625" customWidth="1"/>
    <col min="3849" max="3849" width="14.42578125" customWidth="1"/>
    <col min="3850" max="3850" width="4.28515625" customWidth="1"/>
    <col min="4098" max="4098" width="14.5703125" customWidth="1"/>
    <col min="4099" max="4099" width="13.28515625" customWidth="1"/>
    <col min="4100" max="4100" width="12.85546875" customWidth="1"/>
    <col min="4101" max="4101" width="15.140625" customWidth="1"/>
    <col min="4102" max="4102" width="14.140625" customWidth="1"/>
    <col min="4103" max="4103" width="13.5703125" customWidth="1"/>
    <col min="4104" max="4104" width="19.140625" customWidth="1"/>
    <col min="4105" max="4105" width="14.42578125" customWidth="1"/>
    <col min="4106" max="4106" width="4.28515625" customWidth="1"/>
    <col min="4354" max="4354" width="14.5703125" customWidth="1"/>
    <col min="4355" max="4355" width="13.28515625" customWidth="1"/>
    <col min="4356" max="4356" width="12.85546875" customWidth="1"/>
    <col min="4357" max="4357" width="15.140625" customWidth="1"/>
    <col min="4358" max="4358" width="14.140625" customWidth="1"/>
    <col min="4359" max="4359" width="13.5703125" customWidth="1"/>
    <col min="4360" max="4360" width="19.140625" customWidth="1"/>
    <col min="4361" max="4361" width="14.42578125" customWidth="1"/>
    <col min="4362" max="4362" width="4.28515625" customWidth="1"/>
    <col min="4610" max="4610" width="14.5703125" customWidth="1"/>
    <col min="4611" max="4611" width="13.28515625" customWidth="1"/>
    <col min="4612" max="4612" width="12.85546875" customWidth="1"/>
    <col min="4613" max="4613" width="15.140625" customWidth="1"/>
    <col min="4614" max="4614" width="14.140625" customWidth="1"/>
    <col min="4615" max="4615" width="13.5703125" customWidth="1"/>
    <col min="4616" max="4616" width="19.140625" customWidth="1"/>
    <col min="4617" max="4617" width="14.42578125" customWidth="1"/>
    <col min="4618" max="4618" width="4.28515625" customWidth="1"/>
    <col min="4866" max="4866" width="14.5703125" customWidth="1"/>
    <col min="4867" max="4867" width="13.28515625" customWidth="1"/>
    <col min="4868" max="4868" width="12.85546875" customWidth="1"/>
    <col min="4869" max="4869" width="15.140625" customWidth="1"/>
    <col min="4870" max="4870" width="14.140625" customWidth="1"/>
    <col min="4871" max="4871" width="13.5703125" customWidth="1"/>
    <col min="4872" max="4872" width="19.140625" customWidth="1"/>
    <col min="4873" max="4873" width="14.42578125" customWidth="1"/>
    <col min="4874" max="4874" width="4.28515625" customWidth="1"/>
    <col min="5122" max="5122" width="14.5703125" customWidth="1"/>
    <col min="5123" max="5123" width="13.28515625" customWidth="1"/>
    <col min="5124" max="5124" width="12.85546875" customWidth="1"/>
    <col min="5125" max="5125" width="15.140625" customWidth="1"/>
    <col min="5126" max="5126" width="14.140625" customWidth="1"/>
    <col min="5127" max="5127" width="13.5703125" customWidth="1"/>
    <col min="5128" max="5128" width="19.140625" customWidth="1"/>
    <col min="5129" max="5129" width="14.42578125" customWidth="1"/>
    <col min="5130" max="5130" width="4.28515625" customWidth="1"/>
    <col min="5378" max="5378" width="14.5703125" customWidth="1"/>
    <col min="5379" max="5379" width="13.28515625" customWidth="1"/>
    <col min="5380" max="5380" width="12.85546875" customWidth="1"/>
    <col min="5381" max="5381" width="15.140625" customWidth="1"/>
    <col min="5382" max="5382" width="14.140625" customWidth="1"/>
    <col min="5383" max="5383" width="13.5703125" customWidth="1"/>
    <col min="5384" max="5384" width="19.140625" customWidth="1"/>
    <col min="5385" max="5385" width="14.42578125" customWidth="1"/>
    <col min="5386" max="5386" width="4.28515625" customWidth="1"/>
    <col min="5634" max="5634" width="14.5703125" customWidth="1"/>
    <col min="5635" max="5635" width="13.28515625" customWidth="1"/>
    <col min="5636" max="5636" width="12.85546875" customWidth="1"/>
    <col min="5637" max="5637" width="15.140625" customWidth="1"/>
    <col min="5638" max="5638" width="14.140625" customWidth="1"/>
    <col min="5639" max="5639" width="13.5703125" customWidth="1"/>
    <col min="5640" max="5640" width="19.140625" customWidth="1"/>
    <col min="5641" max="5641" width="14.42578125" customWidth="1"/>
    <col min="5642" max="5642" width="4.28515625" customWidth="1"/>
    <col min="5890" max="5890" width="14.5703125" customWidth="1"/>
    <col min="5891" max="5891" width="13.28515625" customWidth="1"/>
    <col min="5892" max="5892" width="12.85546875" customWidth="1"/>
    <col min="5893" max="5893" width="15.140625" customWidth="1"/>
    <col min="5894" max="5894" width="14.140625" customWidth="1"/>
    <col min="5895" max="5895" width="13.5703125" customWidth="1"/>
    <col min="5896" max="5896" width="19.140625" customWidth="1"/>
    <col min="5897" max="5897" width="14.42578125" customWidth="1"/>
    <col min="5898" max="5898" width="4.28515625" customWidth="1"/>
    <col min="6146" max="6146" width="14.5703125" customWidth="1"/>
    <col min="6147" max="6147" width="13.28515625" customWidth="1"/>
    <col min="6148" max="6148" width="12.85546875" customWidth="1"/>
    <col min="6149" max="6149" width="15.140625" customWidth="1"/>
    <col min="6150" max="6150" width="14.140625" customWidth="1"/>
    <col min="6151" max="6151" width="13.5703125" customWidth="1"/>
    <col min="6152" max="6152" width="19.140625" customWidth="1"/>
    <col min="6153" max="6153" width="14.42578125" customWidth="1"/>
    <col min="6154" max="6154" width="4.28515625" customWidth="1"/>
    <col min="6402" max="6402" width="14.5703125" customWidth="1"/>
    <col min="6403" max="6403" width="13.28515625" customWidth="1"/>
    <col min="6404" max="6404" width="12.85546875" customWidth="1"/>
    <col min="6405" max="6405" width="15.140625" customWidth="1"/>
    <col min="6406" max="6406" width="14.140625" customWidth="1"/>
    <col min="6407" max="6407" width="13.5703125" customWidth="1"/>
    <col min="6408" max="6408" width="19.140625" customWidth="1"/>
    <col min="6409" max="6409" width="14.42578125" customWidth="1"/>
    <col min="6410" max="6410" width="4.28515625" customWidth="1"/>
    <col min="6658" max="6658" width="14.5703125" customWidth="1"/>
    <col min="6659" max="6659" width="13.28515625" customWidth="1"/>
    <col min="6660" max="6660" width="12.85546875" customWidth="1"/>
    <col min="6661" max="6661" width="15.140625" customWidth="1"/>
    <col min="6662" max="6662" width="14.140625" customWidth="1"/>
    <col min="6663" max="6663" width="13.5703125" customWidth="1"/>
    <col min="6664" max="6664" width="19.140625" customWidth="1"/>
    <col min="6665" max="6665" width="14.42578125" customWidth="1"/>
    <col min="6666" max="6666" width="4.28515625" customWidth="1"/>
    <col min="6914" max="6914" width="14.5703125" customWidth="1"/>
    <col min="6915" max="6915" width="13.28515625" customWidth="1"/>
    <col min="6916" max="6916" width="12.85546875" customWidth="1"/>
    <col min="6917" max="6917" width="15.140625" customWidth="1"/>
    <col min="6918" max="6918" width="14.140625" customWidth="1"/>
    <col min="6919" max="6919" width="13.5703125" customWidth="1"/>
    <col min="6920" max="6920" width="19.140625" customWidth="1"/>
    <col min="6921" max="6921" width="14.42578125" customWidth="1"/>
    <col min="6922" max="6922" width="4.28515625" customWidth="1"/>
    <col min="7170" max="7170" width="14.5703125" customWidth="1"/>
    <col min="7171" max="7171" width="13.28515625" customWidth="1"/>
    <col min="7172" max="7172" width="12.85546875" customWidth="1"/>
    <col min="7173" max="7173" width="15.140625" customWidth="1"/>
    <col min="7174" max="7174" width="14.140625" customWidth="1"/>
    <col min="7175" max="7175" width="13.5703125" customWidth="1"/>
    <col min="7176" max="7176" width="19.140625" customWidth="1"/>
    <col min="7177" max="7177" width="14.42578125" customWidth="1"/>
    <col min="7178" max="7178" width="4.28515625" customWidth="1"/>
    <col min="7426" max="7426" width="14.5703125" customWidth="1"/>
    <col min="7427" max="7427" width="13.28515625" customWidth="1"/>
    <col min="7428" max="7428" width="12.85546875" customWidth="1"/>
    <col min="7429" max="7429" width="15.140625" customWidth="1"/>
    <col min="7430" max="7430" width="14.140625" customWidth="1"/>
    <col min="7431" max="7431" width="13.5703125" customWidth="1"/>
    <col min="7432" max="7432" width="19.140625" customWidth="1"/>
    <col min="7433" max="7433" width="14.42578125" customWidth="1"/>
    <col min="7434" max="7434" width="4.28515625" customWidth="1"/>
    <col min="7682" max="7682" width="14.5703125" customWidth="1"/>
    <col min="7683" max="7683" width="13.28515625" customWidth="1"/>
    <col min="7684" max="7684" width="12.85546875" customWidth="1"/>
    <col min="7685" max="7685" width="15.140625" customWidth="1"/>
    <col min="7686" max="7686" width="14.140625" customWidth="1"/>
    <col min="7687" max="7687" width="13.5703125" customWidth="1"/>
    <col min="7688" max="7688" width="19.140625" customWidth="1"/>
    <col min="7689" max="7689" width="14.42578125" customWidth="1"/>
    <col min="7690" max="7690" width="4.28515625" customWidth="1"/>
    <col min="7938" max="7938" width="14.5703125" customWidth="1"/>
    <col min="7939" max="7939" width="13.28515625" customWidth="1"/>
    <col min="7940" max="7940" width="12.85546875" customWidth="1"/>
    <col min="7941" max="7941" width="15.140625" customWidth="1"/>
    <col min="7942" max="7942" width="14.140625" customWidth="1"/>
    <col min="7943" max="7943" width="13.5703125" customWidth="1"/>
    <col min="7944" max="7944" width="19.140625" customWidth="1"/>
    <col min="7945" max="7945" width="14.42578125" customWidth="1"/>
    <col min="7946" max="7946" width="4.28515625" customWidth="1"/>
    <col min="8194" max="8194" width="14.5703125" customWidth="1"/>
    <col min="8195" max="8195" width="13.28515625" customWidth="1"/>
    <col min="8196" max="8196" width="12.85546875" customWidth="1"/>
    <col min="8197" max="8197" width="15.140625" customWidth="1"/>
    <col min="8198" max="8198" width="14.140625" customWidth="1"/>
    <col min="8199" max="8199" width="13.5703125" customWidth="1"/>
    <col min="8200" max="8200" width="19.140625" customWidth="1"/>
    <col min="8201" max="8201" width="14.42578125" customWidth="1"/>
    <col min="8202" max="8202" width="4.28515625" customWidth="1"/>
    <col min="8450" max="8450" width="14.5703125" customWidth="1"/>
    <col min="8451" max="8451" width="13.28515625" customWidth="1"/>
    <col min="8452" max="8452" width="12.85546875" customWidth="1"/>
    <col min="8453" max="8453" width="15.140625" customWidth="1"/>
    <col min="8454" max="8454" width="14.140625" customWidth="1"/>
    <col min="8455" max="8455" width="13.5703125" customWidth="1"/>
    <col min="8456" max="8456" width="19.140625" customWidth="1"/>
    <col min="8457" max="8457" width="14.42578125" customWidth="1"/>
    <col min="8458" max="8458" width="4.28515625" customWidth="1"/>
    <col min="8706" max="8706" width="14.5703125" customWidth="1"/>
    <col min="8707" max="8707" width="13.28515625" customWidth="1"/>
    <col min="8708" max="8708" width="12.85546875" customWidth="1"/>
    <col min="8709" max="8709" width="15.140625" customWidth="1"/>
    <col min="8710" max="8710" width="14.140625" customWidth="1"/>
    <col min="8711" max="8711" width="13.5703125" customWidth="1"/>
    <col min="8712" max="8712" width="19.140625" customWidth="1"/>
    <col min="8713" max="8713" width="14.42578125" customWidth="1"/>
    <col min="8714" max="8714" width="4.28515625" customWidth="1"/>
    <col min="8962" max="8962" width="14.5703125" customWidth="1"/>
    <col min="8963" max="8963" width="13.28515625" customWidth="1"/>
    <col min="8964" max="8964" width="12.85546875" customWidth="1"/>
    <col min="8965" max="8965" width="15.140625" customWidth="1"/>
    <col min="8966" max="8966" width="14.140625" customWidth="1"/>
    <col min="8967" max="8967" width="13.5703125" customWidth="1"/>
    <col min="8968" max="8968" width="19.140625" customWidth="1"/>
    <col min="8969" max="8969" width="14.42578125" customWidth="1"/>
    <col min="8970" max="8970" width="4.28515625" customWidth="1"/>
    <col min="9218" max="9218" width="14.5703125" customWidth="1"/>
    <col min="9219" max="9219" width="13.28515625" customWidth="1"/>
    <col min="9220" max="9220" width="12.85546875" customWidth="1"/>
    <col min="9221" max="9221" width="15.140625" customWidth="1"/>
    <col min="9222" max="9222" width="14.140625" customWidth="1"/>
    <col min="9223" max="9223" width="13.5703125" customWidth="1"/>
    <col min="9224" max="9224" width="19.140625" customWidth="1"/>
    <col min="9225" max="9225" width="14.42578125" customWidth="1"/>
    <col min="9226" max="9226" width="4.28515625" customWidth="1"/>
    <col min="9474" max="9474" width="14.5703125" customWidth="1"/>
    <col min="9475" max="9475" width="13.28515625" customWidth="1"/>
    <col min="9476" max="9476" width="12.85546875" customWidth="1"/>
    <col min="9477" max="9477" width="15.140625" customWidth="1"/>
    <col min="9478" max="9478" width="14.140625" customWidth="1"/>
    <col min="9479" max="9479" width="13.5703125" customWidth="1"/>
    <col min="9480" max="9480" width="19.140625" customWidth="1"/>
    <col min="9481" max="9481" width="14.42578125" customWidth="1"/>
    <col min="9482" max="9482" width="4.28515625" customWidth="1"/>
    <col min="9730" max="9730" width="14.5703125" customWidth="1"/>
    <col min="9731" max="9731" width="13.28515625" customWidth="1"/>
    <col min="9732" max="9732" width="12.85546875" customWidth="1"/>
    <col min="9733" max="9733" width="15.140625" customWidth="1"/>
    <col min="9734" max="9734" width="14.140625" customWidth="1"/>
    <col min="9735" max="9735" width="13.5703125" customWidth="1"/>
    <col min="9736" max="9736" width="19.140625" customWidth="1"/>
    <col min="9737" max="9737" width="14.42578125" customWidth="1"/>
    <col min="9738" max="9738" width="4.28515625" customWidth="1"/>
    <col min="9986" max="9986" width="14.5703125" customWidth="1"/>
    <col min="9987" max="9987" width="13.28515625" customWidth="1"/>
    <col min="9988" max="9988" width="12.85546875" customWidth="1"/>
    <col min="9989" max="9989" width="15.140625" customWidth="1"/>
    <col min="9990" max="9990" width="14.140625" customWidth="1"/>
    <col min="9991" max="9991" width="13.5703125" customWidth="1"/>
    <col min="9992" max="9992" width="19.140625" customWidth="1"/>
    <col min="9993" max="9993" width="14.42578125" customWidth="1"/>
    <col min="9994" max="9994" width="4.28515625" customWidth="1"/>
    <col min="10242" max="10242" width="14.5703125" customWidth="1"/>
    <col min="10243" max="10243" width="13.28515625" customWidth="1"/>
    <col min="10244" max="10244" width="12.85546875" customWidth="1"/>
    <col min="10245" max="10245" width="15.140625" customWidth="1"/>
    <col min="10246" max="10246" width="14.140625" customWidth="1"/>
    <col min="10247" max="10247" width="13.5703125" customWidth="1"/>
    <col min="10248" max="10248" width="19.140625" customWidth="1"/>
    <col min="10249" max="10249" width="14.42578125" customWidth="1"/>
    <col min="10250" max="10250" width="4.28515625" customWidth="1"/>
    <col min="10498" max="10498" width="14.5703125" customWidth="1"/>
    <col min="10499" max="10499" width="13.28515625" customWidth="1"/>
    <col min="10500" max="10500" width="12.85546875" customWidth="1"/>
    <col min="10501" max="10501" width="15.140625" customWidth="1"/>
    <col min="10502" max="10502" width="14.140625" customWidth="1"/>
    <col min="10503" max="10503" width="13.5703125" customWidth="1"/>
    <col min="10504" max="10504" width="19.140625" customWidth="1"/>
    <col min="10505" max="10505" width="14.42578125" customWidth="1"/>
    <col min="10506" max="10506" width="4.28515625" customWidth="1"/>
    <col min="10754" max="10754" width="14.5703125" customWidth="1"/>
    <col min="10755" max="10755" width="13.28515625" customWidth="1"/>
    <col min="10756" max="10756" width="12.85546875" customWidth="1"/>
    <col min="10757" max="10757" width="15.140625" customWidth="1"/>
    <col min="10758" max="10758" width="14.140625" customWidth="1"/>
    <col min="10759" max="10759" width="13.5703125" customWidth="1"/>
    <col min="10760" max="10760" width="19.140625" customWidth="1"/>
    <col min="10761" max="10761" width="14.42578125" customWidth="1"/>
    <col min="10762" max="10762" width="4.28515625" customWidth="1"/>
    <col min="11010" max="11010" width="14.5703125" customWidth="1"/>
    <col min="11011" max="11011" width="13.28515625" customWidth="1"/>
    <col min="11012" max="11012" width="12.85546875" customWidth="1"/>
    <col min="11013" max="11013" width="15.140625" customWidth="1"/>
    <col min="11014" max="11014" width="14.140625" customWidth="1"/>
    <col min="11015" max="11015" width="13.5703125" customWidth="1"/>
    <col min="11016" max="11016" width="19.140625" customWidth="1"/>
    <col min="11017" max="11017" width="14.42578125" customWidth="1"/>
    <col min="11018" max="11018" width="4.28515625" customWidth="1"/>
    <col min="11266" max="11266" width="14.5703125" customWidth="1"/>
    <col min="11267" max="11267" width="13.28515625" customWidth="1"/>
    <col min="11268" max="11268" width="12.85546875" customWidth="1"/>
    <col min="11269" max="11269" width="15.140625" customWidth="1"/>
    <col min="11270" max="11270" width="14.140625" customWidth="1"/>
    <col min="11271" max="11271" width="13.5703125" customWidth="1"/>
    <col min="11272" max="11272" width="19.140625" customWidth="1"/>
    <col min="11273" max="11273" width="14.42578125" customWidth="1"/>
    <col min="11274" max="11274" width="4.28515625" customWidth="1"/>
    <col min="11522" max="11522" width="14.5703125" customWidth="1"/>
    <col min="11523" max="11523" width="13.28515625" customWidth="1"/>
    <col min="11524" max="11524" width="12.85546875" customWidth="1"/>
    <col min="11525" max="11525" width="15.140625" customWidth="1"/>
    <col min="11526" max="11526" width="14.140625" customWidth="1"/>
    <col min="11527" max="11527" width="13.5703125" customWidth="1"/>
    <col min="11528" max="11528" width="19.140625" customWidth="1"/>
    <col min="11529" max="11529" width="14.42578125" customWidth="1"/>
    <col min="11530" max="11530" width="4.28515625" customWidth="1"/>
    <col min="11778" max="11778" width="14.5703125" customWidth="1"/>
    <col min="11779" max="11779" width="13.28515625" customWidth="1"/>
    <col min="11780" max="11780" width="12.85546875" customWidth="1"/>
    <col min="11781" max="11781" width="15.140625" customWidth="1"/>
    <col min="11782" max="11782" width="14.140625" customWidth="1"/>
    <col min="11783" max="11783" width="13.5703125" customWidth="1"/>
    <col min="11784" max="11784" width="19.140625" customWidth="1"/>
    <col min="11785" max="11785" width="14.42578125" customWidth="1"/>
    <col min="11786" max="11786" width="4.28515625" customWidth="1"/>
    <col min="12034" max="12034" width="14.5703125" customWidth="1"/>
    <col min="12035" max="12035" width="13.28515625" customWidth="1"/>
    <col min="12036" max="12036" width="12.85546875" customWidth="1"/>
    <col min="12037" max="12037" width="15.140625" customWidth="1"/>
    <col min="12038" max="12038" width="14.140625" customWidth="1"/>
    <col min="12039" max="12039" width="13.5703125" customWidth="1"/>
    <col min="12040" max="12040" width="19.140625" customWidth="1"/>
    <col min="12041" max="12041" width="14.42578125" customWidth="1"/>
    <col min="12042" max="12042" width="4.28515625" customWidth="1"/>
    <col min="12290" max="12290" width="14.5703125" customWidth="1"/>
    <col min="12291" max="12291" width="13.28515625" customWidth="1"/>
    <col min="12292" max="12292" width="12.85546875" customWidth="1"/>
    <col min="12293" max="12293" width="15.140625" customWidth="1"/>
    <col min="12294" max="12294" width="14.140625" customWidth="1"/>
    <col min="12295" max="12295" width="13.5703125" customWidth="1"/>
    <col min="12296" max="12296" width="19.140625" customWidth="1"/>
    <col min="12297" max="12297" width="14.42578125" customWidth="1"/>
    <col min="12298" max="12298" width="4.28515625" customWidth="1"/>
    <col min="12546" max="12546" width="14.5703125" customWidth="1"/>
    <col min="12547" max="12547" width="13.28515625" customWidth="1"/>
    <col min="12548" max="12548" width="12.85546875" customWidth="1"/>
    <col min="12549" max="12549" width="15.140625" customWidth="1"/>
    <col min="12550" max="12550" width="14.140625" customWidth="1"/>
    <col min="12551" max="12551" width="13.5703125" customWidth="1"/>
    <col min="12552" max="12552" width="19.140625" customWidth="1"/>
    <col min="12553" max="12553" width="14.42578125" customWidth="1"/>
    <col min="12554" max="12554" width="4.28515625" customWidth="1"/>
    <col min="12802" max="12802" width="14.5703125" customWidth="1"/>
    <col min="12803" max="12803" width="13.28515625" customWidth="1"/>
    <col min="12804" max="12804" width="12.85546875" customWidth="1"/>
    <col min="12805" max="12805" width="15.140625" customWidth="1"/>
    <col min="12806" max="12806" width="14.140625" customWidth="1"/>
    <col min="12807" max="12807" width="13.5703125" customWidth="1"/>
    <col min="12808" max="12808" width="19.140625" customWidth="1"/>
    <col min="12809" max="12809" width="14.42578125" customWidth="1"/>
    <col min="12810" max="12810" width="4.28515625" customWidth="1"/>
    <col min="13058" max="13058" width="14.5703125" customWidth="1"/>
    <col min="13059" max="13059" width="13.28515625" customWidth="1"/>
    <col min="13060" max="13060" width="12.85546875" customWidth="1"/>
    <col min="13061" max="13061" width="15.140625" customWidth="1"/>
    <col min="13062" max="13062" width="14.140625" customWidth="1"/>
    <col min="13063" max="13063" width="13.5703125" customWidth="1"/>
    <col min="13064" max="13064" width="19.140625" customWidth="1"/>
    <col min="13065" max="13065" width="14.42578125" customWidth="1"/>
    <col min="13066" max="13066" width="4.28515625" customWidth="1"/>
    <col min="13314" max="13314" width="14.5703125" customWidth="1"/>
    <col min="13315" max="13315" width="13.28515625" customWidth="1"/>
    <col min="13316" max="13316" width="12.85546875" customWidth="1"/>
    <col min="13317" max="13317" width="15.140625" customWidth="1"/>
    <col min="13318" max="13318" width="14.140625" customWidth="1"/>
    <col min="13319" max="13319" width="13.5703125" customWidth="1"/>
    <col min="13320" max="13320" width="19.140625" customWidth="1"/>
    <col min="13321" max="13321" width="14.42578125" customWidth="1"/>
    <col min="13322" max="13322" width="4.28515625" customWidth="1"/>
    <col min="13570" max="13570" width="14.5703125" customWidth="1"/>
    <col min="13571" max="13571" width="13.28515625" customWidth="1"/>
    <col min="13572" max="13572" width="12.85546875" customWidth="1"/>
    <col min="13573" max="13573" width="15.140625" customWidth="1"/>
    <col min="13574" max="13574" width="14.140625" customWidth="1"/>
    <col min="13575" max="13575" width="13.5703125" customWidth="1"/>
    <col min="13576" max="13576" width="19.140625" customWidth="1"/>
    <col min="13577" max="13577" width="14.42578125" customWidth="1"/>
    <col min="13578" max="13578" width="4.28515625" customWidth="1"/>
    <col min="13826" max="13826" width="14.5703125" customWidth="1"/>
    <col min="13827" max="13827" width="13.28515625" customWidth="1"/>
    <col min="13828" max="13828" width="12.85546875" customWidth="1"/>
    <col min="13829" max="13829" width="15.140625" customWidth="1"/>
    <col min="13830" max="13830" width="14.140625" customWidth="1"/>
    <col min="13831" max="13831" width="13.5703125" customWidth="1"/>
    <col min="13832" max="13832" width="19.140625" customWidth="1"/>
    <col min="13833" max="13833" width="14.42578125" customWidth="1"/>
    <col min="13834" max="13834" width="4.28515625" customWidth="1"/>
    <col min="14082" max="14082" width="14.5703125" customWidth="1"/>
    <col min="14083" max="14083" width="13.28515625" customWidth="1"/>
    <col min="14084" max="14084" width="12.85546875" customWidth="1"/>
    <col min="14085" max="14085" width="15.140625" customWidth="1"/>
    <col min="14086" max="14086" width="14.140625" customWidth="1"/>
    <col min="14087" max="14087" width="13.5703125" customWidth="1"/>
    <col min="14088" max="14088" width="19.140625" customWidth="1"/>
    <col min="14089" max="14089" width="14.42578125" customWidth="1"/>
    <col min="14090" max="14090" width="4.28515625" customWidth="1"/>
    <col min="14338" max="14338" width="14.5703125" customWidth="1"/>
    <col min="14339" max="14339" width="13.28515625" customWidth="1"/>
    <col min="14340" max="14340" width="12.85546875" customWidth="1"/>
    <col min="14341" max="14341" width="15.140625" customWidth="1"/>
    <col min="14342" max="14342" width="14.140625" customWidth="1"/>
    <col min="14343" max="14343" width="13.5703125" customWidth="1"/>
    <col min="14344" max="14344" width="19.140625" customWidth="1"/>
    <col min="14345" max="14345" width="14.42578125" customWidth="1"/>
    <col min="14346" max="14346" width="4.28515625" customWidth="1"/>
    <col min="14594" max="14594" width="14.5703125" customWidth="1"/>
    <col min="14595" max="14595" width="13.28515625" customWidth="1"/>
    <col min="14596" max="14596" width="12.85546875" customWidth="1"/>
    <col min="14597" max="14597" width="15.140625" customWidth="1"/>
    <col min="14598" max="14598" width="14.140625" customWidth="1"/>
    <col min="14599" max="14599" width="13.5703125" customWidth="1"/>
    <col min="14600" max="14600" width="19.140625" customWidth="1"/>
    <col min="14601" max="14601" width="14.42578125" customWidth="1"/>
    <col min="14602" max="14602" width="4.28515625" customWidth="1"/>
    <col min="14850" max="14850" width="14.5703125" customWidth="1"/>
    <col min="14851" max="14851" width="13.28515625" customWidth="1"/>
    <col min="14852" max="14852" width="12.85546875" customWidth="1"/>
    <col min="14853" max="14853" width="15.140625" customWidth="1"/>
    <col min="14854" max="14854" width="14.140625" customWidth="1"/>
    <col min="14855" max="14855" width="13.5703125" customWidth="1"/>
    <col min="14856" max="14856" width="19.140625" customWidth="1"/>
    <col min="14857" max="14857" width="14.42578125" customWidth="1"/>
    <col min="14858" max="14858" width="4.28515625" customWidth="1"/>
    <col min="15106" max="15106" width="14.5703125" customWidth="1"/>
    <col min="15107" max="15107" width="13.28515625" customWidth="1"/>
    <col min="15108" max="15108" width="12.85546875" customWidth="1"/>
    <col min="15109" max="15109" width="15.140625" customWidth="1"/>
    <col min="15110" max="15110" width="14.140625" customWidth="1"/>
    <col min="15111" max="15111" width="13.5703125" customWidth="1"/>
    <col min="15112" max="15112" width="19.140625" customWidth="1"/>
    <col min="15113" max="15113" width="14.42578125" customWidth="1"/>
    <col min="15114" max="15114" width="4.28515625" customWidth="1"/>
    <col min="15362" max="15362" width="14.5703125" customWidth="1"/>
    <col min="15363" max="15363" width="13.28515625" customWidth="1"/>
    <col min="15364" max="15364" width="12.85546875" customWidth="1"/>
    <col min="15365" max="15365" width="15.140625" customWidth="1"/>
    <col min="15366" max="15366" width="14.140625" customWidth="1"/>
    <col min="15367" max="15367" width="13.5703125" customWidth="1"/>
    <col min="15368" max="15368" width="19.140625" customWidth="1"/>
    <col min="15369" max="15369" width="14.42578125" customWidth="1"/>
    <col min="15370" max="15370" width="4.28515625" customWidth="1"/>
    <col min="15618" max="15618" width="14.5703125" customWidth="1"/>
    <col min="15619" max="15619" width="13.28515625" customWidth="1"/>
    <col min="15620" max="15620" width="12.85546875" customWidth="1"/>
    <col min="15621" max="15621" width="15.140625" customWidth="1"/>
    <col min="15622" max="15622" width="14.140625" customWidth="1"/>
    <col min="15623" max="15623" width="13.5703125" customWidth="1"/>
    <col min="15624" max="15624" width="19.140625" customWidth="1"/>
    <col min="15625" max="15625" width="14.42578125" customWidth="1"/>
    <col min="15626" max="15626" width="4.28515625" customWidth="1"/>
    <col min="15874" max="15874" width="14.5703125" customWidth="1"/>
    <col min="15875" max="15875" width="13.28515625" customWidth="1"/>
    <col min="15876" max="15876" width="12.85546875" customWidth="1"/>
    <col min="15877" max="15877" width="15.140625" customWidth="1"/>
    <col min="15878" max="15878" width="14.140625" customWidth="1"/>
    <col min="15879" max="15879" width="13.5703125" customWidth="1"/>
    <col min="15880" max="15880" width="19.140625" customWidth="1"/>
    <col min="15881" max="15881" width="14.42578125" customWidth="1"/>
    <col min="15882" max="15882" width="4.28515625" customWidth="1"/>
    <col min="16130" max="16130" width="14.5703125" customWidth="1"/>
    <col min="16131" max="16131" width="13.28515625" customWidth="1"/>
    <col min="16132" max="16132" width="12.85546875" customWidth="1"/>
    <col min="16133" max="16133" width="15.140625" customWidth="1"/>
    <col min="16134" max="16134" width="14.140625" customWidth="1"/>
    <col min="16135" max="16135" width="13.5703125" customWidth="1"/>
    <col min="16136" max="16136" width="19.140625" customWidth="1"/>
    <col min="16137" max="16137" width="14.42578125" customWidth="1"/>
    <col min="16138" max="16138" width="4.28515625" customWidth="1"/>
  </cols>
  <sheetData>
    <row r="1" spans="1:10" ht="15.75" x14ac:dyDescent="0.2">
      <c r="A1" s="1035" t="s">
        <v>822</v>
      </c>
      <c r="B1" s="1036"/>
      <c r="C1" s="1036"/>
      <c r="D1" s="1036"/>
      <c r="E1" s="1036"/>
      <c r="F1" s="1036"/>
      <c r="G1" s="1036"/>
      <c r="H1" s="1036"/>
      <c r="I1" s="1036"/>
      <c r="J1" s="1012" t="s">
        <v>944</v>
      </c>
    </row>
    <row r="2" spans="1:10" ht="14.25" thickBot="1" x14ac:dyDescent="0.3">
      <c r="A2" s="179"/>
      <c r="B2" s="179"/>
      <c r="C2" s="179"/>
      <c r="D2" s="179"/>
      <c r="E2" s="179"/>
      <c r="F2" s="1013"/>
      <c r="G2" s="1013"/>
      <c r="H2" s="1014" t="s">
        <v>469</v>
      </c>
      <c r="I2" s="1014"/>
      <c r="J2" s="1012"/>
    </row>
    <row r="3" spans="1:10" ht="13.5" thickBot="1" x14ac:dyDescent="0.25">
      <c r="A3" s="1015" t="s">
        <v>424</v>
      </c>
      <c r="B3" s="1017" t="s">
        <v>383</v>
      </c>
      <c r="C3" s="1019" t="s">
        <v>384</v>
      </c>
      <c r="D3" s="1021" t="s">
        <v>385</v>
      </c>
      <c r="E3" s="1022"/>
      <c r="F3" s="1022"/>
      <c r="G3" s="1022"/>
      <c r="H3" s="1022"/>
      <c r="I3" s="1023" t="s">
        <v>386</v>
      </c>
      <c r="J3" s="1012"/>
    </row>
    <row r="4" spans="1:10" ht="24.75" thickBot="1" x14ac:dyDescent="0.25">
      <c r="A4" s="1016"/>
      <c r="B4" s="1018"/>
      <c r="C4" s="1020"/>
      <c r="D4" s="376" t="s">
        <v>387</v>
      </c>
      <c r="E4" s="376" t="s">
        <v>388</v>
      </c>
      <c r="F4" s="376" t="s">
        <v>389</v>
      </c>
      <c r="G4" s="377" t="s">
        <v>390</v>
      </c>
      <c r="H4" s="377" t="s">
        <v>391</v>
      </c>
      <c r="I4" s="1024"/>
      <c r="J4" s="1012"/>
    </row>
    <row r="5" spans="1:10" ht="13.5" thickBot="1" x14ac:dyDescent="0.25">
      <c r="A5" s="379" t="s">
        <v>457</v>
      </c>
      <c r="B5" s="380" t="s">
        <v>458</v>
      </c>
      <c r="C5" s="380" t="s">
        <v>459</v>
      </c>
      <c r="D5" s="380" t="s">
        <v>460</v>
      </c>
      <c r="E5" s="380" t="s">
        <v>461</v>
      </c>
      <c r="F5" s="380" t="s">
        <v>649</v>
      </c>
      <c r="G5" s="380" t="s">
        <v>650</v>
      </c>
      <c r="H5" s="380" t="s">
        <v>752</v>
      </c>
      <c r="I5" s="381" t="s">
        <v>753</v>
      </c>
      <c r="J5" s="1012"/>
    </row>
    <row r="6" spans="1:10" x14ac:dyDescent="0.2">
      <c r="A6" s="1025" t="s">
        <v>392</v>
      </c>
      <c r="B6" s="1026"/>
      <c r="C6" s="1026"/>
      <c r="D6" s="1026"/>
      <c r="E6" s="1026"/>
      <c r="F6" s="1026"/>
      <c r="G6" s="1026"/>
      <c r="H6" s="1026"/>
      <c r="I6" s="1027"/>
      <c r="J6" s="1012"/>
    </row>
    <row r="7" spans="1:10" ht="22.5" x14ac:dyDescent="0.2">
      <c r="A7" s="382" t="s">
        <v>235</v>
      </c>
      <c r="B7" s="383" t="s">
        <v>393</v>
      </c>
      <c r="C7" s="384"/>
      <c r="D7" s="384"/>
      <c r="E7" s="384"/>
      <c r="F7" s="384"/>
      <c r="G7" s="385"/>
      <c r="H7" s="386">
        <f t="shared" ref="H7:H12" si="0">SUM(D7:G7)</f>
        <v>0</v>
      </c>
      <c r="I7" s="387">
        <f t="shared" ref="I7:I12" si="1">C7+H7</f>
        <v>0</v>
      </c>
      <c r="J7" s="1012"/>
    </row>
    <row r="8" spans="1:10" ht="45" x14ac:dyDescent="0.2">
      <c r="A8" s="382" t="s">
        <v>243</v>
      </c>
      <c r="B8" s="383" t="s">
        <v>394</v>
      </c>
      <c r="C8" s="384"/>
      <c r="D8" s="384"/>
      <c r="E8" s="384"/>
      <c r="F8" s="384"/>
      <c r="G8" s="385"/>
      <c r="H8" s="386">
        <f t="shared" si="0"/>
        <v>0</v>
      </c>
      <c r="I8" s="387">
        <f t="shared" si="1"/>
        <v>0</v>
      </c>
      <c r="J8" s="1012"/>
    </row>
    <row r="9" spans="1:10" ht="33.75" x14ac:dyDescent="0.2">
      <c r="A9" s="382" t="s">
        <v>244</v>
      </c>
      <c r="B9" s="383" t="s">
        <v>395</v>
      </c>
      <c r="C9" s="384"/>
      <c r="D9" s="384"/>
      <c r="E9" s="384"/>
      <c r="F9" s="384"/>
      <c r="G9" s="385"/>
      <c r="H9" s="386">
        <f t="shared" si="0"/>
        <v>0</v>
      </c>
      <c r="I9" s="387">
        <f t="shared" si="1"/>
        <v>0</v>
      </c>
      <c r="J9" s="1012"/>
    </row>
    <row r="10" spans="1:10" ht="22.5" x14ac:dyDescent="0.2">
      <c r="A10" s="382" t="s">
        <v>245</v>
      </c>
      <c r="B10" s="383" t="s">
        <v>396</v>
      </c>
      <c r="C10" s="384"/>
      <c r="D10" s="384"/>
      <c r="E10" s="384"/>
      <c r="F10" s="384"/>
      <c r="G10" s="385"/>
      <c r="H10" s="386">
        <f t="shared" si="0"/>
        <v>0</v>
      </c>
      <c r="I10" s="387">
        <f t="shared" si="1"/>
        <v>0</v>
      </c>
      <c r="J10" s="1012"/>
    </row>
    <row r="11" spans="1:10" ht="33.75" x14ac:dyDescent="0.2">
      <c r="A11" s="382" t="s">
        <v>246</v>
      </c>
      <c r="B11" s="383" t="s">
        <v>397</v>
      </c>
      <c r="C11" s="384"/>
      <c r="D11" s="384"/>
      <c r="E11" s="384"/>
      <c r="F11" s="384"/>
      <c r="G11" s="385"/>
      <c r="H11" s="386">
        <f t="shared" si="0"/>
        <v>0</v>
      </c>
      <c r="I11" s="387">
        <f t="shared" si="1"/>
        <v>0</v>
      </c>
      <c r="J11" s="1012"/>
    </row>
    <row r="12" spans="1:10" x14ac:dyDescent="0.2">
      <c r="A12" s="388" t="s">
        <v>249</v>
      </c>
      <c r="B12" s="389" t="s">
        <v>398</v>
      </c>
      <c r="C12" s="390">
        <v>412915</v>
      </c>
      <c r="D12" s="390">
        <v>9806453</v>
      </c>
      <c r="E12" s="390">
        <v>0</v>
      </c>
      <c r="F12" s="390">
        <v>0</v>
      </c>
      <c r="G12" s="391">
        <v>0</v>
      </c>
      <c r="H12" s="386">
        <f t="shared" si="0"/>
        <v>9806453</v>
      </c>
      <c r="I12" s="387">
        <f t="shared" si="1"/>
        <v>10219368</v>
      </c>
      <c r="J12" s="1012"/>
    </row>
    <row r="13" spans="1:10" ht="21.75" customHeight="1" thickBot="1" x14ac:dyDescent="0.25">
      <c r="A13" s="392" t="s">
        <v>250</v>
      </c>
      <c r="B13" s="393" t="s">
        <v>399</v>
      </c>
      <c r="C13" s="394"/>
      <c r="D13" s="394"/>
      <c r="E13" s="394"/>
      <c r="F13" s="394"/>
      <c r="G13" s="395">
        <v>508508</v>
      </c>
      <c r="H13" s="386">
        <v>508508</v>
      </c>
      <c r="I13" s="387">
        <v>508508</v>
      </c>
      <c r="J13" s="1012"/>
    </row>
    <row r="14" spans="1:10" ht="13.5" thickBot="1" x14ac:dyDescent="0.25">
      <c r="A14" s="1028" t="s">
        <v>400</v>
      </c>
      <c r="B14" s="1029"/>
      <c r="C14" s="396">
        <f t="shared" ref="C14:I14" si="2">SUM(C7:C13)</f>
        <v>412915</v>
      </c>
      <c r="D14" s="396">
        <f t="shared" si="2"/>
        <v>9806453</v>
      </c>
      <c r="E14" s="396">
        <f t="shared" si="2"/>
        <v>0</v>
      </c>
      <c r="F14" s="396">
        <f t="shared" si="2"/>
        <v>0</v>
      </c>
      <c r="G14" s="397">
        <f t="shared" si="2"/>
        <v>508508</v>
      </c>
      <c r="H14" s="397">
        <f t="shared" si="2"/>
        <v>10314961</v>
      </c>
      <c r="I14" s="398">
        <f t="shared" si="2"/>
        <v>10727876</v>
      </c>
      <c r="J14" s="1012"/>
    </row>
    <row r="15" spans="1:10" x14ac:dyDescent="0.2">
      <c r="A15" s="1030" t="s">
        <v>401</v>
      </c>
      <c r="B15" s="1031"/>
      <c r="C15" s="1031"/>
      <c r="D15" s="1031"/>
      <c r="E15" s="1031"/>
      <c r="F15" s="1031"/>
      <c r="G15" s="1031"/>
      <c r="H15" s="1031"/>
      <c r="I15" s="1032"/>
      <c r="J15" s="1012"/>
    </row>
    <row r="16" spans="1:10" x14ac:dyDescent="0.2">
      <c r="A16" s="382" t="s">
        <v>235</v>
      </c>
      <c r="B16" s="383" t="s">
        <v>402</v>
      </c>
      <c r="C16" s="384"/>
      <c r="D16" s="384"/>
      <c r="E16" s="384"/>
      <c r="F16" s="384"/>
      <c r="G16" s="385"/>
      <c r="H16" s="386">
        <f>SUM(D16:G16)</f>
        <v>0</v>
      </c>
      <c r="I16" s="387">
        <f>C16+H16</f>
        <v>0</v>
      </c>
      <c r="J16" s="1012"/>
    </row>
    <row r="17" spans="1:10" ht="13.5" thickBot="1" x14ac:dyDescent="0.25">
      <c r="A17" s="392" t="s">
        <v>243</v>
      </c>
      <c r="B17" s="393" t="s">
        <v>399</v>
      </c>
      <c r="C17" s="394"/>
      <c r="D17" s="394"/>
      <c r="E17" s="394"/>
      <c r="F17" s="394"/>
      <c r="G17" s="395"/>
      <c r="H17" s="386">
        <f>SUM(D17:G17)</f>
        <v>0</v>
      </c>
      <c r="I17" s="399">
        <f>C17+H17</f>
        <v>0</v>
      </c>
      <c r="J17" s="1012"/>
    </row>
    <row r="18" spans="1:10" ht="13.5" thickBot="1" x14ac:dyDescent="0.25">
      <c r="A18" s="1028" t="s">
        <v>403</v>
      </c>
      <c r="B18" s="1029"/>
      <c r="C18" s="396">
        <f t="shared" ref="C18:I18" si="3">SUM(C16:C17)</f>
        <v>0</v>
      </c>
      <c r="D18" s="396">
        <f t="shared" si="3"/>
        <v>0</v>
      </c>
      <c r="E18" s="396">
        <f t="shared" si="3"/>
        <v>0</v>
      </c>
      <c r="F18" s="396">
        <f t="shared" si="3"/>
        <v>0</v>
      </c>
      <c r="G18" s="397">
        <f t="shared" si="3"/>
        <v>0</v>
      </c>
      <c r="H18" s="397">
        <f t="shared" si="3"/>
        <v>0</v>
      </c>
      <c r="I18" s="398">
        <f t="shared" si="3"/>
        <v>0</v>
      </c>
      <c r="J18" s="1012"/>
    </row>
    <row r="19" spans="1:10" ht="13.5" thickBot="1" x14ac:dyDescent="0.25">
      <c r="A19" s="1033" t="s">
        <v>404</v>
      </c>
      <c r="B19" s="1034"/>
      <c r="C19" s="400">
        <f t="shared" ref="C19:I19" si="4">C14+C18</f>
        <v>412915</v>
      </c>
      <c r="D19" s="400">
        <f t="shared" si="4"/>
        <v>9806453</v>
      </c>
      <c r="E19" s="400">
        <f t="shared" si="4"/>
        <v>0</v>
      </c>
      <c r="F19" s="400">
        <f t="shared" si="4"/>
        <v>0</v>
      </c>
      <c r="G19" s="400">
        <f t="shared" si="4"/>
        <v>508508</v>
      </c>
      <c r="H19" s="400">
        <f t="shared" si="4"/>
        <v>10314961</v>
      </c>
      <c r="I19" s="398">
        <f t="shared" si="4"/>
        <v>10727876</v>
      </c>
      <c r="J19" s="1012"/>
    </row>
  </sheetData>
  <mergeCells count="14">
    <mergeCell ref="J1:J19"/>
    <mergeCell ref="F2:G2"/>
    <mergeCell ref="H2:I2"/>
    <mergeCell ref="A3:A4"/>
    <mergeCell ref="B3:B4"/>
    <mergeCell ref="C3:C4"/>
    <mergeCell ref="D3:H3"/>
    <mergeCell ref="I3:I4"/>
    <mergeCell ref="A6:I6"/>
    <mergeCell ref="A14:B14"/>
    <mergeCell ref="A15:I15"/>
    <mergeCell ref="A18:B18"/>
    <mergeCell ref="A19:B19"/>
    <mergeCell ref="A1:I1"/>
  </mergeCells>
  <pageMargins left="0.75" right="0.75" top="1" bottom="1" header="0.5" footer="0.5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theme="3"/>
  </sheetPr>
  <dimension ref="A1:D30"/>
  <sheetViews>
    <sheetView view="pageLayout" zoomScaleNormal="100" workbookViewId="0">
      <selection activeCell="J14" sqref="J14"/>
    </sheetView>
  </sheetViews>
  <sheetFormatPr defaultColWidth="8" defaultRowHeight="12.75" x14ac:dyDescent="0.2"/>
  <cols>
    <col min="1" max="1" width="5" style="427" customWidth="1"/>
    <col min="2" max="2" width="47.85546875" style="410" customWidth="1"/>
    <col min="3" max="4" width="12.7109375" style="410" customWidth="1"/>
    <col min="5" max="16384" width="8" style="410"/>
  </cols>
  <sheetData>
    <row r="1" spans="1:4" s="180" customFormat="1" ht="15.75" thickBot="1" x14ac:dyDescent="0.25">
      <c r="A1" s="374"/>
      <c r="B1" s="594"/>
      <c r="D1" s="375" t="s">
        <v>469</v>
      </c>
    </row>
    <row r="2" spans="1:4" s="378" customFormat="1" ht="48" customHeight="1" thickBot="1" x14ac:dyDescent="0.25">
      <c r="A2" s="401" t="s">
        <v>320</v>
      </c>
      <c r="B2" s="376" t="s">
        <v>321</v>
      </c>
      <c r="C2" s="376" t="s">
        <v>823</v>
      </c>
      <c r="D2" s="402" t="s">
        <v>824</v>
      </c>
    </row>
    <row r="3" spans="1:4" s="378" customFormat="1" ht="14.1" customHeight="1" thickBot="1" x14ac:dyDescent="0.25">
      <c r="A3" s="403" t="s">
        <v>457</v>
      </c>
      <c r="B3" s="404" t="s">
        <v>458</v>
      </c>
      <c r="C3" s="404" t="s">
        <v>459</v>
      </c>
      <c r="D3" s="405" t="s">
        <v>460</v>
      </c>
    </row>
    <row r="4" spans="1:4" ht="18" customHeight="1" x14ac:dyDescent="0.2">
      <c r="A4" s="406" t="s">
        <v>235</v>
      </c>
      <c r="B4" s="407" t="s">
        <v>413</v>
      </c>
      <c r="C4" s="408"/>
      <c r="D4" s="409"/>
    </row>
    <row r="5" spans="1:4" ht="18" customHeight="1" x14ac:dyDescent="0.2">
      <c r="A5" s="411" t="s">
        <v>243</v>
      </c>
      <c r="B5" s="412" t="s">
        <v>414</v>
      </c>
      <c r="C5" s="413"/>
      <c r="D5" s="414"/>
    </row>
    <row r="6" spans="1:4" ht="18" customHeight="1" x14ac:dyDescent="0.2">
      <c r="A6" s="411" t="s">
        <v>244</v>
      </c>
      <c r="B6" s="412" t="s">
        <v>415</v>
      </c>
      <c r="C6" s="413"/>
      <c r="D6" s="414"/>
    </row>
    <row r="7" spans="1:4" ht="18" customHeight="1" x14ac:dyDescent="0.2">
      <c r="A7" s="411" t="s">
        <v>245</v>
      </c>
      <c r="B7" s="412" t="s">
        <v>416</v>
      </c>
      <c r="C7" s="413"/>
      <c r="D7" s="414"/>
    </row>
    <row r="8" spans="1:4" ht="18" customHeight="1" x14ac:dyDescent="0.2">
      <c r="A8" s="415" t="s">
        <v>246</v>
      </c>
      <c r="B8" s="412" t="s">
        <v>417</v>
      </c>
      <c r="C8" s="413"/>
      <c r="D8" s="414"/>
    </row>
    <row r="9" spans="1:4" ht="18" customHeight="1" x14ac:dyDescent="0.2">
      <c r="A9" s="411" t="s">
        <v>249</v>
      </c>
      <c r="B9" s="412" t="s">
        <v>418</v>
      </c>
      <c r="C9" s="413"/>
      <c r="D9" s="414"/>
    </row>
    <row r="10" spans="1:4" ht="18" customHeight="1" x14ac:dyDescent="0.2">
      <c r="A10" s="415" t="s">
        <v>250</v>
      </c>
      <c r="B10" s="416" t="s">
        <v>419</v>
      </c>
      <c r="C10" s="413"/>
      <c r="D10" s="414"/>
    </row>
    <row r="11" spans="1:4" ht="18" customHeight="1" x14ac:dyDescent="0.2">
      <c r="A11" s="415" t="s">
        <v>251</v>
      </c>
      <c r="B11" s="416" t="s">
        <v>420</v>
      </c>
      <c r="C11" s="413">
        <v>150000</v>
      </c>
      <c r="D11" s="828" t="s">
        <v>858</v>
      </c>
    </row>
    <row r="12" spans="1:4" ht="18" customHeight="1" x14ac:dyDescent="0.2">
      <c r="A12" s="411" t="s">
        <v>252</v>
      </c>
      <c r="B12" s="416" t="s">
        <v>421</v>
      </c>
      <c r="C12" s="413"/>
      <c r="D12" s="414"/>
    </row>
    <row r="13" spans="1:4" ht="18" customHeight="1" x14ac:dyDescent="0.2">
      <c r="A13" s="415" t="s">
        <v>253</v>
      </c>
      <c r="B13" s="416" t="s">
        <v>422</v>
      </c>
      <c r="C13" s="413"/>
      <c r="D13" s="414"/>
    </row>
    <row r="14" spans="1:4" ht="22.5" x14ac:dyDescent="0.2">
      <c r="A14" s="411" t="s">
        <v>254</v>
      </c>
      <c r="B14" s="416" t="s">
        <v>423</v>
      </c>
      <c r="C14" s="413"/>
      <c r="D14" s="414"/>
    </row>
    <row r="15" spans="1:4" ht="18" customHeight="1" x14ac:dyDescent="0.2">
      <c r="A15" s="415" t="s">
        <v>255</v>
      </c>
      <c r="B15" s="412" t="s">
        <v>430</v>
      </c>
      <c r="C15" s="413"/>
      <c r="D15" s="414"/>
    </row>
    <row r="16" spans="1:4" ht="18" customHeight="1" x14ac:dyDescent="0.2">
      <c r="A16" s="411" t="s">
        <v>256</v>
      </c>
      <c r="B16" s="412" t="s">
        <v>431</v>
      </c>
      <c r="C16" s="413"/>
      <c r="D16" s="414"/>
    </row>
    <row r="17" spans="1:4" ht="18" customHeight="1" x14ac:dyDescent="0.2">
      <c r="A17" s="415" t="s">
        <v>259</v>
      </c>
      <c r="B17" s="412" t="s">
        <v>432</v>
      </c>
      <c r="C17" s="413"/>
      <c r="D17" s="414"/>
    </row>
    <row r="18" spans="1:4" ht="18" customHeight="1" x14ac:dyDescent="0.2">
      <c r="A18" s="411" t="s">
        <v>260</v>
      </c>
      <c r="B18" s="412" t="s">
        <v>433</v>
      </c>
      <c r="C18" s="413"/>
      <c r="D18" s="414"/>
    </row>
    <row r="19" spans="1:4" ht="18" customHeight="1" x14ac:dyDescent="0.2">
      <c r="A19" s="415" t="s">
        <v>261</v>
      </c>
      <c r="B19" s="412" t="s">
        <v>434</v>
      </c>
      <c r="C19" s="413"/>
      <c r="D19" s="414"/>
    </row>
    <row r="20" spans="1:4" ht="18" customHeight="1" x14ac:dyDescent="0.2">
      <c r="A20" s="411" t="s">
        <v>262</v>
      </c>
      <c r="B20" s="417"/>
      <c r="C20" s="413"/>
      <c r="D20" s="414"/>
    </row>
    <row r="21" spans="1:4" ht="18" customHeight="1" x14ac:dyDescent="0.2">
      <c r="A21" s="415" t="s">
        <v>263</v>
      </c>
      <c r="B21" s="417"/>
      <c r="C21" s="413"/>
      <c r="D21" s="414"/>
    </row>
    <row r="22" spans="1:4" ht="18" customHeight="1" x14ac:dyDescent="0.2">
      <c r="A22" s="411" t="s">
        <v>264</v>
      </c>
      <c r="B22" s="417"/>
      <c r="C22" s="413"/>
      <c r="D22" s="414"/>
    </row>
    <row r="23" spans="1:4" ht="18" customHeight="1" x14ac:dyDescent="0.2">
      <c r="A23" s="415" t="s">
        <v>265</v>
      </c>
      <c r="B23" s="417"/>
      <c r="C23" s="413"/>
      <c r="D23" s="414"/>
    </row>
    <row r="24" spans="1:4" ht="18" customHeight="1" x14ac:dyDescent="0.2">
      <c r="A24" s="411" t="s">
        <v>266</v>
      </c>
      <c r="B24" s="417"/>
      <c r="C24" s="413"/>
      <c r="D24" s="414"/>
    </row>
    <row r="25" spans="1:4" ht="18" customHeight="1" x14ac:dyDescent="0.2">
      <c r="A25" s="415" t="s">
        <v>267</v>
      </c>
      <c r="B25" s="417"/>
      <c r="C25" s="413"/>
      <c r="D25" s="414"/>
    </row>
    <row r="26" spans="1:4" ht="18" customHeight="1" x14ac:dyDescent="0.2">
      <c r="A26" s="411" t="s">
        <v>268</v>
      </c>
      <c r="B26" s="417"/>
      <c r="C26" s="413"/>
      <c r="D26" s="414"/>
    </row>
    <row r="27" spans="1:4" ht="18" customHeight="1" x14ac:dyDescent="0.2">
      <c r="A27" s="415" t="s">
        <v>269</v>
      </c>
      <c r="B27" s="417"/>
      <c r="C27" s="413"/>
      <c r="D27" s="414"/>
    </row>
    <row r="28" spans="1:4" ht="18" customHeight="1" thickBot="1" x14ac:dyDescent="0.25">
      <c r="A28" s="418" t="s">
        <v>270</v>
      </c>
      <c r="B28" s="419"/>
      <c r="C28" s="420"/>
      <c r="D28" s="421"/>
    </row>
    <row r="29" spans="1:4" ht="18" customHeight="1" thickBot="1" x14ac:dyDescent="0.25">
      <c r="A29" s="422" t="s">
        <v>271</v>
      </c>
      <c r="B29" s="423" t="s">
        <v>231</v>
      </c>
      <c r="C29" s="424">
        <f>+C4+C5+C6+C7+C8+C15+C16+C17+C18+C19+C20+C21+C22+C23+C24+C25+C26+C27+C28</f>
        <v>0</v>
      </c>
      <c r="D29" s="425">
        <f>+D4+D5+D6+D7+D8+D15+D16+D17+D18+D19+D20+D21+D22+D23+D24+D25+D26+D27+D28</f>
        <v>0</v>
      </c>
    </row>
    <row r="30" spans="1:4" ht="25.5" customHeight="1" x14ac:dyDescent="0.2">
      <c r="A30" s="426"/>
      <c r="B30" s="1037" t="s">
        <v>435</v>
      </c>
      <c r="C30" s="1037"/>
      <c r="D30" s="1037"/>
    </row>
  </sheetData>
  <mergeCells count="1">
    <mergeCell ref="B30:D30"/>
  </mergeCells>
  <phoneticPr fontId="22" type="noConversion"/>
  <printOptions horizontalCentered="1"/>
  <pageMargins left="0.78740157480314965" right="0.78740157480314965" top="1.7716535433070868" bottom="0.98425196850393704" header="0.78740157480314965" footer="0.78740157480314965"/>
  <pageSetup paperSize="9" scale="95" orientation="portrait" horizontalDpi="300" verticalDpi="300" r:id="rId1"/>
  <headerFooter alignWithMargins="0">
    <oddHeader>&amp;C&amp;"Times New Roman CE,Félkövér"&amp;14
&amp;12
Az önkormányzat által adott közvetett támogatások
(kedvezmények)
&amp;R&amp;"Times New Roman CE,Félkövér dőlt"&amp;11 3. számú tájékoztató tábla a 12/2018. (V.31.) önkormányzati rendelethez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39"/>
  <sheetViews>
    <sheetView view="pageLayout" zoomScaleNormal="100" workbookViewId="0">
      <selection activeCell="E4" sqref="E4"/>
    </sheetView>
  </sheetViews>
  <sheetFormatPr defaultRowHeight="12.75" x14ac:dyDescent="0.2"/>
  <cols>
    <col min="1" max="1" width="5.7109375" style="772" customWidth="1"/>
    <col min="2" max="2" width="37.140625" style="772" customWidth="1"/>
    <col min="3" max="3" width="26.7109375" style="772" customWidth="1"/>
    <col min="4" max="4" width="12.7109375" style="772" customWidth="1"/>
    <col min="5" max="16384" width="9.140625" style="772"/>
  </cols>
  <sheetData>
    <row r="1" spans="1:6" ht="45" customHeight="1" x14ac:dyDescent="0.25">
      <c r="A1" s="1038" t="s">
        <v>825</v>
      </c>
      <c r="B1" s="1038"/>
      <c r="C1" s="1038"/>
      <c r="D1" s="1038"/>
    </row>
    <row r="2" spans="1:6" ht="17.25" customHeight="1" x14ac:dyDescent="0.25">
      <c r="A2" s="773"/>
      <c r="B2" s="773"/>
      <c r="C2" s="773"/>
      <c r="D2" s="773"/>
    </row>
    <row r="3" spans="1:6" ht="13.5" thickBot="1" x14ac:dyDescent="0.25">
      <c r="A3" s="774"/>
      <c r="B3" s="774"/>
      <c r="C3" s="1039" t="s">
        <v>826</v>
      </c>
      <c r="D3" s="1039"/>
    </row>
    <row r="4" spans="1:6" ht="42.75" customHeight="1" thickBot="1" x14ac:dyDescent="0.25">
      <c r="A4" s="775" t="s">
        <v>405</v>
      </c>
      <c r="B4" s="776" t="s">
        <v>754</v>
      </c>
      <c r="C4" s="776" t="s">
        <v>755</v>
      </c>
      <c r="D4" s="777" t="s">
        <v>827</v>
      </c>
    </row>
    <row r="5" spans="1:6" ht="15.95" customHeight="1" x14ac:dyDescent="0.2">
      <c r="A5" s="778" t="s">
        <v>235</v>
      </c>
      <c r="B5" s="779" t="s">
        <v>177</v>
      </c>
      <c r="C5" s="780" t="s">
        <v>184</v>
      </c>
      <c r="D5" s="781">
        <v>5000000</v>
      </c>
      <c r="E5" s="782"/>
      <c r="F5" s="782"/>
    </row>
    <row r="6" spans="1:6" ht="15.95" customHeight="1" x14ac:dyDescent="0.2">
      <c r="A6" s="778" t="s">
        <v>243</v>
      </c>
      <c r="B6" s="783" t="s">
        <v>178</v>
      </c>
      <c r="C6" s="784" t="s">
        <v>184</v>
      </c>
      <c r="D6" s="785">
        <f>750000+750000+375000</f>
        <v>1875000</v>
      </c>
      <c r="E6" s="782"/>
      <c r="F6" s="782"/>
    </row>
    <row r="7" spans="1:6" ht="15.95" customHeight="1" x14ac:dyDescent="0.2">
      <c r="A7" s="778" t="s">
        <v>244</v>
      </c>
      <c r="B7" s="783" t="s">
        <v>179</v>
      </c>
      <c r="C7" s="784" t="s">
        <v>184</v>
      </c>
      <c r="D7" s="785">
        <v>500000</v>
      </c>
      <c r="E7" s="782"/>
      <c r="F7" s="782"/>
    </row>
    <row r="8" spans="1:6" ht="15.95" customHeight="1" x14ac:dyDescent="0.2">
      <c r="A8" s="778" t="s">
        <v>245</v>
      </c>
      <c r="B8" s="783" t="s">
        <v>180</v>
      </c>
      <c r="C8" s="783" t="s">
        <v>184</v>
      </c>
      <c r="D8" s="785">
        <f>2000000+1000000+2000000+4000000+1000000+2500000</f>
        <v>12500000</v>
      </c>
      <c r="E8" s="782"/>
      <c r="F8" s="782"/>
    </row>
    <row r="9" spans="1:6" ht="15.95" customHeight="1" x14ac:dyDescent="0.2">
      <c r="A9" s="778" t="s">
        <v>246</v>
      </c>
      <c r="B9" s="784" t="s">
        <v>181</v>
      </c>
      <c r="C9" s="783" t="s">
        <v>184</v>
      </c>
      <c r="D9" s="789">
        <v>200000</v>
      </c>
      <c r="E9" s="782"/>
      <c r="F9" s="782"/>
    </row>
    <row r="10" spans="1:6" ht="15.95" customHeight="1" x14ac:dyDescent="0.2">
      <c r="A10" s="778" t="s">
        <v>249</v>
      </c>
      <c r="B10" s="790" t="s">
        <v>508</v>
      </c>
      <c r="C10" s="783" t="s">
        <v>184</v>
      </c>
      <c r="D10" s="808">
        <v>200000</v>
      </c>
      <c r="E10" s="782"/>
      <c r="F10" s="782"/>
    </row>
    <row r="11" spans="1:6" ht="15.95" customHeight="1" x14ac:dyDescent="0.2">
      <c r="A11" s="778" t="s">
        <v>250</v>
      </c>
      <c r="B11" s="790" t="s">
        <v>502</v>
      </c>
      <c r="C11" s="783" t="s">
        <v>184</v>
      </c>
      <c r="D11" s="808">
        <v>30000</v>
      </c>
      <c r="E11" s="782"/>
      <c r="F11" s="782"/>
    </row>
    <row r="12" spans="1:6" ht="15.95" customHeight="1" x14ac:dyDescent="0.2">
      <c r="A12" s="778" t="s">
        <v>251</v>
      </c>
      <c r="B12" s="790" t="s">
        <v>830</v>
      </c>
      <c r="C12" s="783" t="s">
        <v>184</v>
      </c>
      <c r="D12" s="808">
        <f>200000</f>
        <v>200000</v>
      </c>
      <c r="E12" s="782"/>
      <c r="F12" s="782"/>
    </row>
    <row r="13" spans="1:6" ht="15.95" customHeight="1" x14ac:dyDescent="0.2">
      <c r="A13" s="778" t="s">
        <v>252</v>
      </c>
      <c r="B13" s="790" t="s">
        <v>502</v>
      </c>
      <c r="C13" s="783" t="s">
        <v>184</v>
      </c>
      <c r="D13" s="808">
        <v>40000</v>
      </c>
      <c r="E13" s="782"/>
      <c r="F13" s="782"/>
    </row>
    <row r="14" spans="1:6" ht="15.95" customHeight="1" x14ac:dyDescent="0.2">
      <c r="A14" s="778" t="s">
        <v>253</v>
      </c>
      <c r="B14" s="790" t="s">
        <v>840</v>
      </c>
      <c r="C14" s="783" t="s">
        <v>184</v>
      </c>
      <c r="D14" s="808">
        <v>20000</v>
      </c>
      <c r="E14" s="782"/>
      <c r="F14" s="782"/>
    </row>
    <row r="15" spans="1:6" ht="15.95" customHeight="1" x14ac:dyDescent="0.2">
      <c r="A15" s="778" t="s">
        <v>254</v>
      </c>
      <c r="B15" s="790" t="s">
        <v>502</v>
      </c>
      <c r="C15" s="783" t="s">
        <v>184</v>
      </c>
      <c r="D15" s="808">
        <v>20000</v>
      </c>
      <c r="E15" s="782"/>
      <c r="F15" s="782"/>
    </row>
    <row r="16" spans="1:6" ht="15.95" customHeight="1" x14ac:dyDescent="0.2">
      <c r="A16" s="778" t="s">
        <v>255</v>
      </c>
      <c r="B16" s="791" t="s">
        <v>853</v>
      </c>
      <c r="C16" s="783" t="s">
        <v>185</v>
      </c>
      <c r="D16" s="808">
        <v>1015</v>
      </c>
      <c r="E16" s="782"/>
      <c r="F16" s="782"/>
    </row>
    <row r="17" spans="1:6" ht="15.95" customHeight="1" x14ac:dyDescent="0.2">
      <c r="A17" s="778" t="s">
        <v>256</v>
      </c>
      <c r="B17" s="791" t="s">
        <v>841</v>
      </c>
      <c r="C17" s="783" t="s">
        <v>184</v>
      </c>
      <c r="D17" s="808">
        <v>20000</v>
      </c>
      <c r="E17" s="782"/>
      <c r="F17" s="782"/>
    </row>
    <row r="18" spans="1:6" ht="15.95" customHeight="1" x14ac:dyDescent="0.2">
      <c r="A18" s="778" t="s">
        <v>259</v>
      </c>
      <c r="B18" s="791" t="s">
        <v>842</v>
      </c>
      <c r="C18" s="783" t="s">
        <v>184</v>
      </c>
      <c r="D18" s="808">
        <f>130000+100000</f>
        <v>230000</v>
      </c>
      <c r="E18" s="782"/>
      <c r="F18" s="782"/>
    </row>
    <row r="19" spans="1:6" ht="15.95" customHeight="1" x14ac:dyDescent="0.2">
      <c r="A19" s="778" t="s">
        <v>260</v>
      </c>
      <c r="B19" s="790" t="s">
        <v>843</v>
      </c>
      <c r="C19" s="783" t="s">
        <v>184</v>
      </c>
      <c r="D19" s="808">
        <v>30000</v>
      </c>
      <c r="E19" s="782"/>
      <c r="F19" s="782"/>
    </row>
    <row r="20" spans="1:6" ht="15.95" customHeight="1" x14ac:dyDescent="0.2">
      <c r="A20" s="778" t="s">
        <v>261</v>
      </c>
      <c r="B20" s="790" t="s">
        <v>844</v>
      </c>
      <c r="C20" s="783" t="s">
        <v>184</v>
      </c>
      <c r="D20" s="808">
        <v>25000</v>
      </c>
      <c r="E20" s="782"/>
      <c r="F20" s="782"/>
    </row>
    <row r="21" spans="1:6" ht="15.95" customHeight="1" x14ac:dyDescent="0.2">
      <c r="A21" s="778" t="s">
        <v>262</v>
      </c>
      <c r="B21" s="790" t="s">
        <v>830</v>
      </c>
      <c r="C21" s="783" t="s">
        <v>184</v>
      </c>
      <c r="D21" s="808">
        <v>80000</v>
      </c>
      <c r="E21" s="782"/>
      <c r="F21" s="782"/>
    </row>
    <row r="22" spans="1:6" ht="15.95" customHeight="1" x14ac:dyDescent="0.2">
      <c r="A22" s="778" t="s">
        <v>263</v>
      </c>
      <c r="B22" s="783" t="s">
        <v>182</v>
      </c>
      <c r="C22" s="783" t="s">
        <v>185</v>
      </c>
      <c r="D22" s="785">
        <v>7785001</v>
      </c>
      <c r="E22" s="809"/>
      <c r="F22" s="782"/>
    </row>
    <row r="23" spans="1:6" ht="15.95" customHeight="1" x14ac:dyDescent="0.2">
      <c r="A23" s="778" t="s">
        <v>264</v>
      </c>
      <c r="B23" s="783" t="s">
        <v>828</v>
      </c>
      <c r="C23" s="783" t="s">
        <v>185</v>
      </c>
      <c r="D23" s="785">
        <v>1000000</v>
      </c>
      <c r="E23" s="782"/>
      <c r="F23" s="782"/>
    </row>
    <row r="24" spans="1:6" ht="15.95" customHeight="1" x14ac:dyDescent="0.2">
      <c r="A24" s="778" t="s">
        <v>265</v>
      </c>
      <c r="B24" s="783" t="s">
        <v>182</v>
      </c>
      <c r="C24" s="783" t="s">
        <v>184</v>
      </c>
      <c r="D24" s="785">
        <v>7561498</v>
      </c>
      <c r="E24" s="782"/>
      <c r="F24" s="782"/>
    </row>
    <row r="25" spans="1:6" ht="15.95" customHeight="1" x14ac:dyDescent="0.2">
      <c r="A25" s="778" t="s">
        <v>266</v>
      </c>
      <c r="B25" s="783" t="s">
        <v>183</v>
      </c>
      <c r="C25" s="783" t="s">
        <v>184</v>
      </c>
      <c r="D25" s="785">
        <f>5000000+762083+1091600+1091600+1091600+1091600+1091600+1091600+1091600+1091600+1091600+1091517</f>
        <v>16678000</v>
      </c>
      <c r="E25" s="782"/>
      <c r="F25" s="786"/>
    </row>
    <row r="26" spans="1:6" ht="15.95" customHeight="1" x14ac:dyDescent="0.2">
      <c r="A26" s="778" t="s">
        <v>267</v>
      </c>
      <c r="B26" s="783" t="s">
        <v>829</v>
      </c>
      <c r="C26" s="783" t="s">
        <v>184</v>
      </c>
      <c r="D26" s="785">
        <v>401640</v>
      </c>
      <c r="E26" s="782"/>
      <c r="F26" s="782"/>
    </row>
    <row r="27" spans="1:6" ht="15.95" customHeight="1" x14ac:dyDescent="0.2">
      <c r="A27" s="778" t="s">
        <v>268</v>
      </c>
      <c r="B27" s="783" t="s">
        <v>830</v>
      </c>
      <c r="C27" s="783" t="s">
        <v>184</v>
      </c>
      <c r="D27" s="785">
        <v>189000</v>
      </c>
    </row>
    <row r="28" spans="1:6" ht="15.95" customHeight="1" x14ac:dyDescent="0.2">
      <c r="A28" s="778" t="s">
        <v>269</v>
      </c>
      <c r="B28" s="783" t="s">
        <v>831</v>
      </c>
      <c r="C28" s="783" t="s">
        <v>184</v>
      </c>
      <c r="D28" s="787">
        <f>3500000+3300000+6000000+2728000+384000+384600+385200+384600+3022100+3600000+3500000+384600+238900+1590000+5870000</f>
        <v>35272000</v>
      </c>
    </row>
    <row r="29" spans="1:6" ht="15.95" customHeight="1" x14ac:dyDescent="0.2">
      <c r="A29" s="778" t="s">
        <v>270</v>
      </c>
      <c r="B29" s="783" t="s">
        <v>832</v>
      </c>
      <c r="C29" s="783" t="s">
        <v>185</v>
      </c>
      <c r="D29" s="787">
        <v>2400000</v>
      </c>
      <c r="E29" s="809"/>
    </row>
    <row r="30" spans="1:6" ht="15.95" customHeight="1" x14ac:dyDescent="0.2">
      <c r="A30" s="778" t="s">
        <v>271</v>
      </c>
      <c r="B30" s="783" t="s">
        <v>833</v>
      </c>
      <c r="C30" s="783" t="s">
        <v>185</v>
      </c>
      <c r="D30" s="787">
        <f>1047750+300000</f>
        <v>1347750</v>
      </c>
    </row>
    <row r="31" spans="1:6" ht="22.5" x14ac:dyDescent="0.2">
      <c r="A31" s="778" t="s">
        <v>272</v>
      </c>
      <c r="B31" s="788" t="s">
        <v>834</v>
      </c>
      <c r="C31" s="783" t="s">
        <v>185</v>
      </c>
      <c r="D31" s="787">
        <f>600000+1079500</f>
        <v>1679500</v>
      </c>
    </row>
    <row r="32" spans="1:6" ht="22.5" x14ac:dyDescent="0.2">
      <c r="A32" s="778" t="s">
        <v>273</v>
      </c>
      <c r="B32" s="788" t="s">
        <v>835</v>
      </c>
      <c r="C32" s="783" t="s">
        <v>184</v>
      </c>
      <c r="D32" s="787">
        <v>3000000</v>
      </c>
    </row>
    <row r="33" spans="1:4" ht="15.95" customHeight="1" x14ac:dyDescent="0.2">
      <c r="A33" s="778" t="s">
        <v>274</v>
      </c>
      <c r="B33" s="783" t="s">
        <v>836</v>
      </c>
      <c r="C33" s="783" t="s">
        <v>184</v>
      </c>
      <c r="D33" s="787">
        <f>2284000+1667000</f>
        <v>3951000</v>
      </c>
    </row>
    <row r="34" spans="1:4" ht="15.95" customHeight="1" x14ac:dyDescent="0.2">
      <c r="A34" s="778" t="s">
        <v>275</v>
      </c>
      <c r="B34" s="783" t="s">
        <v>837</v>
      </c>
      <c r="C34" s="783" t="s">
        <v>184</v>
      </c>
      <c r="D34" s="787">
        <v>250000</v>
      </c>
    </row>
    <row r="35" spans="1:4" ht="15.95" customHeight="1" x14ac:dyDescent="0.2">
      <c r="A35" s="778" t="s">
        <v>276</v>
      </c>
      <c r="B35" s="783" t="s">
        <v>838</v>
      </c>
      <c r="C35" s="783" t="s">
        <v>184</v>
      </c>
      <c r="D35" s="787">
        <v>80000</v>
      </c>
    </row>
    <row r="36" spans="1:4" ht="15.95" customHeight="1" x14ac:dyDescent="0.2">
      <c r="A36" s="778" t="s">
        <v>277</v>
      </c>
      <c r="B36" s="783" t="s">
        <v>839</v>
      </c>
      <c r="C36" s="783" t="s">
        <v>184</v>
      </c>
      <c r="D36" s="787">
        <v>18000000</v>
      </c>
    </row>
    <row r="37" spans="1:4" ht="15.95" customHeight="1" x14ac:dyDescent="0.2">
      <c r="A37" s="778" t="s">
        <v>278</v>
      </c>
      <c r="B37" s="783" t="s">
        <v>851</v>
      </c>
      <c r="C37" s="783" t="s">
        <v>184</v>
      </c>
      <c r="D37" s="787">
        <v>20000</v>
      </c>
    </row>
    <row r="38" spans="1:4" ht="15.95" customHeight="1" x14ac:dyDescent="0.2">
      <c r="A38" s="778" t="s">
        <v>279</v>
      </c>
      <c r="B38" s="783" t="s">
        <v>852</v>
      </c>
      <c r="C38" s="783" t="s">
        <v>184</v>
      </c>
      <c r="D38" s="787">
        <v>785000</v>
      </c>
    </row>
    <row r="39" spans="1:4" ht="15.95" customHeight="1" thickBot="1" x14ac:dyDescent="0.25">
      <c r="A39" s="1040" t="s">
        <v>231</v>
      </c>
      <c r="B39" s="1041"/>
      <c r="C39" s="792"/>
      <c r="D39" s="793">
        <f>SUM(D5:D38)</f>
        <v>121371404</v>
      </c>
    </row>
  </sheetData>
  <mergeCells count="3">
    <mergeCell ref="A1:D1"/>
    <mergeCell ref="C3:D3"/>
    <mergeCell ref="A39:B39"/>
  </mergeCells>
  <conditionalFormatting sqref="D39">
    <cfRule type="cellIs" dxfId="2" priority="1" stopIfTrue="1" operator="equal">
      <formula>0</formula>
    </cfRule>
  </conditionalFormatting>
  <printOptions horizontalCentered="1"/>
  <pageMargins left="0.78740157480314965" right="0.78740157480314965" top="1.06" bottom="0.98425196850393704" header="0.78740157480314965" footer="0.78740157480314965"/>
  <pageSetup paperSize="9" scale="95" orientation="portrait" r:id="rId1"/>
  <headerFooter alignWithMargins="0">
    <oddHeader>&amp;R&amp;"Times New Roman CE,Dőlt"&amp;11 4. számú tájékoztató tábla a 12/2018. (V.31.) önkormányzati rendelethez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Q75"/>
  <sheetViews>
    <sheetView view="pageLayout" zoomScaleNormal="100" zoomScaleSheetLayoutView="55" workbookViewId="0">
      <selection activeCell="H14" sqref="H14"/>
    </sheetView>
  </sheetViews>
  <sheetFormatPr defaultColWidth="10.28515625" defaultRowHeight="15.75" x14ac:dyDescent="0.25"/>
  <cols>
    <col min="1" max="1" width="57.5703125" style="428" customWidth="1"/>
    <col min="2" max="2" width="5.28515625" style="429" customWidth="1"/>
    <col min="3" max="3" width="11.85546875" style="428" bestFit="1" customWidth="1"/>
    <col min="4" max="4" width="11.85546875" style="457" bestFit="1" customWidth="1"/>
    <col min="5" max="5" width="10.42578125" style="458" customWidth="1"/>
    <col min="6" max="6" width="8.42578125" style="428" customWidth="1"/>
    <col min="7" max="7" width="11.85546875" style="428" bestFit="1" customWidth="1"/>
    <col min="8" max="8" width="11.5703125" style="457" bestFit="1" customWidth="1"/>
    <col min="9" max="9" width="10.42578125" style="458" customWidth="1"/>
    <col min="10" max="10" width="8.42578125" style="428" customWidth="1"/>
    <col min="11" max="11" width="11.42578125" style="428" customWidth="1"/>
    <col min="12" max="12" width="11.28515625" style="428" bestFit="1" customWidth="1"/>
    <col min="13" max="13" width="10.28515625" style="428"/>
    <col min="14" max="14" width="8.5703125" style="428" customWidth="1"/>
    <col min="15" max="15" width="11.42578125" style="428" customWidth="1"/>
    <col min="16" max="16384" width="10.28515625" style="428"/>
  </cols>
  <sheetData>
    <row r="1" spans="1:17" ht="21.75" customHeight="1" x14ac:dyDescent="0.25">
      <c r="A1" s="1048" t="s">
        <v>118</v>
      </c>
      <c r="B1" s="1048"/>
      <c r="C1" s="1048"/>
      <c r="D1" s="1048"/>
      <c r="E1" s="1048"/>
      <c r="H1" s="428"/>
      <c r="I1" s="428"/>
    </row>
    <row r="2" spans="1:17" ht="21.75" customHeight="1" x14ac:dyDescent="0.25">
      <c r="A2" s="1048" t="s">
        <v>119</v>
      </c>
      <c r="B2" s="1048"/>
      <c r="C2" s="1048"/>
      <c r="D2" s="1048"/>
      <c r="E2" s="1048"/>
      <c r="G2" s="916"/>
      <c r="H2" s="916"/>
      <c r="I2" s="916"/>
      <c r="J2" s="916"/>
      <c r="K2" s="916"/>
      <c r="L2" s="916"/>
      <c r="M2" s="916"/>
      <c r="N2" s="916"/>
      <c r="O2" s="916"/>
      <c r="P2" s="916"/>
      <c r="Q2" s="916"/>
    </row>
    <row r="3" spans="1:17" ht="16.5" thickBot="1" x14ac:dyDescent="0.3">
      <c r="A3" s="794" t="s">
        <v>845</v>
      </c>
      <c r="C3" s="1042" t="s">
        <v>124</v>
      </c>
      <c r="D3" s="1042"/>
      <c r="E3" s="1042"/>
      <c r="G3" s="1042"/>
      <c r="H3" s="1042"/>
      <c r="I3" s="1042"/>
      <c r="J3" s="916"/>
      <c r="K3" s="1042"/>
      <c r="L3" s="1042"/>
      <c r="M3" s="1042"/>
      <c r="N3" s="916"/>
      <c r="O3" s="1042"/>
      <c r="P3" s="1042"/>
      <c r="Q3" s="1042"/>
    </row>
    <row r="4" spans="1:17" ht="15.75" customHeight="1" x14ac:dyDescent="0.25">
      <c r="A4" s="1053" t="s">
        <v>756</v>
      </c>
      <c r="B4" s="1056" t="s">
        <v>424</v>
      </c>
      <c r="C4" s="1043" t="s">
        <v>757</v>
      </c>
      <c r="D4" s="1043" t="s">
        <v>758</v>
      </c>
      <c r="E4" s="1045" t="s">
        <v>759</v>
      </c>
      <c r="G4" s="1047"/>
      <c r="H4" s="1047"/>
      <c r="I4" s="1047"/>
      <c r="J4" s="916"/>
      <c r="K4" s="1047"/>
      <c r="L4" s="1047"/>
      <c r="M4" s="1047"/>
      <c r="N4" s="916"/>
      <c r="O4" s="1047"/>
      <c r="P4" s="1047"/>
      <c r="Q4" s="1047"/>
    </row>
    <row r="5" spans="1:17" ht="11.25" customHeight="1" x14ac:dyDescent="0.25">
      <c r="A5" s="1054"/>
      <c r="B5" s="1057"/>
      <c r="C5" s="1044"/>
      <c r="D5" s="1044"/>
      <c r="E5" s="1046"/>
      <c r="G5" s="1047"/>
      <c r="H5" s="1047"/>
      <c r="I5" s="1047"/>
      <c r="J5" s="916"/>
      <c r="K5" s="1047"/>
      <c r="L5" s="1047"/>
      <c r="M5" s="1047"/>
      <c r="N5" s="916"/>
      <c r="O5" s="1047"/>
      <c r="P5" s="1047"/>
      <c r="Q5" s="1047"/>
    </row>
    <row r="6" spans="1:17" ht="15.75" customHeight="1" x14ac:dyDescent="0.25">
      <c r="A6" s="1055"/>
      <c r="B6" s="1058"/>
      <c r="C6" s="1050" t="s">
        <v>760</v>
      </c>
      <c r="D6" s="1050"/>
      <c r="E6" s="1051"/>
      <c r="G6" s="1052"/>
      <c r="H6" s="1052"/>
      <c r="I6" s="1052"/>
      <c r="J6" s="916"/>
      <c r="K6" s="1052"/>
      <c r="L6" s="1052"/>
      <c r="M6" s="1052"/>
      <c r="N6" s="916"/>
      <c r="O6" s="1052"/>
      <c r="P6" s="1052"/>
      <c r="Q6" s="1052"/>
    </row>
    <row r="7" spans="1:17" s="434" customFormat="1" ht="16.5" thickBot="1" x14ac:dyDescent="0.25">
      <c r="A7" s="431" t="s">
        <v>761</v>
      </c>
      <c r="B7" s="432" t="s">
        <v>458</v>
      </c>
      <c r="C7" s="432" t="s">
        <v>459</v>
      </c>
      <c r="D7" s="432" t="s">
        <v>460</v>
      </c>
      <c r="E7" s="433" t="s">
        <v>461</v>
      </c>
      <c r="G7" s="917"/>
      <c r="H7" s="917"/>
      <c r="I7" s="917"/>
      <c r="J7" s="918"/>
      <c r="K7" s="917"/>
      <c r="L7" s="917"/>
      <c r="M7" s="917"/>
      <c r="N7" s="918"/>
      <c r="O7" s="917"/>
      <c r="P7" s="917"/>
      <c r="Q7" s="917"/>
    </row>
    <row r="8" spans="1:17" s="439" customFormat="1" x14ac:dyDescent="0.2">
      <c r="A8" s="435" t="s">
        <v>762</v>
      </c>
      <c r="B8" s="436" t="s">
        <v>763</v>
      </c>
      <c r="C8" s="437">
        <v>139610696</v>
      </c>
      <c r="D8" s="691">
        <v>4252702</v>
      </c>
      <c r="E8" s="438"/>
      <c r="G8" s="919"/>
      <c r="H8" s="920"/>
      <c r="I8" s="919"/>
      <c r="J8" s="921"/>
      <c r="K8" s="919"/>
      <c r="L8" s="920"/>
      <c r="M8" s="919"/>
      <c r="N8" s="921"/>
      <c r="O8" s="919"/>
      <c r="P8" s="920"/>
      <c r="Q8" s="919"/>
    </row>
    <row r="9" spans="1:17" s="439" customFormat="1" x14ac:dyDescent="0.2">
      <c r="A9" s="440" t="s">
        <v>764</v>
      </c>
      <c r="B9" s="441" t="s">
        <v>765</v>
      </c>
      <c r="C9" s="442">
        <v>7773433914</v>
      </c>
      <c r="D9" s="672">
        <v>5501012310</v>
      </c>
      <c r="E9" s="443">
        <f>+E10+E15+E20+E25+E30</f>
        <v>0</v>
      </c>
      <c r="G9" s="922"/>
      <c r="H9" s="923"/>
      <c r="I9" s="922"/>
      <c r="J9" s="921"/>
      <c r="K9" s="922"/>
      <c r="L9" s="923"/>
      <c r="M9" s="922"/>
      <c r="N9" s="921"/>
      <c r="O9" s="922"/>
      <c r="P9" s="923"/>
      <c r="Q9" s="922"/>
    </row>
    <row r="10" spans="1:17" s="439" customFormat="1" x14ac:dyDescent="0.2">
      <c r="A10" s="440" t="s">
        <v>766</v>
      </c>
      <c r="B10" s="441" t="s">
        <v>767</v>
      </c>
      <c r="C10" s="442">
        <v>7347097655</v>
      </c>
      <c r="D10" s="672">
        <v>5376906244</v>
      </c>
      <c r="E10" s="443">
        <f>+E11+E12+E13+E14</f>
        <v>0</v>
      </c>
      <c r="G10" s="922"/>
      <c r="H10" s="923"/>
      <c r="I10" s="922"/>
      <c r="J10" s="921"/>
      <c r="K10" s="922"/>
      <c r="L10" s="923"/>
      <c r="M10" s="922"/>
      <c r="N10" s="921"/>
      <c r="O10" s="922"/>
      <c r="P10" s="923"/>
      <c r="Q10" s="922"/>
    </row>
    <row r="11" spans="1:17" s="439" customFormat="1" x14ac:dyDescent="0.2">
      <c r="A11" s="444" t="s">
        <v>768</v>
      </c>
      <c r="B11" s="441" t="s">
        <v>769</v>
      </c>
      <c r="C11" s="593">
        <v>1264381361</v>
      </c>
      <c r="D11" s="924">
        <v>776627412</v>
      </c>
      <c r="E11" s="445"/>
      <c r="G11" s="925"/>
      <c r="H11" s="926"/>
      <c r="I11" s="925"/>
      <c r="J11" s="921"/>
      <c r="K11" s="925"/>
      <c r="L11" s="926"/>
      <c r="M11" s="925"/>
      <c r="N11" s="921"/>
      <c r="O11" s="925"/>
      <c r="P11" s="926"/>
      <c r="Q11" s="925"/>
    </row>
    <row r="12" spans="1:17" s="439" customFormat="1" ht="26.25" customHeight="1" x14ac:dyDescent="0.2">
      <c r="A12" s="444" t="s">
        <v>0</v>
      </c>
      <c r="B12" s="441" t="s">
        <v>1</v>
      </c>
      <c r="C12" s="446">
        <v>21870556</v>
      </c>
      <c r="D12" s="446">
        <v>14217952</v>
      </c>
      <c r="E12" s="447"/>
      <c r="G12" s="927"/>
      <c r="H12" s="927"/>
      <c r="I12" s="927"/>
      <c r="J12" s="921"/>
      <c r="K12" s="927"/>
      <c r="L12" s="927"/>
      <c r="M12" s="927"/>
      <c r="N12" s="921"/>
      <c r="O12" s="927"/>
      <c r="P12" s="927"/>
      <c r="Q12" s="927"/>
    </row>
    <row r="13" spans="1:17" s="439" customFormat="1" ht="22.5" x14ac:dyDescent="0.2">
      <c r="A13" s="444" t="s">
        <v>2</v>
      </c>
      <c r="B13" s="441" t="s">
        <v>3</v>
      </c>
      <c r="C13" s="446">
        <v>1441978061</v>
      </c>
      <c r="D13" s="446">
        <v>1035659705</v>
      </c>
      <c r="E13" s="447"/>
      <c r="G13" s="927"/>
      <c r="H13" s="927"/>
      <c r="I13" s="927"/>
      <c r="J13" s="921"/>
      <c r="K13" s="927"/>
      <c r="L13" s="927"/>
      <c r="M13" s="927"/>
      <c r="N13" s="921"/>
      <c r="O13" s="927"/>
      <c r="P13" s="927"/>
      <c r="Q13" s="927"/>
    </row>
    <row r="14" spans="1:17" s="439" customFormat="1" x14ac:dyDescent="0.2">
      <c r="A14" s="444" t="s">
        <v>4</v>
      </c>
      <c r="B14" s="441" t="s">
        <v>5</v>
      </c>
      <c r="C14" s="446">
        <v>4618867677</v>
      </c>
      <c r="D14" s="446">
        <v>3550401175</v>
      </c>
      <c r="E14" s="447"/>
      <c r="G14" s="927"/>
      <c r="H14" s="927"/>
      <c r="I14" s="927"/>
      <c r="J14" s="921"/>
      <c r="K14" s="927"/>
      <c r="L14" s="927"/>
      <c r="M14" s="927"/>
      <c r="N14" s="921"/>
      <c r="O14" s="927"/>
      <c r="P14" s="927"/>
      <c r="Q14" s="927"/>
    </row>
    <row r="15" spans="1:17" s="439" customFormat="1" x14ac:dyDescent="0.2">
      <c r="A15" s="440" t="s">
        <v>6</v>
      </c>
      <c r="B15" s="441" t="s">
        <v>7</v>
      </c>
      <c r="C15" s="672">
        <v>375071773</v>
      </c>
      <c r="D15" s="672">
        <v>72841580</v>
      </c>
      <c r="E15" s="449">
        <f>+E16+E17+E18+E19</f>
        <v>0</v>
      </c>
      <c r="G15" s="923"/>
      <c r="H15" s="923"/>
      <c r="I15" s="928"/>
      <c r="J15" s="921"/>
      <c r="K15" s="923"/>
      <c r="L15" s="923"/>
      <c r="M15" s="928"/>
      <c r="N15" s="921"/>
      <c r="O15" s="923"/>
      <c r="P15" s="923"/>
      <c r="Q15" s="928"/>
    </row>
    <row r="16" spans="1:17" s="439" customFormat="1" x14ac:dyDescent="0.2">
      <c r="A16" s="444" t="s">
        <v>8</v>
      </c>
      <c r="B16" s="441" t="s">
        <v>9</v>
      </c>
      <c r="C16" s="446"/>
      <c r="D16" s="929"/>
      <c r="E16" s="447"/>
      <c r="G16" s="927"/>
      <c r="H16" s="927"/>
      <c r="I16" s="927"/>
      <c r="J16" s="921"/>
      <c r="K16" s="927"/>
      <c r="L16" s="927"/>
      <c r="M16" s="927"/>
      <c r="N16" s="921"/>
      <c r="O16" s="927"/>
      <c r="P16" s="927"/>
      <c r="Q16" s="927"/>
    </row>
    <row r="17" spans="1:17" s="439" customFormat="1" ht="22.5" x14ac:dyDescent="0.2">
      <c r="A17" s="444" t="s">
        <v>10</v>
      </c>
      <c r="B17" s="441" t="s">
        <v>253</v>
      </c>
      <c r="C17" s="446"/>
      <c r="D17" s="446"/>
      <c r="E17" s="447"/>
      <c r="G17" s="927"/>
      <c r="H17" s="927"/>
      <c r="I17" s="927"/>
      <c r="J17" s="921"/>
      <c r="K17" s="927"/>
      <c r="L17" s="927"/>
      <c r="M17" s="927"/>
      <c r="N17" s="921"/>
      <c r="O17" s="927"/>
      <c r="P17" s="927"/>
      <c r="Q17" s="927"/>
    </row>
    <row r="18" spans="1:17" s="439" customFormat="1" x14ac:dyDescent="0.2">
      <c r="A18" s="444" t="s">
        <v>11</v>
      </c>
      <c r="B18" s="441" t="s">
        <v>254</v>
      </c>
      <c r="C18" s="446"/>
      <c r="D18" s="446"/>
      <c r="E18" s="447"/>
      <c r="G18" s="927"/>
      <c r="H18" s="927"/>
      <c r="I18" s="927"/>
      <c r="J18" s="921"/>
      <c r="K18" s="927"/>
      <c r="L18" s="927"/>
      <c r="M18" s="927"/>
      <c r="N18" s="921"/>
      <c r="O18" s="927"/>
      <c r="P18" s="927"/>
      <c r="Q18" s="927"/>
    </row>
    <row r="19" spans="1:17" s="439" customFormat="1" x14ac:dyDescent="0.2">
      <c r="A19" s="444" t="s">
        <v>12</v>
      </c>
      <c r="B19" s="441" t="s">
        <v>255</v>
      </c>
      <c r="C19" s="446">
        <v>375071773</v>
      </c>
      <c r="D19" s="446">
        <v>72841580</v>
      </c>
      <c r="E19" s="447"/>
      <c r="G19" s="927"/>
      <c r="H19" s="927"/>
      <c r="I19" s="927"/>
      <c r="J19" s="921"/>
      <c r="K19" s="927"/>
      <c r="L19" s="927"/>
      <c r="M19" s="927"/>
      <c r="N19" s="921"/>
      <c r="O19" s="927"/>
      <c r="P19" s="927"/>
      <c r="Q19" s="927"/>
    </row>
    <row r="20" spans="1:17" s="439" customFormat="1" x14ac:dyDescent="0.2">
      <c r="A20" s="440" t="s">
        <v>13</v>
      </c>
      <c r="B20" s="441" t="s">
        <v>256</v>
      </c>
      <c r="C20" s="448">
        <f>+C21+C22+C23+C24</f>
        <v>0</v>
      </c>
      <c r="D20" s="448">
        <f>+D21+D22+D23+D24</f>
        <v>0</v>
      </c>
      <c r="E20" s="449">
        <f>+E21+E22+E23+E24</f>
        <v>0</v>
      </c>
      <c r="G20" s="928"/>
      <c r="H20" s="928"/>
      <c r="I20" s="928"/>
      <c r="J20" s="921"/>
      <c r="K20" s="928"/>
      <c r="L20" s="928"/>
      <c r="M20" s="928"/>
      <c r="N20" s="921"/>
      <c r="O20" s="928"/>
      <c r="P20" s="928"/>
      <c r="Q20" s="928"/>
    </row>
    <row r="21" spans="1:17" s="439" customFormat="1" x14ac:dyDescent="0.2">
      <c r="A21" s="444" t="s">
        <v>14</v>
      </c>
      <c r="B21" s="441" t="s">
        <v>259</v>
      </c>
      <c r="C21" s="446"/>
      <c r="D21" s="446"/>
      <c r="E21" s="447"/>
      <c r="G21" s="927"/>
      <c r="H21" s="927"/>
      <c r="I21" s="927"/>
      <c r="J21" s="921"/>
      <c r="K21" s="927"/>
      <c r="L21" s="927"/>
      <c r="M21" s="927"/>
      <c r="N21" s="921"/>
      <c r="O21" s="927"/>
      <c r="P21" s="927"/>
      <c r="Q21" s="927"/>
    </row>
    <row r="22" spans="1:17" s="439" customFormat="1" x14ac:dyDescent="0.2">
      <c r="A22" s="444" t="s">
        <v>15</v>
      </c>
      <c r="B22" s="441" t="s">
        <v>260</v>
      </c>
      <c r="C22" s="446"/>
      <c r="D22" s="446"/>
      <c r="E22" s="447"/>
      <c r="G22" s="927"/>
      <c r="H22" s="927"/>
      <c r="I22" s="927"/>
      <c r="J22" s="921"/>
      <c r="K22" s="927"/>
      <c r="L22" s="927"/>
      <c r="M22" s="927"/>
      <c r="N22" s="921"/>
      <c r="O22" s="927"/>
      <c r="P22" s="927"/>
      <c r="Q22" s="927"/>
    </row>
    <row r="23" spans="1:17" s="439" customFormat="1" x14ac:dyDescent="0.2">
      <c r="A23" s="444" t="s">
        <v>16</v>
      </c>
      <c r="B23" s="441" t="s">
        <v>261</v>
      </c>
      <c r="C23" s="446"/>
      <c r="D23" s="446"/>
      <c r="E23" s="447"/>
      <c r="G23" s="927"/>
      <c r="H23" s="927"/>
      <c r="I23" s="927"/>
      <c r="J23" s="921"/>
      <c r="K23" s="927"/>
      <c r="L23" s="927"/>
      <c r="M23" s="927"/>
      <c r="N23" s="921"/>
      <c r="O23" s="927"/>
      <c r="P23" s="927"/>
      <c r="Q23" s="927"/>
    </row>
    <row r="24" spans="1:17" s="439" customFormat="1" x14ac:dyDescent="0.2">
      <c r="A24" s="444" t="s">
        <v>17</v>
      </c>
      <c r="B24" s="441" t="s">
        <v>262</v>
      </c>
      <c r="C24" s="446"/>
      <c r="D24" s="446"/>
      <c r="E24" s="447"/>
      <c r="G24" s="927"/>
      <c r="H24" s="927"/>
      <c r="I24" s="927"/>
      <c r="J24" s="921"/>
      <c r="K24" s="927"/>
      <c r="L24" s="927"/>
      <c r="M24" s="927"/>
      <c r="N24" s="921"/>
      <c r="O24" s="927"/>
      <c r="P24" s="927"/>
      <c r="Q24" s="927"/>
    </row>
    <row r="25" spans="1:17" s="439" customFormat="1" x14ac:dyDescent="0.2">
      <c r="A25" s="440" t="s">
        <v>18</v>
      </c>
      <c r="B25" s="441" t="s">
        <v>263</v>
      </c>
      <c r="C25" s="672">
        <v>51264486</v>
      </c>
      <c r="D25" s="672">
        <v>51264486</v>
      </c>
      <c r="E25" s="449">
        <f>+E26+E27+E28+E29</f>
        <v>0</v>
      </c>
      <c r="G25" s="923"/>
      <c r="H25" s="923"/>
      <c r="I25" s="928"/>
      <c r="J25" s="921"/>
      <c r="K25" s="923"/>
      <c r="L25" s="923"/>
      <c r="M25" s="928"/>
      <c r="N25" s="921"/>
      <c r="O25" s="923"/>
      <c r="P25" s="923"/>
      <c r="Q25" s="928"/>
    </row>
    <row r="26" spans="1:17" s="439" customFormat="1" x14ac:dyDescent="0.2">
      <c r="A26" s="444" t="s">
        <v>19</v>
      </c>
      <c r="B26" s="441" t="s">
        <v>264</v>
      </c>
      <c r="C26" s="688"/>
      <c r="D26" s="929"/>
      <c r="E26" s="447"/>
      <c r="G26" s="930"/>
      <c r="H26" s="930"/>
      <c r="I26" s="927"/>
      <c r="J26" s="921"/>
      <c r="K26" s="930"/>
      <c r="L26" s="930"/>
      <c r="M26" s="927"/>
      <c r="N26" s="921"/>
      <c r="O26" s="930"/>
      <c r="P26" s="930"/>
      <c r="Q26" s="927"/>
    </row>
    <row r="27" spans="1:17" s="439" customFormat="1" x14ac:dyDescent="0.2">
      <c r="A27" s="444" t="s">
        <v>23</v>
      </c>
      <c r="B27" s="441" t="s">
        <v>265</v>
      </c>
      <c r="C27" s="446"/>
      <c r="D27" s="446"/>
      <c r="E27" s="447"/>
      <c r="G27" s="927"/>
      <c r="H27" s="927"/>
      <c r="I27" s="927"/>
      <c r="J27" s="921"/>
      <c r="K27" s="927"/>
      <c r="L27" s="927"/>
      <c r="M27" s="927"/>
      <c r="N27" s="921"/>
      <c r="O27" s="927"/>
      <c r="P27" s="927"/>
      <c r="Q27" s="927"/>
    </row>
    <row r="28" spans="1:17" s="439" customFormat="1" x14ac:dyDescent="0.2">
      <c r="A28" s="444" t="s">
        <v>24</v>
      </c>
      <c r="B28" s="441" t="s">
        <v>266</v>
      </c>
      <c r="C28" s="446"/>
      <c r="D28" s="446"/>
      <c r="E28" s="447"/>
      <c r="G28" s="927"/>
      <c r="H28" s="927"/>
      <c r="I28" s="927"/>
      <c r="J28" s="921"/>
      <c r="K28" s="927"/>
      <c r="L28" s="927"/>
      <c r="M28" s="927"/>
      <c r="N28" s="921"/>
      <c r="O28" s="927"/>
      <c r="P28" s="927"/>
      <c r="Q28" s="927"/>
    </row>
    <row r="29" spans="1:17" s="439" customFormat="1" x14ac:dyDescent="0.2">
      <c r="A29" s="444" t="s">
        <v>25</v>
      </c>
      <c r="B29" s="441" t="s">
        <v>267</v>
      </c>
      <c r="C29" s="446">
        <v>51264486</v>
      </c>
      <c r="D29" s="446">
        <v>51264486</v>
      </c>
      <c r="E29" s="447"/>
      <c r="G29" s="927"/>
      <c r="H29" s="927"/>
      <c r="I29" s="927"/>
      <c r="J29" s="921"/>
      <c r="K29" s="927"/>
      <c r="L29" s="927"/>
      <c r="M29" s="927"/>
      <c r="N29" s="921"/>
      <c r="O29" s="927"/>
      <c r="P29" s="927"/>
      <c r="Q29" s="927"/>
    </row>
    <row r="30" spans="1:17" s="439" customFormat="1" x14ac:dyDescent="0.2">
      <c r="A30" s="440" t="s">
        <v>26</v>
      </c>
      <c r="B30" s="441" t="s">
        <v>268</v>
      </c>
      <c r="C30" s="448">
        <f>+C31+C32+C33+C34</f>
        <v>0</v>
      </c>
      <c r="D30" s="448">
        <f>+D31+D32+D33+D34</f>
        <v>0</v>
      </c>
      <c r="E30" s="449">
        <f>+E31+E32+E33+E34</f>
        <v>0</v>
      </c>
      <c r="G30" s="928"/>
      <c r="H30" s="928"/>
      <c r="I30" s="928"/>
      <c r="J30" s="921"/>
      <c r="K30" s="928"/>
      <c r="L30" s="928"/>
      <c r="M30" s="928"/>
      <c r="N30" s="921"/>
      <c r="O30" s="928"/>
      <c r="P30" s="928"/>
      <c r="Q30" s="928"/>
    </row>
    <row r="31" spans="1:17" s="439" customFormat="1" x14ac:dyDescent="0.2">
      <c r="A31" s="444" t="s">
        <v>27</v>
      </c>
      <c r="B31" s="441" t="s">
        <v>269</v>
      </c>
      <c r="C31" s="446"/>
      <c r="D31" s="446"/>
      <c r="E31" s="447"/>
      <c r="G31" s="927"/>
      <c r="H31" s="927"/>
      <c r="I31" s="927"/>
      <c r="J31" s="921"/>
      <c r="K31" s="927"/>
      <c r="L31" s="927"/>
      <c r="M31" s="927"/>
      <c r="N31" s="921"/>
      <c r="O31" s="927"/>
      <c r="P31" s="927"/>
      <c r="Q31" s="927"/>
    </row>
    <row r="32" spans="1:17" s="439" customFormat="1" ht="22.5" x14ac:dyDescent="0.2">
      <c r="A32" s="444" t="s">
        <v>28</v>
      </c>
      <c r="B32" s="441" t="s">
        <v>270</v>
      </c>
      <c r="C32" s="446"/>
      <c r="D32" s="446"/>
      <c r="E32" s="447"/>
      <c r="G32" s="927"/>
      <c r="H32" s="927"/>
      <c r="I32" s="927"/>
      <c r="J32" s="921"/>
      <c r="K32" s="927"/>
      <c r="L32" s="927"/>
      <c r="M32" s="927"/>
      <c r="N32" s="921"/>
      <c r="O32" s="927"/>
      <c r="P32" s="927"/>
      <c r="Q32" s="927"/>
    </row>
    <row r="33" spans="1:17" s="439" customFormat="1" x14ac:dyDescent="0.2">
      <c r="A33" s="444" t="s">
        <v>29</v>
      </c>
      <c r="B33" s="441" t="s">
        <v>271</v>
      </c>
      <c r="C33" s="446"/>
      <c r="D33" s="446"/>
      <c r="E33" s="447"/>
      <c r="G33" s="927"/>
      <c r="H33" s="927"/>
      <c r="I33" s="927"/>
      <c r="J33" s="921"/>
      <c r="K33" s="927"/>
      <c r="L33" s="927"/>
      <c r="M33" s="927"/>
      <c r="N33" s="921"/>
      <c r="O33" s="927"/>
      <c r="P33" s="927"/>
      <c r="Q33" s="927"/>
    </row>
    <row r="34" spans="1:17" s="439" customFormat="1" x14ac:dyDescent="0.2">
      <c r="A34" s="444" t="s">
        <v>30</v>
      </c>
      <c r="B34" s="441" t="s">
        <v>272</v>
      </c>
      <c r="C34" s="446"/>
      <c r="D34" s="446"/>
      <c r="E34" s="447"/>
      <c r="G34" s="927"/>
      <c r="H34" s="927"/>
      <c r="I34" s="927"/>
      <c r="J34" s="921"/>
      <c r="K34" s="927"/>
      <c r="L34" s="927"/>
      <c r="M34" s="927"/>
      <c r="N34" s="921"/>
      <c r="O34" s="927"/>
      <c r="P34" s="927"/>
      <c r="Q34" s="927"/>
    </row>
    <row r="35" spans="1:17" s="439" customFormat="1" x14ac:dyDescent="0.2">
      <c r="A35" s="440" t="s">
        <v>31</v>
      </c>
      <c r="B35" s="441" t="s">
        <v>273</v>
      </c>
      <c r="C35" s="672">
        <v>75749228</v>
      </c>
      <c r="D35" s="672">
        <v>75719000</v>
      </c>
      <c r="E35" s="693">
        <f>+E36+E41+E46</f>
        <v>0</v>
      </c>
      <c r="G35" s="923"/>
      <c r="H35" s="923"/>
      <c r="I35" s="923"/>
      <c r="J35" s="921"/>
      <c r="K35" s="923"/>
      <c r="L35" s="923"/>
      <c r="M35" s="923"/>
      <c r="N35" s="921"/>
      <c r="O35" s="923"/>
      <c r="P35" s="923"/>
      <c r="Q35" s="923"/>
    </row>
    <row r="36" spans="1:17" s="439" customFormat="1" x14ac:dyDescent="0.2">
      <c r="A36" s="440" t="s">
        <v>32</v>
      </c>
      <c r="B36" s="441" t="s">
        <v>274</v>
      </c>
      <c r="C36" s="672">
        <v>75749228</v>
      </c>
      <c r="D36" s="672">
        <v>75719000</v>
      </c>
      <c r="E36" s="693">
        <f>+E37+E38+E39+E40</f>
        <v>0</v>
      </c>
      <c r="G36" s="923"/>
      <c r="H36" s="923"/>
      <c r="I36" s="923"/>
      <c r="J36" s="921"/>
      <c r="K36" s="923"/>
      <c r="L36" s="923"/>
      <c r="M36" s="923"/>
      <c r="N36" s="921"/>
      <c r="O36" s="923"/>
      <c r="P36" s="923"/>
      <c r="Q36" s="923"/>
    </row>
    <row r="37" spans="1:17" s="439" customFormat="1" x14ac:dyDescent="0.2">
      <c r="A37" s="444" t="s">
        <v>33</v>
      </c>
      <c r="B37" s="441" t="s">
        <v>275</v>
      </c>
      <c r="C37" s="446"/>
      <c r="D37" s="929"/>
      <c r="E37" s="447"/>
      <c r="G37" s="927"/>
      <c r="H37" s="927"/>
      <c r="I37" s="927"/>
      <c r="J37" s="921"/>
      <c r="K37" s="927"/>
      <c r="L37" s="927"/>
      <c r="M37" s="927"/>
      <c r="N37" s="921"/>
      <c r="O37" s="927"/>
      <c r="P37" s="927"/>
      <c r="Q37" s="927"/>
    </row>
    <row r="38" spans="1:17" s="439" customFormat="1" x14ac:dyDescent="0.2">
      <c r="A38" s="444" t="s">
        <v>34</v>
      </c>
      <c r="B38" s="441" t="s">
        <v>276</v>
      </c>
      <c r="C38" s="446"/>
      <c r="D38" s="446"/>
      <c r="E38" s="447"/>
      <c r="G38" s="927"/>
      <c r="H38" s="927"/>
      <c r="I38" s="927"/>
      <c r="J38" s="921"/>
      <c r="K38" s="927"/>
      <c r="L38" s="927"/>
      <c r="M38" s="927"/>
      <c r="N38" s="921"/>
      <c r="O38" s="927"/>
      <c r="P38" s="927"/>
      <c r="Q38" s="927"/>
    </row>
    <row r="39" spans="1:17" s="439" customFormat="1" x14ac:dyDescent="0.2">
      <c r="A39" s="444" t="s">
        <v>35</v>
      </c>
      <c r="B39" s="441" t="s">
        <v>277</v>
      </c>
      <c r="C39" s="446">
        <v>75690000</v>
      </c>
      <c r="D39" s="446">
        <v>75690000</v>
      </c>
      <c r="E39" s="447"/>
      <c r="G39" s="927"/>
      <c r="H39" s="927"/>
      <c r="I39" s="927"/>
      <c r="J39" s="921"/>
      <c r="K39" s="927"/>
      <c r="L39" s="927"/>
      <c r="M39" s="927"/>
      <c r="N39" s="921"/>
      <c r="O39" s="927"/>
      <c r="P39" s="927"/>
      <c r="Q39" s="927"/>
    </row>
    <row r="40" spans="1:17" s="439" customFormat="1" x14ac:dyDescent="0.2">
      <c r="A40" s="444" t="s">
        <v>36</v>
      </c>
      <c r="B40" s="441" t="s">
        <v>278</v>
      </c>
      <c r="C40" s="446">
        <v>59228</v>
      </c>
      <c r="D40" s="446">
        <v>29000</v>
      </c>
      <c r="E40" s="447"/>
      <c r="G40" s="927"/>
      <c r="H40" s="927"/>
      <c r="I40" s="927"/>
      <c r="J40" s="921"/>
      <c r="K40" s="927"/>
      <c r="L40" s="927"/>
      <c r="M40" s="927"/>
      <c r="N40" s="921"/>
      <c r="O40" s="927"/>
      <c r="P40" s="927"/>
      <c r="Q40" s="927"/>
    </row>
    <row r="41" spans="1:17" s="439" customFormat="1" x14ac:dyDescent="0.2">
      <c r="A41" s="440" t="s">
        <v>37</v>
      </c>
      <c r="B41" s="441" t="s">
        <v>279</v>
      </c>
      <c r="C41" s="448">
        <f>+C42+C43+C44+C45</f>
        <v>0</v>
      </c>
      <c r="D41" s="448">
        <f>+D42+D43+D44+D45</f>
        <v>0</v>
      </c>
      <c r="E41" s="449">
        <f>+E42+E43+E44+E45</f>
        <v>0</v>
      </c>
      <c r="G41" s="928"/>
      <c r="H41" s="928"/>
      <c r="I41" s="928"/>
      <c r="J41" s="921"/>
      <c r="K41" s="928"/>
      <c r="L41" s="928"/>
      <c r="M41" s="928"/>
      <c r="N41" s="921"/>
      <c r="O41" s="928"/>
      <c r="P41" s="928"/>
      <c r="Q41" s="928"/>
    </row>
    <row r="42" spans="1:17" s="439" customFormat="1" x14ac:dyDescent="0.2">
      <c r="A42" s="444" t="s">
        <v>38</v>
      </c>
      <c r="B42" s="441" t="s">
        <v>280</v>
      </c>
      <c r="C42" s="446"/>
      <c r="D42" s="446"/>
      <c r="E42" s="447"/>
      <c r="G42" s="927"/>
      <c r="H42" s="927"/>
      <c r="I42" s="927"/>
      <c r="J42" s="921"/>
      <c r="K42" s="927"/>
      <c r="L42" s="927"/>
      <c r="M42" s="927"/>
      <c r="N42" s="921"/>
      <c r="O42" s="927"/>
      <c r="P42" s="927"/>
      <c r="Q42" s="927"/>
    </row>
    <row r="43" spans="1:17" s="439" customFormat="1" ht="22.5" x14ac:dyDescent="0.2">
      <c r="A43" s="444" t="s">
        <v>39</v>
      </c>
      <c r="B43" s="441" t="s">
        <v>281</v>
      </c>
      <c r="C43" s="446"/>
      <c r="D43" s="446"/>
      <c r="E43" s="447"/>
      <c r="G43" s="927"/>
      <c r="H43" s="927"/>
      <c r="I43" s="927"/>
      <c r="J43" s="921"/>
      <c r="K43" s="927"/>
      <c r="L43" s="927"/>
      <c r="M43" s="927"/>
      <c r="N43" s="921"/>
      <c r="O43" s="927"/>
      <c r="P43" s="927"/>
      <c r="Q43" s="927"/>
    </row>
    <row r="44" spans="1:17" s="439" customFormat="1" x14ac:dyDescent="0.2">
      <c r="A44" s="444" t="s">
        <v>40</v>
      </c>
      <c r="B44" s="441" t="s">
        <v>282</v>
      </c>
      <c r="C44" s="446"/>
      <c r="D44" s="446"/>
      <c r="E44" s="447"/>
      <c r="G44" s="927"/>
      <c r="H44" s="927"/>
      <c r="I44" s="927"/>
      <c r="J44" s="921"/>
      <c r="K44" s="927"/>
      <c r="L44" s="927"/>
      <c r="M44" s="927"/>
      <c r="N44" s="921"/>
      <c r="O44" s="927"/>
      <c r="P44" s="927"/>
      <c r="Q44" s="927"/>
    </row>
    <row r="45" spans="1:17" s="439" customFormat="1" x14ac:dyDescent="0.2">
      <c r="A45" s="444" t="s">
        <v>41</v>
      </c>
      <c r="B45" s="441" t="s">
        <v>283</v>
      </c>
      <c r="C45" s="446"/>
      <c r="D45" s="446"/>
      <c r="E45" s="447"/>
      <c r="G45" s="927"/>
      <c r="H45" s="927"/>
      <c r="I45" s="927"/>
      <c r="J45" s="921"/>
      <c r="K45" s="927"/>
      <c r="L45" s="927"/>
      <c r="M45" s="927"/>
      <c r="N45" s="921"/>
      <c r="O45" s="927"/>
      <c r="P45" s="927"/>
      <c r="Q45" s="927"/>
    </row>
    <row r="46" spans="1:17" s="439" customFormat="1" x14ac:dyDescent="0.2">
      <c r="A46" s="440" t="s">
        <v>42</v>
      </c>
      <c r="B46" s="441" t="s">
        <v>284</v>
      </c>
      <c r="C46" s="448">
        <f>+C47+C48+C49+C50</f>
        <v>0</v>
      </c>
      <c r="D46" s="448">
        <f>+D47+D48+D49+D50</f>
        <v>0</v>
      </c>
      <c r="E46" s="449">
        <f>+E47+E48+E49+E50</f>
        <v>0</v>
      </c>
      <c r="G46" s="928"/>
      <c r="H46" s="928"/>
      <c r="I46" s="928"/>
      <c r="J46" s="921"/>
      <c r="K46" s="928"/>
      <c r="L46" s="928"/>
      <c r="M46" s="928"/>
      <c r="N46" s="921"/>
      <c r="O46" s="928"/>
      <c r="P46" s="928"/>
      <c r="Q46" s="928"/>
    </row>
    <row r="47" spans="1:17" s="439" customFormat="1" x14ac:dyDescent="0.2">
      <c r="A47" s="444" t="s">
        <v>43</v>
      </c>
      <c r="B47" s="441" t="s">
        <v>285</v>
      </c>
      <c r="C47" s="446"/>
      <c r="D47" s="446"/>
      <c r="E47" s="447"/>
      <c r="G47" s="927"/>
      <c r="H47" s="927"/>
      <c r="I47" s="927"/>
      <c r="J47" s="921"/>
      <c r="K47" s="927"/>
      <c r="L47" s="927"/>
      <c r="M47" s="927"/>
      <c r="N47" s="921"/>
      <c r="O47" s="927"/>
      <c r="P47" s="927"/>
      <c r="Q47" s="927"/>
    </row>
    <row r="48" spans="1:17" s="439" customFormat="1" ht="22.5" x14ac:dyDescent="0.2">
      <c r="A48" s="444" t="s">
        <v>44</v>
      </c>
      <c r="B48" s="441" t="s">
        <v>286</v>
      </c>
      <c r="C48" s="446"/>
      <c r="D48" s="446"/>
      <c r="E48" s="447"/>
      <c r="G48" s="927"/>
      <c r="H48" s="927"/>
      <c r="I48" s="927"/>
      <c r="J48" s="921"/>
      <c r="K48" s="927"/>
      <c r="L48" s="927"/>
      <c r="M48" s="927"/>
      <c r="N48" s="921"/>
      <c r="O48" s="927"/>
      <c r="P48" s="927"/>
      <c r="Q48" s="927"/>
    </row>
    <row r="49" spans="1:17" s="439" customFormat="1" x14ac:dyDescent="0.2">
      <c r="A49" s="444" t="s">
        <v>45</v>
      </c>
      <c r="B49" s="441" t="s">
        <v>287</v>
      </c>
      <c r="C49" s="446"/>
      <c r="D49" s="446"/>
      <c r="E49" s="447"/>
      <c r="G49" s="927"/>
      <c r="H49" s="927"/>
      <c r="I49" s="927"/>
      <c r="J49" s="921"/>
      <c r="K49" s="927"/>
      <c r="L49" s="927"/>
      <c r="M49" s="927"/>
      <c r="N49" s="921"/>
      <c r="O49" s="927"/>
      <c r="P49" s="927"/>
      <c r="Q49" s="927"/>
    </row>
    <row r="50" spans="1:17" s="439" customFormat="1" x14ac:dyDescent="0.2">
      <c r="A50" s="444" t="s">
        <v>46</v>
      </c>
      <c r="B50" s="441" t="s">
        <v>288</v>
      </c>
      <c r="C50" s="446"/>
      <c r="D50" s="446"/>
      <c r="E50" s="447"/>
      <c r="G50" s="927"/>
      <c r="H50" s="927"/>
      <c r="I50" s="927"/>
      <c r="J50" s="921"/>
      <c r="K50" s="927"/>
      <c r="L50" s="927"/>
      <c r="M50" s="927"/>
      <c r="N50" s="921"/>
      <c r="O50" s="927"/>
      <c r="P50" s="927"/>
      <c r="Q50" s="927"/>
    </row>
    <row r="51" spans="1:17" s="439" customFormat="1" x14ac:dyDescent="0.2">
      <c r="A51" s="440" t="s">
        <v>47</v>
      </c>
      <c r="B51" s="441" t="s">
        <v>289</v>
      </c>
      <c r="C51" s="694">
        <v>51298813</v>
      </c>
      <c r="D51" s="694">
        <v>33369777</v>
      </c>
      <c r="E51" s="695"/>
      <c r="G51" s="920"/>
      <c r="H51" s="920"/>
      <c r="I51" s="920"/>
      <c r="J51" s="921"/>
      <c r="K51" s="920"/>
      <c r="L51" s="920"/>
      <c r="M51" s="920"/>
      <c r="N51" s="921"/>
      <c r="O51" s="920"/>
      <c r="P51" s="920"/>
      <c r="Q51" s="920"/>
    </row>
    <row r="52" spans="1:17" s="439" customFormat="1" ht="21" x14ac:dyDescent="0.2">
      <c r="A52" s="440" t="s">
        <v>48</v>
      </c>
      <c r="B52" s="441" t="s">
        <v>290</v>
      </c>
      <c r="C52" s="672">
        <f>+C8+C9+C35+C51</f>
        <v>8040092651</v>
      </c>
      <c r="D52" s="672">
        <f>+D8+D9+D35+D51</f>
        <v>5614353789</v>
      </c>
      <c r="E52" s="693">
        <f>+E8+E9+E35+E51</f>
        <v>0</v>
      </c>
      <c r="G52" s="923"/>
      <c r="H52" s="923"/>
      <c r="I52" s="923"/>
      <c r="J52" s="921"/>
      <c r="K52" s="923"/>
      <c r="L52" s="923"/>
      <c r="M52" s="923"/>
      <c r="N52" s="921"/>
      <c r="O52" s="923"/>
      <c r="P52" s="923"/>
      <c r="Q52" s="923"/>
    </row>
    <row r="53" spans="1:17" s="439" customFormat="1" x14ac:dyDescent="0.2">
      <c r="A53" s="440" t="s">
        <v>49</v>
      </c>
      <c r="B53" s="441" t="s">
        <v>291</v>
      </c>
      <c r="C53" s="694">
        <v>16923416</v>
      </c>
      <c r="D53" s="694">
        <v>16923416</v>
      </c>
      <c r="E53" s="695"/>
      <c r="G53" s="920"/>
      <c r="H53" s="920"/>
      <c r="I53" s="920"/>
      <c r="J53" s="921"/>
      <c r="K53" s="920"/>
      <c r="L53" s="920"/>
      <c r="M53" s="920"/>
      <c r="N53" s="921"/>
      <c r="O53" s="920"/>
      <c r="P53" s="920"/>
      <c r="Q53" s="920"/>
    </row>
    <row r="54" spans="1:17" s="439" customFormat="1" x14ac:dyDescent="0.2">
      <c r="A54" s="440" t="s">
        <v>50</v>
      </c>
      <c r="B54" s="441" t="s">
        <v>292</v>
      </c>
      <c r="C54" s="694"/>
      <c r="D54" s="694"/>
      <c r="E54" s="695"/>
      <c r="G54" s="920"/>
      <c r="H54" s="920"/>
      <c r="I54" s="920"/>
      <c r="J54" s="921"/>
      <c r="K54" s="920"/>
      <c r="L54" s="920"/>
      <c r="M54" s="920"/>
      <c r="N54" s="921"/>
      <c r="O54" s="920"/>
      <c r="P54" s="920"/>
      <c r="Q54" s="920"/>
    </row>
    <row r="55" spans="1:17" s="439" customFormat="1" x14ac:dyDescent="0.2">
      <c r="A55" s="440" t="s">
        <v>51</v>
      </c>
      <c r="B55" s="441" t="s">
        <v>298</v>
      </c>
      <c r="C55" s="672">
        <f>+C53+C54</f>
        <v>16923416</v>
      </c>
      <c r="D55" s="672">
        <f>+D53+D54</f>
        <v>16923416</v>
      </c>
      <c r="E55" s="693">
        <f>+E53+E54</f>
        <v>0</v>
      </c>
      <c r="G55" s="923"/>
      <c r="H55" s="923"/>
      <c r="I55" s="923"/>
      <c r="J55" s="921"/>
      <c r="K55" s="923"/>
      <c r="L55" s="923"/>
      <c r="M55" s="923"/>
      <c r="N55" s="921"/>
      <c r="O55" s="923"/>
      <c r="P55" s="923"/>
      <c r="Q55" s="923"/>
    </row>
    <row r="56" spans="1:17" s="439" customFormat="1" x14ac:dyDescent="0.2">
      <c r="A56" s="440" t="s">
        <v>52</v>
      </c>
      <c r="B56" s="441" t="s">
        <v>299</v>
      </c>
      <c r="C56" s="694"/>
      <c r="D56" s="694"/>
      <c r="E56" s="695"/>
      <c r="G56" s="920"/>
      <c r="H56" s="920"/>
      <c r="I56" s="920"/>
      <c r="J56" s="921"/>
      <c r="K56" s="920"/>
      <c r="L56" s="920"/>
      <c r="M56" s="920"/>
      <c r="N56" s="921"/>
      <c r="O56" s="920"/>
      <c r="P56" s="920"/>
      <c r="Q56" s="920"/>
    </row>
    <row r="57" spans="1:17" s="439" customFormat="1" x14ac:dyDescent="0.2">
      <c r="A57" s="440" t="s">
        <v>53</v>
      </c>
      <c r="B57" s="441" t="s">
        <v>300</v>
      </c>
      <c r="C57" s="694">
        <v>487995</v>
      </c>
      <c r="D57" s="694">
        <v>487995</v>
      </c>
      <c r="E57" s="695"/>
      <c r="G57" s="920"/>
      <c r="H57" s="920"/>
      <c r="I57" s="920"/>
      <c r="J57" s="921"/>
      <c r="K57" s="920"/>
      <c r="L57" s="920"/>
      <c r="M57" s="920"/>
      <c r="N57" s="921"/>
      <c r="O57" s="920"/>
      <c r="P57" s="920"/>
      <c r="Q57" s="920"/>
    </row>
    <row r="58" spans="1:17" s="439" customFormat="1" x14ac:dyDescent="0.2">
      <c r="A58" s="440" t="s">
        <v>54</v>
      </c>
      <c r="B58" s="441" t="s">
        <v>301</v>
      </c>
      <c r="C58" s="694">
        <v>601141726</v>
      </c>
      <c r="D58" s="694">
        <v>601141726</v>
      </c>
      <c r="E58" s="695"/>
      <c r="G58" s="920"/>
      <c r="H58" s="920"/>
      <c r="I58" s="920"/>
      <c r="J58" s="921"/>
      <c r="K58" s="920"/>
      <c r="L58" s="920"/>
      <c r="M58" s="920"/>
      <c r="N58" s="921"/>
      <c r="O58" s="920"/>
      <c r="P58" s="920"/>
      <c r="Q58" s="920"/>
    </row>
    <row r="59" spans="1:17" s="439" customFormat="1" x14ac:dyDescent="0.2">
      <c r="A59" s="440" t="s">
        <v>55</v>
      </c>
      <c r="B59" s="441" t="s">
        <v>302</v>
      </c>
      <c r="C59" s="694"/>
      <c r="D59" s="694"/>
      <c r="E59" s="695"/>
      <c r="G59" s="920"/>
      <c r="H59" s="920"/>
      <c r="I59" s="920"/>
      <c r="J59" s="921"/>
      <c r="K59" s="920"/>
      <c r="L59" s="920"/>
      <c r="M59" s="920"/>
      <c r="N59" s="921"/>
      <c r="O59" s="920"/>
      <c r="P59" s="920"/>
      <c r="Q59" s="920"/>
    </row>
    <row r="60" spans="1:17" s="439" customFormat="1" x14ac:dyDescent="0.2">
      <c r="A60" s="440" t="s">
        <v>56</v>
      </c>
      <c r="B60" s="441" t="s">
        <v>303</v>
      </c>
      <c r="C60" s="672">
        <f>+C56+C57+C58+C59</f>
        <v>601629721</v>
      </c>
      <c r="D60" s="672">
        <f>SUM(D56:D59)</f>
        <v>601629721</v>
      </c>
      <c r="E60" s="693">
        <f>+E56+E57+E58+E59</f>
        <v>0</v>
      </c>
      <c r="G60" s="923"/>
      <c r="H60" s="923"/>
      <c r="I60" s="923"/>
      <c r="J60" s="921"/>
      <c r="K60" s="923"/>
      <c r="L60" s="923"/>
      <c r="M60" s="923"/>
      <c r="N60" s="921"/>
      <c r="O60" s="923"/>
      <c r="P60" s="923"/>
      <c r="Q60" s="923"/>
    </row>
    <row r="61" spans="1:17" s="439" customFormat="1" x14ac:dyDescent="0.2">
      <c r="A61" s="440" t="s">
        <v>57</v>
      </c>
      <c r="B61" s="441" t="s">
        <v>304</v>
      </c>
      <c r="C61" s="694">
        <v>144093560</v>
      </c>
      <c r="D61" s="694">
        <v>144093560</v>
      </c>
      <c r="E61" s="695"/>
      <c r="G61" s="931"/>
      <c r="H61" s="931"/>
      <c r="I61" s="920"/>
      <c r="J61" s="921"/>
      <c r="K61" s="931"/>
      <c r="L61" s="931"/>
      <c r="M61" s="920"/>
      <c r="N61" s="921"/>
      <c r="O61" s="931"/>
      <c r="P61" s="931"/>
      <c r="Q61" s="920"/>
    </row>
    <row r="62" spans="1:17" s="439" customFormat="1" x14ac:dyDescent="0.2">
      <c r="A62" s="440" t="s">
        <v>58</v>
      </c>
      <c r="B62" s="441" t="s">
        <v>305</v>
      </c>
      <c r="C62" s="694">
        <v>8040893</v>
      </c>
      <c r="D62" s="694">
        <v>8040893</v>
      </c>
      <c r="E62" s="695"/>
      <c r="G62" s="920"/>
      <c r="H62" s="920"/>
      <c r="I62" s="920"/>
      <c r="J62" s="921"/>
      <c r="K62" s="920"/>
      <c r="L62" s="920"/>
      <c r="M62" s="920"/>
      <c r="N62" s="921"/>
      <c r="O62" s="920"/>
      <c r="P62" s="920"/>
      <c r="Q62" s="920"/>
    </row>
    <row r="63" spans="1:17" s="439" customFormat="1" x14ac:dyDescent="0.2">
      <c r="A63" s="440" t="s">
        <v>59</v>
      </c>
      <c r="B63" s="441" t="s">
        <v>306</v>
      </c>
      <c r="C63" s="694">
        <v>25786271</v>
      </c>
      <c r="D63" s="694">
        <v>25786271</v>
      </c>
      <c r="E63" s="695"/>
      <c r="G63" s="920"/>
      <c r="H63" s="920"/>
      <c r="I63" s="920"/>
      <c r="J63" s="921"/>
      <c r="K63" s="920"/>
      <c r="L63" s="920"/>
      <c r="M63" s="920"/>
      <c r="N63" s="921"/>
      <c r="O63" s="920"/>
      <c r="P63" s="920"/>
      <c r="Q63" s="920"/>
    </row>
    <row r="64" spans="1:17" s="439" customFormat="1" x14ac:dyDescent="0.2">
      <c r="A64" s="440" t="s">
        <v>60</v>
      </c>
      <c r="B64" s="441" t="s">
        <v>307</v>
      </c>
      <c r="C64" s="672">
        <f>+C61+C62+C63</f>
        <v>177920724</v>
      </c>
      <c r="D64" s="672">
        <f>+D61+D62+D63</f>
        <v>177920724</v>
      </c>
      <c r="E64" s="693">
        <f>+E61+E62+E63</f>
        <v>0</v>
      </c>
      <c r="G64" s="923"/>
      <c r="H64" s="923"/>
      <c r="I64" s="923"/>
      <c r="J64" s="921"/>
      <c r="K64" s="923"/>
      <c r="L64" s="923"/>
      <c r="M64" s="923"/>
      <c r="N64" s="921"/>
      <c r="O64" s="923"/>
      <c r="P64" s="923"/>
      <c r="Q64" s="923"/>
    </row>
    <row r="65" spans="1:17" s="439" customFormat="1" x14ac:dyDescent="0.2">
      <c r="A65" s="440" t="s">
        <v>367</v>
      </c>
      <c r="B65" s="441" t="s">
        <v>308</v>
      </c>
      <c r="C65" s="694">
        <v>23084681</v>
      </c>
      <c r="D65" s="694">
        <v>23084681</v>
      </c>
      <c r="E65" s="695"/>
      <c r="G65" s="920"/>
      <c r="H65" s="920"/>
      <c r="I65" s="920"/>
      <c r="J65" s="921"/>
      <c r="K65" s="920"/>
      <c r="L65" s="920"/>
      <c r="M65" s="920"/>
      <c r="N65" s="921"/>
      <c r="O65" s="920"/>
      <c r="P65" s="920"/>
      <c r="Q65" s="920"/>
    </row>
    <row r="66" spans="1:17" s="439" customFormat="1" x14ac:dyDescent="0.2">
      <c r="A66" s="440" t="s">
        <v>489</v>
      </c>
      <c r="B66" s="441" t="s">
        <v>309</v>
      </c>
      <c r="C66" s="694">
        <v>-16631744</v>
      </c>
      <c r="D66" s="694">
        <v>-16631744</v>
      </c>
      <c r="E66" s="695"/>
      <c r="G66" s="920"/>
      <c r="H66" s="920"/>
      <c r="I66" s="920"/>
      <c r="J66" s="921"/>
      <c r="K66" s="920"/>
      <c r="L66" s="920"/>
      <c r="M66" s="920"/>
      <c r="N66" s="921"/>
      <c r="O66" s="920"/>
      <c r="P66" s="920"/>
      <c r="Q66" s="920"/>
    </row>
    <row r="67" spans="1:17" s="439" customFormat="1" ht="21" x14ac:dyDescent="0.2">
      <c r="A67" s="440" t="s">
        <v>368</v>
      </c>
      <c r="B67" s="441" t="s">
        <v>310</v>
      </c>
      <c r="C67" s="694">
        <v>86500</v>
      </c>
      <c r="D67" s="694">
        <v>86500</v>
      </c>
      <c r="E67" s="695"/>
      <c r="G67" s="920"/>
      <c r="H67" s="920"/>
      <c r="I67" s="920"/>
      <c r="J67" s="921"/>
      <c r="K67" s="920"/>
      <c r="L67" s="920"/>
      <c r="M67" s="920"/>
      <c r="N67" s="921"/>
      <c r="O67" s="920"/>
      <c r="P67" s="920"/>
      <c r="Q67" s="920"/>
    </row>
    <row r="68" spans="1:17" s="439" customFormat="1" x14ac:dyDescent="0.2">
      <c r="A68" s="440" t="s">
        <v>380</v>
      </c>
      <c r="B68" s="441" t="s">
        <v>311</v>
      </c>
      <c r="C68" s="672">
        <f>SUM(C65:C67)</f>
        <v>6539437</v>
      </c>
      <c r="D68" s="672">
        <f>SUM(D65:D67)</f>
        <v>6539437</v>
      </c>
      <c r="E68" s="693">
        <f>+E65+E67</f>
        <v>0</v>
      </c>
      <c r="G68" s="923"/>
      <c r="H68" s="923"/>
      <c r="I68" s="923"/>
      <c r="J68" s="921"/>
      <c r="K68" s="923"/>
      <c r="L68" s="923"/>
      <c r="M68" s="923"/>
      <c r="N68" s="921"/>
      <c r="O68" s="923"/>
      <c r="P68" s="923"/>
      <c r="Q68" s="923"/>
    </row>
    <row r="69" spans="1:17" s="439" customFormat="1" x14ac:dyDescent="0.2">
      <c r="A69" s="440" t="s">
        <v>61</v>
      </c>
      <c r="B69" s="441" t="s">
        <v>312</v>
      </c>
      <c r="C69" s="694">
        <v>6112527</v>
      </c>
      <c r="D69" s="694">
        <v>6112527</v>
      </c>
      <c r="E69" s="695"/>
      <c r="G69" s="920"/>
      <c r="H69" s="920"/>
      <c r="I69" s="920"/>
      <c r="J69" s="921"/>
      <c r="K69" s="920"/>
      <c r="L69" s="920"/>
      <c r="M69" s="920"/>
      <c r="N69" s="921"/>
      <c r="O69" s="920"/>
      <c r="P69" s="920"/>
      <c r="Q69" s="920"/>
    </row>
    <row r="70" spans="1:17" s="439" customFormat="1" ht="16.5" thickBot="1" x14ac:dyDescent="0.25">
      <c r="A70" s="450" t="s">
        <v>369</v>
      </c>
      <c r="B70" s="451" t="s">
        <v>490</v>
      </c>
      <c r="C70" s="452">
        <f>+C52+C55+C60+C64+C68+C69</f>
        <v>8849218476</v>
      </c>
      <c r="D70" s="692">
        <f>+D52+D55+D60+D64+D68+D69</f>
        <v>6423479614</v>
      </c>
      <c r="E70" s="453">
        <f>+E52+E55+E60+E64+E68+E69</f>
        <v>0</v>
      </c>
      <c r="G70" s="922"/>
      <c r="H70" s="923"/>
      <c r="I70" s="922"/>
      <c r="J70" s="921"/>
      <c r="K70" s="922"/>
      <c r="L70" s="923"/>
      <c r="M70" s="922"/>
      <c r="N70" s="921"/>
      <c r="O70" s="922"/>
      <c r="P70" s="923"/>
      <c r="Q70" s="922"/>
    </row>
    <row r="71" spans="1:17" x14ac:dyDescent="0.25">
      <c r="A71" s="684"/>
      <c r="C71" s="455"/>
      <c r="D71" s="455"/>
      <c r="E71" s="456"/>
      <c r="G71" s="455"/>
      <c r="H71" s="455"/>
      <c r="I71" s="456"/>
    </row>
    <row r="72" spans="1:17" x14ac:dyDescent="0.25">
      <c r="A72" s="454"/>
      <c r="C72" s="455"/>
      <c r="D72" s="455"/>
      <c r="E72" s="456"/>
      <c r="G72" s="455"/>
      <c r="H72" s="455"/>
      <c r="I72" s="456"/>
    </row>
    <row r="73" spans="1:17" x14ac:dyDescent="0.25">
      <c r="A73" s="457"/>
      <c r="C73" s="455"/>
      <c r="D73" s="455"/>
      <c r="E73" s="456"/>
      <c r="G73" s="455"/>
      <c r="H73" s="455"/>
      <c r="I73" s="456"/>
    </row>
    <row r="74" spans="1:17" x14ac:dyDescent="0.25">
      <c r="A74" s="1049"/>
      <c r="B74" s="1049"/>
      <c r="C74" s="1049"/>
      <c r="D74" s="1049"/>
      <c r="E74" s="1049"/>
      <c r="H74" s="428"/>
      <c r="I74" s="428"/>
    </row>
    <row r="75" spans="1:17" x14ac:dyDescent="0.25">
      <c r="A75" s="1049"/>
      <c r="B75" s="1049"/>
      <c r="C75" s="1049"/>
      <c r="D75" s="1049"/>
      <c r="E75" s="1049"/>
      <c r="H75" s="428"/>
      <c r="I75" s="428"/>
    </row>
  </sheetData>
  <mergeCells count="26">
    <mergeCell ref="A75:E75"/>
    <mergeCell ref="P4:P5"/>
    <mergeCell ref="Q4:Q5"/>
    <mergeCell ref="C6:E6"/>
    <mergeCell ref="G6:I6"/>
    <mergeCell ref="K6:M6"/>
    <mergeCell ref="O6:Q6"/>
    <mergeCell ref="H4:H5"/>
    <mergeCell ref="I4:I5"/>
    <mergeCell ref="K4:K5"/>
    <mergeCell ref="L4:L5"/>
    <mergeCell ref="M4:M5"/>
    <mergeCell ref="O4:O5"/>
    <mergeCell ref="A4:A6"/>
    <mergeCell ref="B4:B6"/>
    <mergeCell ref="A1:E1"/>
    <mergeCell ref="A2:E2"/>
    <mergeCell ref="C3:E3"/>
    <mergeCell ref="G3:I3"/>
    <mergeCell ref="A74:E74"/>
    <mergeCell ref="K3:M3"/>
    <mergeCell ref="O3:Q3"/>
    <mergeCell ref="C4:C5"/>
    <mergeCell ref="D4:D5"/>
    <mergeCell ref="E4:E5"/>
    <mergeCell ref="G4:G5"/>
  </mergeCells>
  <printOptions horizontalCentered="1"/>
  <pageMargins left="0.78740157480314965" right="0.82343750000000004" top="1.0890625" bottom="0.98425196850393704" header="0.78740157480314965" footer="0.78740157480314965"/>
  <pageSetup paperSize="9" scale="85" orientation="portrait" verticalDpi="300" r:id="rId1"/>
  <headerFooter alignWithMargins="0">
    <oddHeader>&amp;R&amp;"Times New Roman,Félkövér dőlt"5.1 számú tájékoztató tábla a 12/2018. (V.31.) önkormányzati rendelethez</oddHeader>
    <oddFooter>&amp;C&amp;P</oddFooter>
  </headerFooter>
  <rowBreaks count="1" manualBreakCount="1">
    <brk id="45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28"/>
  <sheetViews>
    <sheetView view="pageLayout" zoomScaleNormal="100" workbookViewId="0">
      <selection activeCell="A11" sqref="A11"/>
    </sheetView>
  </sheetViews>
  <sheetFormatPr defaultColWidth="8" defaultRowHeight="12.75" x14ac:dyDescent="0.2"/>
  <cols>
    <col min="1" max="1" width="61" style="460" customWidth="1"/>
    <col min="2" max="2" width="5.28515625" style="474" customWidth="1"/>
    <col min="3" max="3" width="15.42578125" style="459" customWidth="1"/>
    <col min="4" max="16384" width="8" style="459"/>
  </cols>
  <sheetData>
    <row r="1" spans="1:6" ht="18" customHeight="1" x14ac:dyDescent="0.2">
      <c r="A1" s="1060" t="s">
        <v>118</v>
      </c>
      <c r="B1" s="1060"/>
      <c r="C1" s="1060"/>
    </row>
    <row r="2" spans="1:6" ht="14.25" customHeight="1" x14ac:dyDescent="0.2">
      <c r="A2" s="1060" t="s">
        <v>123</v>
      </c>
      <c r="B2" s="1060"/>
      <c r="C2" s="1060"/>
    </row>
    <row r="3" spans="1:6" ht="14.25" x14ac:dyDescent="0.2">
      <c r="A3" s="1061" t="s">
        <v>845</v>
      </c>
      <c r="B3" s="1061"/>
      <c r="C3" s="1061"/>
    </row>
    <row r="5" spans="1:6" ht="13.5" thickBot="1" x14ac:dyDescent="0.25">
      <c r="A5" s="591"/>
      <c r="B5" s="1062" t="s">
        <v>124</v>
      </c>
      <c r="C5" s="1062"/>
    </row>
    <row r="6" spans="1:6" s="461" customFormat="1" ht="31.5" customHeight="1" x14ac:dyDescent="0.2">
      <c r="A6" s="1063" t="s">
        <v>62</v>
      </c>
      <c r="B6" s="1065" t="s">
        <v>424</v>
      </c>
      <c r="C6" s="1067" t="s">
        <v>63</v>
      </c>
    </row>
    <row r="7" spans="1:6" s="461" customFormat="1" x14ac:dyDescent="0.2">
      <c r="A7" s="1064"/>
      <c r="B7" s="1066"/>
      <c r="C7" s="1068"/>
      <c r="F7" s="459"/>
    </row>
    <row r="8" spans="1:6" s="465" customFormat="1" ht="13.5" thickBot="1" x14ac:dyDescent="0.25">
      <c r="A8" s="462" t="s">
        <v>457</v>
      </c>
      <c r="B8" s="463" t="s">
        <v>458</v>
      </c>
      <c r="C8" s="464" t="s">
        <v>459</v>
      </c>
    </row>
    <row r="9" spans="1:6" ht="15.75" customHeight="1" x14ac:dyDescent="0.2">
      <c r="A9" s="440" t="s">
        <v>64</v>
      </c>
      <c r="B9" s="466" t="s">
        <v>763</v>
      </c>
      <c r="C9" s="467">
        <v>10591849995</v>
      </c>
    </row>
    <row r="10" spans="1:6" ht="15.75" customHeight="1" x14ac:dyDescent="0.2">
      <c r="A10" s="440" t="s">
        <v>65</v>
      </c>
      <c r="B10" s="441" t="s">
        <v>765</v>
      </c>
      <c r="C10" s="467">
        <v>4473022</v>
      </c>
    </row>
    <row r="11" spans="1:6" ht="15.75" customHeight="1" x14ac:dyDescent="0.2">
      <c r="A11" s="440" t="s">
        <v>66</v>
      </c>
      <c r="B11" s="441" t="s">
        <v>767</v>
      </c>
      <c r="C11" s="467">
        <v>130575084</v>
      </c>
    </row>
    <row r="12" spans="1:6" ht="15.75" customHeight="1" x14ac:dyDescent="0.2">
      <c r="A12" s="440" t="s">
        <v>67</v>
      </c>
      <c r="B12" s="441" t="s">
        <v>769</v>
      </c>
      <c r="C12" s="468">
        <v>-5501230701</v>
      </c>
    </row>
    <row r="13" spans="1:6" ht="15.75" customHeight="1" x14ac:dyDescent="0.2">
      <c r="A13" s="440" t="s">
        <v>68</v>
      </c>
      <c r="B13" s="441" t="s">
        <v>1</v>
      </c>
      <c r="C13" s="468"/>
    </row>
    <row r="14" spans="1:6" ht="15.75" customHeight="1" x14ac:dyDescent="0.2">
      <c r="A14" s="440" t="s">
        <v>69</v>
      </c>
      <c r="B14" s="441" t="s">
        <v>3</v>
      </c>
      <c r="C14" s="468">
        <v>141825184</v>
      </c>
    </row>
    <row r="15" spans="1:6" ht="15.75" customHeight="1" x14ac:dyDescent="0.2">
      <c r="A15" s="440" t="s">
        <v>70</v>
      </c>
      <c r="B15" s="441" t="s">
        <v>5</v>
      </c>
      <c r="C15" s="469">
        <f>+C9+C10+C11+C12+C13+C14</f>
        <v>5367492584</v>
      </c>
    </row>
    <row r="16" spans="1:6" ht="15.75" customHeight="1" x14ac:dyDescent="0.2">
      <c r="A16" s="440" t="s">
        <v>71</v>
      </c>
      <c r="B16" s="441" t="s">
        <v>7</v>
      </c>
      <c r="C16" s="666">
        <v>10727876</v>
      </c>
    </row>
    <row r="17" spans="1:5" ht="15.75" customHeight="1" x14ac:dyDescent="0.2">
      <c r="A17" s="440" t="s">
        <v>72</v>
      </c>
      <c r="B17" s="441" t="s">
        <v>9</v>
      </c>
      <c r="C17" s="468">
        <v>80454100</v>
      </c>
    </row>
    <row r="18" spans="1:5" ht="15.75" customHeight="1" x14ac:dyDescent="0.2">
      <c r="A18" s="440" t="s">
        <v>73</v>
      </c>
      <c r="B18" s="441" t="s">
        <v>253</v>
      </c>
      <c r="C18" s="468">
        <v>39070970</v>
      </c>
    </row>
    <row r="19" spans="1:5" ht="15.75" customHeight="1" x14ac:dyDescent="0.2">
      <c r="A19" s="440" t="s">
        <v>74</v>
      </c>
      <c r="B19" s="441" t="s">
        <v>254</v>
      </c>
      <c r="C19" s="469">
        <f>+C16+C17+C18</f>
        <v>130252946</v>
      </c>
    </row>
    <row r="20" spans="1:5" ht="15.75" customHeight="1" x14ac:dyDescent="0.2">
      <c r="A20" s="440" t="s">
        <v>315</v>
      </c>
      <c r="B20" s="441" t="s">
        <v>255</v>
      </c>
      <c r="C20" s="469"/>
    </row>
    <row r="21" spans="1:5" s="470" customFormat="1" ht="15.75" customHeight="1" x14ac:dyDescent="0.2">
      <c r="A21" s="440" t="s">
        <v>316</v>
      </c>
      <c r="B21" s="441" t="s">
        <v>256</v>
      </c>
      <c r="C21" s="468"/>
    </row>
    <row r="22" spans="1:5" ht="15.75" customHeight="1" x14ac:dyDescent="0.2">
      <c r="A22" s="440" t="s">
        <v>317</v>
      </c>
      <c r="B22" s="441" t="s">
        <v>259</v>
      </c>
      <c r="C22" s="468">
        <v>925734084</v>
      </c>
    </row>
    <row r="23" spans="1:5" ht="15.75" customHeight="1" thickBot="1" x14ac:dyDescent="0.25">
      <c r="A23" s="471" t="s">
        <v>75</v>
      </c>
      <c r="B23" s="451" t="s">
        <v>260</v>
      </c>
      <c r="C23" s="472">
        <f>+C15+C19+C21+C22+C20</f>
        <v>6423479614</v>
      </c>
    </row>
    <row r="24" spans="1:5" ht="15.75" x14ac:dyDescent="0.25">
      <c r="A24" s="454"/>
      <c r="B24" s="457"/>
      <c r="C24" s="455"/>
      <c r="D24" s="455"/>
      <c r="E24" s="455"/>
    </row>
    <row r="25" spans="1:5" ht="15.75" x14ac:dyDescent="0.25">
      <c r="A25" s="454"/>
      <c r="B25" s="457"/>
      <c r="C25" s="455"/>
      <c r="D25" s="455"/>
      <c r="E25" s="455"/>
    </row>
    <row r="26" spans="1:5" ht="15.75" x14ac:dyDescent="0.25">
      <c r="A26" s="457"/>
      <c r="B26" s="457"/>
      <c r="C26" s="455"/>
      <c r="D26" s="455"/>
      <c r="E26" s="455"/>
    </row>
    <row r="27" spans="1:5" ht="15.75" x14ac:dyDescent="0.25">
      <c r="A27" s="1059"/>
      <c r="B27" s="1059"/>
      <c r="C27" s="1059"/>
      <c r="D27" s="473"/>
      <c r="E27" s="473"/>
    </row>
    <row r="28" spans="1:5" ht="15.75" x14ac:dyDescent="0.25">
      <c r="A28" s="1059"/>
      <c r="B28" s="1059"/>
      <c r="C28" s="1059"/>
      <c r="D28" s="473"/>
      <c r="E28" s="473"/>
    </row>
  </sheetData>
  <mergeCells count="9">
    <mergeCell ref="A27:C27"/>
    <mergeCell ref="A28:C28"/>
    <mergeCell ref="A1:C1"/>
    <mergeCell ref="A3:C3"/>
    <mergeCell ref="B5:C5"/>
    <mergeCell ref="A6:A7"/>
    <mergeCell ref="B6:B7"/>
    <mergeCell ref="C6:C7"/>
    <mergeCell ref="A2:C2"/>
  </mergeCells>
  <phoneticPr fontId="21" type="noConversion"/>
  <printOptions horizontalCentered="1"/>
  <pageMargins left="0.78740157480314965" right="0.78740157480314965" top="1.246875" bottom="0.98425196850393704" header="0.78740157480314965" footer="0.78740157480314965"/>
  <pageSetup paperSize="9" scale="95" orientation="portrait" verticalDpi="300" r:id="rId1"/>
  <headerFooter alignWithMargins="0">
    <oddHeader>&amp;R&amp;"Times New Roman CE,Félkövér dőlt"5.2 számú tájékoztató tábla a 12/2018. (V.31.)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D46"/>
  <sheetViews>
    <sheetView view="pageLayout" zoomScaleNormal="100" workbookViewId="0">
      <selection activeCell="F11" sqref="F11"/>
    </sheetView>
  </sheetViews>
  <sheetFormatPr defaultColWidth="10.28515625" defaultRowHeight="15.75" x14ac:dyDescent="0.25"/>
  <cols>
    <col min="1" max="1" width="50.42578125" style="475" customWidth="1"/>
    <col min="2" max="2" width="5.85546875" style="475" customWidth="1"/>
    <col min="3" max="3" width="14.7109375" style="475" customWidth="1"/>
    <col min="4" max="4" width="16.42578125" style="475" customWidth="1"/>
    <col min="5" max="16384" width="10.28515625" style="475"/>
  </cols>
  <sheetData>
    <row r="1" spans="1:4" ht="18.75" customHeight="1" x14ac:dyDescent="0.25">
      <c r="A1" s="1069" t="s">
        <v>120</v>
      </c>
      <c r="B1" s="1069"/>
      <c r="C1" s="1069"/>
      <c r="D1" s="1069"/>
    </row>
    <row r="2" spans="1:4" ht="18.75" customHeight="1" x14ac:dyDescent="0.25">
      <c r="A2" s="1069" t="s">
        <v>121</v>
      </c>
      <c r="B2" s="1069"/>
      <c r="C2" s="1069"/>
      <c r="D2" s="1069"/>
    </row>
    <row r="3" spans="1:4" ht="16.5" customHeight="1" x14ac:dyDescent="0.25">
      <c r="A3" s="1069" t="s">
        <v>158</v>
      </c>
      <c r="B3" s="1069"/>
      <c r="C3" s="1069"/>
      <c r="D3" s="1069"/>
    </row>
    <row r="4" spans="1:4" ht="16.5" thickBot="1" x14ac:dyDescent="0.3">
      <c r="A4" s="592"/>
    </row>
    <row r="5" spans="1:4" ht="43.5" customHeight="1" thickBot="1" x14ac:dyDescent="0.3">
      <c r="A5" s="476" t="s">
        <v>227</v>
      </c>
      <c r="B5" s="430" t="s">
        <v>424</v>
      </c>
      <c r="C5" s="477" t="s">
        <v>76</v>
      </c>
      <c r="D5" s="478" t="s">
        <v>236</v>
      </c>
    </row>
    <row r="6" spans="1:4" ht="16.5" thickBot="1" x14ac:dyDescent="0.3">
      <c r="A6" s="479" t="s">
        <v>457</v>
      </c>
      <c r="B6" s="480" t="s">
        <v>458</v>
      </c>
      <c r="C6" s="480" t="s">
        <v>459</v>
      </c>
      <c r="D6" s="481" t="s">
        <v>460</v>
      </c>
    </row>
    <row r="7" spans="1:4" ht="15.75" customHeight="1" x14ac:dyDescent="0.25">
      <c r="A7" s="482" t="s">
        <v>370</v>
      </c>
      <c r="B7" s="483" t="s">
        <v>235</v>
      </c>
      <c r="C7" s="484">
        <v>922</v>
      </c>
      <c r="D7" s="485">
        <v>331603474</v>
      </c>
    </row>
    <row r="8" spans="1:4" ht="15.75" customHeight="1" x14ac:dyDescent="0.25">
      <c r="A8" s="482" t="s">
        <v>77</v>
      </c>
      <c r="B8" s="486" t="s">
        <v>243</v>
      </c>
      <c r="C8" s="487">
        <v>2</v>
      </c>
      <c r="D8" s="488">
        <v>110000</v>
      </c>
    </row>
    <row r="9" spans="1:4" ht="15.75" customHeight="1" x14ac:dyDescent="0.25">
      <c r="A9" s="482" t="s">
        <v>78</v>
      </c>
      <c r="B9" s="486" t="s">
        <v>244</v>
      </c>
      <c r="C9" s="487">
        <v>78462</v>
      </c>
      <c r="D9" s="488">
        <v>72591834</v>
      </c>
    </row>
    <row r="10" spans="1:4" ht="15.75" customHeight="1" thickBot="1" x14ac:dyDescent="0.3">
      <c r="A10" s="489" t="s">
        <v>79</v>
      </c>
      <c r="B10" s="490" t="s">
        <v>245</v>
      </c>
      <c r="C10" s="491"/>
      <c r="D10" s="492">
        <v>16923416</v>
      </c>
    </row>
    <row r="11" spans="1:4" ht="15.75" customHeight="1" thickBot="1" x14ac:dyDescent="0.3">
      <c r="A11" s="493" t="s">
        <v>80</v>
      </c>
      <c r="B11" s="494" t="s">
        <v>246</v>
      </c>
      <c r="C11" s="932">
        <f>+C12+C13+C14+C15</f>
        <v>1692</v>
      </c>
      <c r="D11" s="932">
        <f>SUM(D12:D15)</f>
        <v>1134872101</v>
      </c>
    </row>
    <row r="12" spans="1:4" ht="15.75" customHeight="1" x14ac:dyDescent="0.25">
      <c r="A12" s="497" t="s">
        <v>81</v>
      </c>
      <c r="B12" s="483" t="s">
        <v>249</v>
      </c>
      <c r="C12" s="484">
        <v>1692</v>
      </c>
      <c r="D12" s="485">
        <v>1134872101</v>
      </c>
    </row>
    <row r="13" spans="1:4" ht="15.75" customHeight="1" x14ac:dyDescent="0.25">
      <c r="A13" s="482" t="s">
        <v>82</v>
      </c>
      <c r="B13" s="486" t="s">
        <v>250</v>
      </c>
      <c r="C13" s="487"/>
      <c r="D13" s="488"/>
    </row>
    <row r="14" spans="1:4" ht="15.75" customHeight="1" x14ac:dyDescent="0.25">
      <c r="A14" s="482" t="s">
        <v>83</v>
      </c>
      <c r="B14" s="486" t="s">
        <v>251</v>
      </c>
      <c r="C14" s="487"/>
      <c r="D14" s="488"/>
    </row>
    <row r="15" spans="1:4" ht="15.75" customHeight="1" thickBot="1" x14ac:dyDescent="0.3">
      <c r="A15" s="489" t="s">
        <v>84</v>
      </c>
      <c r="B15" s="490" t="s">
        <v>252</v>
      </c>
      <c r="C15" s="491"/>
      <c r="D15" s="492"/>
    </row>
    <row r="16" spans="1:4" ht="15.75" customHeight="1" thickBot="1" x14ac:dyDescent="0.3">
      <c r="A16" s="493" t="s">
        <v>85</v>
      </c>
      <c r="B16" s="494" t="s">
        <v>253</v>
      </c>
      <c r="C16" s="495"/>
      <c r="D16" s="496"/>
    </row>
    <row r="17" spans="1:4" ht="15.75" customHeight="1" x14ac:dyDescent="0.25">
      <c r="A17" s="497" t="s">
        <v>86</v>
      </c>
      <c r="B17" s="483" t="s">
        <v>254</v>
      </c>
      <c r="C17" s="484"/>
      <c r="D17" s="485"/>
    </row>
    <row r="18" spans="1:4" ht="15.75" customHeight="1" x14ac:dyDescent="0.25">
      <c r="A18" s="482" t="s">
        <v>87</v>
      </c>
      <c r="B18" s="486" t="s">
        <v>255</v>
      </c>
      <c r="C18" s="487"/>
      <c r="D18" s="488"/>
    </row>
    <row r="19" spans="1:4" ht="15.75" customHeight="1" thickBot="1" x14ac:dyDescent="0.3">
      <c r="A19" s="489" t="s">
        <v>88</v>
      </c>
      <c r="B19" s="490" t="s">
        <v>256</v>
      </c>
      <c r="C19" s="491"/>
      <c r="D19" s="492"/>
    </row>
    <row r="20" spans="1:4" ht="15.75" customHeight="1" thickBot="1" x14ac:dyDescent="0.3">
      <c r="A20" s="493" t="s">
        <v>89</v>
      </c>
      <c r="B20" s="494" t="s">
        <v>259</v>
      </c>
      <c r="C20" s="671">
        <f>SUM(C21:C24)</f>
        <v>80955</v>
      </c>
      <c r="D20" s="496">
        <f>+D21+D22+D23</f>
        <v>0</v>
      </c>
    </row>
    <row r="21" spans="1:4" ht="15.75" customHeight="1" x14ac:dyDescent="0.25">
      <c r="A21" s="497" t="s">
        <v>90</v>
      </c>
      <c r="B21" s="483" t="s">
        <v>260</v>
      </c>
      <c r="C21" s="484">
        <v>36553</v>
      </c>
      <c r="D21" s="485"/>
    </row>
    <row r="22" spans="1:4" ht="15.75" customHeight="1" x14ac:dyDescent="0.25">
      <c r="A22" s="482" t="s">
        <v>91</v>
      </c>
      <c r="B22" s="486" t="s">
        <v>261</v>
      </c>
      <c r="C22" s="487">
        <v>33824</v>
      </c>
      <c r="D22" s="488"/>
    </row>
    <row r="23" spans="1:4" ht="15.75" customHeight="1" x14ac:dyDescent="0.25">
      <c r="A23" s="482" t="s">
        <v>92</v>
      </c>
      <c r="B23" s="486" t="s">
        <v>262</v>
      </c>
      <c r="C23" s="487">
        <v>8418</v>
      </c>
      <c r="D23" s="488"/>
    </row>
    <row r="24" spans="1:4" ht="15.75" customHeight="1" x14ac:dyDescent="0.25">
      <c r="A24" s="482" t="s">
        <v>93</v>
      </c>
      <c r="B24" s="486" t="s">
        <v>263</v>
      </c>
      <c r="C24" s="487">
        <v>2160</v>
      </c>
      <c r="D24" s="488"/>
    </row>
    <row r="25" spans="1:4" ht="15.75" customHeight="1" x14ac:dyDescent="0.25">
      <c r="A25" s="482"/>
      <c r="B25" s="486" t="s">
        <v>264</v>
      </c>
      <c r="C25" s="487"/>
      <c r="D25" s="488"/>
    </row>
    <row r="26" spans="1:4" ht="15.75" customHeight="1" x14ac:dyDescent="0.25">
      <c r="A26" s="482"/>
      <c r="B26" s="486" t="s">
        <v>265</v>
      </c>
      <c r="C26" s="487"/>
      <c r="D26" s="488"/>
    </row>
    <row r="27" spans="1:4" ht="15.75" customHeight="1" x14ac:dyDescent="0.25">
      <c r="A27" s="482"/>
      <c r="B27" s="486" t="s">
        <v>266</v>
      </c>
      <c r="C27" s="487"/>
      <c r="D27" s="488"/>
    </row>
    <row r="28" spans="1:4" ht="15.75" customHeight="1" x14ac:dyDescent="0.25">
      <c r="A28" s="482"/>
      <c r="B28" s="486" t="s">
        <v>267</v>
      </c>
      <c r="C28" s="487"/>
      <c r="D28" s="488"/>
    </row>
    <row r="29" spans="1:4" ht="15.75" customHeight="1" x14ac:dyDescent="0.25">
      <c r="A29" s="482"/>
      <c r="B29" s="486" t="s">
        <v>268</v>
      </c>
      <c r="C29" s="487"/>
      <c r="D29" s="488"/>
    </row>
    <row r="30" spans="1:4" ht="15.75" customHeight="1" x14ac:dyDescent="0.25">
      <c r="A30" s="482"/>
      <c r="B30" s="486" t="s">
        <v>269</v>
      </c>
      <c r="C30" s="487"/>
      <c r="D30" s="488"/>
    </row>
    <row r="31" spans="1:4" ht="15.75" customHeight="1" x14ac:dyDescent="0.25">
      <c r="A31" s="482"/>
      <c r="B31" s="486" t="s">
        <v>270</v>
      </c>
      <c r="C31" s="487"/>
      <c r="D31" s="488"/>
    </row>
    <row r="32" spans="1:4" ht="15.75" customHeight="1" x14ac:dyDescent="0.25">
      <c r="A32" s="482"/>
      <c r="B32" s="486" t="s">
        <v>271</v>
      </c>
      <c r="C32" s="487"/>
      <c r="D32" s="488"/>
    </row>
    <row r="33" spans="1:4" ht="15.75" customHeight="1" x14ac:dyDescent="0.25">
      <c r="A33" s="482"/>
      <c r="B33" s="486" t="s">
        <v>272</v>
      </c>
      <c r="C33" s="487"/>
      <c r="D33" s="488"/>
    </row>
    <row r="34" spans="1:4" ht="15.75" customHeight="1" x14ac:dyDescent="0.25">
      <c r="A34" s="482"/>
      <c r="B34" s="486" t="s">
        <v>273</v>
      </c>
      <c r="C34" s="487"/>
      <c r="D34" s="488"/>
    </row>
    <row r="35" spans="1:4" ht="15.75" customHeight="1" x14ac:dyDescent="0.25">
      <c r="A35" s="482"/>
      <c r="B35" s="486" t="s">
        <v>274</v>
      </c>
      <c r="C35" s="487"/>
      <c r="D35" s="488"/>
    </row>
    <row r="36" spans="1:4" ht="15.75" customHeight="1" x14ac:dyDescent="0.25">
      <c r="A36" s="482"/>
      <c r="B36" s="486" t="s">
        <v>275</v>
      </c>
      <c r="C36" s="487"/>
      <c r="D36" s="488"/>
    </row>
    <row r="37" spans="1:4" ht="15.75" customHeight="1" x14ac:dyDescent="0.25">
      <c r="A37" s="482"/>
      <c r="B37" s="486" t="s">
        <v>276</v>
      </c>
      <c r="C37" s="487"/>
      <c r="D37" s="488"/>
    </row>
    <row r="38" spans="1:4" ht="15.75" customHeight="1" x14ac:dyDescent="0.25">
      <c r="A38" s="482"/>
      <c r="B38" s="486" t="s">
        <v>277</v>
      </c>
      <c r="C38" s="487"/>
      <c r="D38" s="488"/>
    </row>
    <row r="39" spans="1:4" ht="15.75" customHeight="1" thickBot="1" x14ac:dyDescent="0.3">
      <c r="A39" s="489"/>
      <c r="B39" s="490" t="s">
        <v>278</v>
      </c>
      <c r="C39" s="491"/>
      <c r="D39" s="492"/>
    </row>
    <row r="40" spans="1:4" ht="15.75" customHeight="1" thickBot="1" x14ac:dyDescent="0.3">
      <c r="A40" s="1070" t="s">
        <v>94</v>
      </c>
      <c r="B40" s="1071"/>
      <c r="C40" s="498"/>
      <c r="D40" s="496">
        <f>+D7+D8+D9+D10+D11+D16+D20+D24+D25+D26+D27+D28+D29+D30+D31+D32+D33+D34+D35+D36+D37+D38+D39</f>
        <v>1556100825</v>
      </c>
    </row>
    <row r="41" spans="1:4" x14ac:dyDescent="0.25">
      <c r="A41" s="499" t="s">
        <v>95</v>
      </c>
    </row>
    <row r="42" spans="1:4" x14ac:dyDescent="0.25">
      <c r="A42" s="500"/>
      <c r="B42" s="501"/>
      <c r="C42" s="1072"/>
      <c r="D42" s="1072"/>
    </row>
    <row r="43" spans="1:4" x14ac:dyDescent="0.25">
      <c r="A43" s="500"/>
      <c r="B43" s="501"/>
      <c r="C43" s="502"/>
      <c r="D43" s="502"/>
    </row>
    <row r="44" spans="1:4" x14ac:dyDescent="0.25">
      <c r="A44" s="501"/>
      <c r="B44" s="501"/>
      <c r="C44" s="1072"/>
      <c r="D44" s="1072"/>
    </row>
    <row r="45" spans="1:4" x14ac:dyDescent="0.25">
      <c r="A45" s="503"/>
      <c r="B45" s="503"/>
    </row>
    <row r="46" spans="1:4" x14ac:dyDescent="0.25">
      <c r="A46" s="503"/>
      <c r="B46" s="503"/>
      <c r="C46" s="503"/>
    </row>
  </sheetData>
  <mergeCells count="6">
    <mergeCell ref="A1:D1"/>
    <mergeCell ref="A40:B40"/>
    <mergeCell ref="C42:D42"/>
    <mergeCell ref="C44:D44"/>
    <mergeCell ref="A2:D2"/>
    <mergeCell ref="A3:D3"/>
  </mergeCells>
  <phoneticPr fontId="56" type="noConversion"/>
  <printOptions horizontalCentered="1"/>
  <pageMargins left="0.78740157480314965" right="0.78740157480314965" top="1.1479166666666667" bottom="0.98425196850393704" header="0.78740157480314965" footer="0.78740157480314965"/>
  <pageSetup paperSize="9" scale="93" orientation="portrait" r:id="rId1"/>
  <headerFooter alignWithMargins="0">
    <oddHeader>&amp;R&amp;"Times New Roman,Félkövér dőlt"5.3 számú tájékoztató tábla a 12/2018. (V.31.)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theme="3"/>
  </sheetPr>
  <dimension ref="A1:F41"/>
  <sheetViews>
    <sheetView view="pageLayout" topLeftCell="F1" zoomScaleNormal="100" workbookViewId="0">
      <selection activeCell="H18" sqref="H18"/>
    </sheetView>
  </sheetViews>
  <sheetFormatPr defaultColWidth="10.28515625" defaultRowHeight="15.75" x14ac:dyDescent="0.25"/>
  <cols>
    <col min="1" max="1" width="48.140625" style="475" customWidth="1"/>
    <col min="2" max="2" width="5.85546875" style="475" customWidth="1"/>
    <col min="3" max="3" width="14.7109375" style="475" customWidth="1"/>
    <col min="4" max="4" width="16.42578125" style="475" customWidth="1"/>
    <col min="5" max="16384" width="10.28515625" style="475"/>
  </cols>
  <sheetData>
    <row r="1" spans="1:6" ht="16.5" customHeight="1" x14ac:dyDescent="0.25">
      <c r="A1" s="1073" t="s">
        <v>118</v>
      </c>
      <c r="B1" s="1074"/>
      <c r="C1" s="1074"/>
      <c r="D1" s="1074"/>
    </row>
    <row r="2" spans="1:6" ht="16.5" customHeight="1" x14ac:dyDescent="0.25">
      <c r="A2" s="1073" t="s">
        <v>122</v>
      </c>
      <c r="B2" s="1073"/>
      <c r="C2" s="1073"/>
      <c r="D2" s="1073"/>
    </row>
    <row r="3" spans="1:6" ht="16.5" customHeight="1" x14ac:dyDescent="0.25">
      <c r="A3" s="1073" t="s">
        <v>158</v>
      </c>
      <c r="B3" s="1073"/>
      <c r="C3" s="1073"/>
      <c r="D3" s="1073"/>
    </row>
    <row r="4" spans="1:6" ht="16.5" customHeight="1" x14ac:dyDescent="0.25">
      <c r="A4" s="689"/>
      <c r="B4" s="690"/>
      <c r="C4" s="690"/>
      <c r="D4" s="690"/>
    </row>
    <row r="5" spans="1:6" ht="16.5" thickBot="1" x14ac:dyDescent="0.3">
      <c r="A5" s="592"/>
      <c r="C5" s="728" t="s">
        <v>237</v>
      </c>
    </row>
    <row r="6" spans="1:6" ht="64.5" thickBot="1" x14ac:dyDescent="0.3">
      <c r="A6" s="504" t="s">
        <v>227</v>
      </c>
      <c r="B6" s="430" t="s">
        <v>424</v>
      </c>
      <c r="C6" s="505" t="s">
        <v>96</v>
      </c>
      <c r="D6" s="506" t="s">
        <v>236</v>
      </c>
    </row>
    <row r="7" spans="1:6" ht="16.5" thickBot="1" x14ac:dyDescent="0.3">
      <c r="A7" s="507" t="s">
        <v>457</v>
      </c>
      <c r="B7" s="508" t="s">
        <v>458</v>
      </c>
      <c r="C7" s="508" t="s">
        <v>459</v>
      </c>
      <c r="D7" s="509" t="s">
        <v>460</v>
      </c>
    </row>
    <row r="8" spans="1:6" ht="15.75" customHeight="1" x14ac:dyDescent="0.25">
      <c r="A8" s="510" t="s">
        <v>97</v>
      </c>
      <c r="B8" s="483" t="s">
        <v>235</v>
      </c>
      <c r="C8" s="484"/>
      <c r="D8" s="485"/>
    </row>
    <row r="9" spans="1:6" ht="15.75" customHeight="1" x14ac:dyDescent="0.25">
      <c r="A9" s="510" t="s">
        <v>98</v>
      </c>
      <c r="B9" s="486" t="s">
        <v>243</v>
      </c>
      <c r="C9" s="487"/>
      <c r="D9" s="488"/>
      <c r="F9" s="595"/>
    </row>
    <row r="10" spans="1:6" ht="15.75" customHeight="1" thickBot="1" x14ac:dyDescent="0.3">
      <c r="A10" s="511" t="s">
        <v>99</v>
      </c>
      <c r="B10" s="490" t="s">
        <v>244</v>
      </c>
      <c r="C10" s="491"/>
      <c r="D10" s="492"/>
    </row>
    <row r="11" spans="1:6" ht="15.75" customHeight="1" thickBot="1" x14ac:dyDescent="0.3">
      <c r="A11" s="493" t="s">
        <v>100</v>
      </c>
      <c r="B11" s="494" t="s">
        <v>245</v>
      </c>
      <c r="C11" s="495"/>
      <c r="D11" s="496">
        <f>+D8+D9+D10</f>
        <v>0</v>
      </c>
    </row>
    <row r="12" spans="1:6" ht="15.75" customHeight="1" x14ac:dyDescent="0.25">
      <c r="A12" s="512" t="s">
        <v>101</v>
      </c>
      <c r="B12" s="483" t="s">
        <v>246</v>
      </c>
      <c r="C12" s="484"/>
      <c r="D12" s="485"/>
    </row>
    <row r="13" spans="1:6" ht="15.75" customHeight="1" x14ac:dyDescent="0.25">
      <c r="A13" s="510" t="s">
        <v>102</v>
      </c>
      <c r="B13" s="486" t="s">
        <v>249</v>
      </c>
      <c r="C13" s="487"/>
      <c r="D13" s="488"/>
    </row>
    <row r="14" spans="1:6" ht="15.75" customHeight="1" x14ac:dyDescent="0.25">
      <c r="A14" s="510" t="s">
        <v>103</v>
      </c>
      <c r="B14" s="486" t="s">
        <v>250</v>
      </c>
      <c r="C14" s="487"/>
      <c r="D14" s="488"/>
    </row>
    <row r="15" spans="1:6" ht="15.75" customHeight="1" x14ac:dyDescent="0.25">
      <c r="A15" s="510" t="s">
        <v>104</v>
      </c>
      <c r="B15" s="486" t="s">
        <v>251</v>
      </c>
      <c r="C15" s="487"/>
      <c r="D15" s="488"/>
    </row>
    <row r="16" spans="1:6" ht="15.75" customHeight="1" thickBot="1" x14ac:dyDescent="0.3">
      <c r="A16" s="511" t="s">
        <v>105</v>
      </c>
      <c r="B16" s="490" t="s">
        <v>252</v>
      </c>
      <c r="C16" s="491"/>
      <c r="D16" s="492"/>
    </row>
    <row r="17" spans="1:4" ht="15.75" customHeight="1" thickBot="1" x14ac:dyDescent="0.3">
      <c r="A17" s="493" t="s">
        <v>106</v>
      </c>
      <c r="B17" s="494" t="s">
        <v>253</v>
      </c>
      <c r="C17" s="513"/>
      <c r="D17" s="496">
        <f>+D12+D13+D14+D15+D16</f>
        <v>0</v>
      </c>
    </row>
    <row r="18" spans="1:4" ht="15.75" customHeight="1" x14ac:dyDescent="0.25">
      <c r="A18" s="512"/>
      <c r="B18" s="483" t="s">
        <v>254</v>
      </c>
      <c r="C18" s="484"/>
      <c r="D18" s="485"/>
    </row>
    <row r="19" spans="1:4" ht="15.75" customHeight="1" x14ac:dyDescent="0.25">
      <c r="A19" s="510"/>
      <c r="B19" s="486" t="s">
        <v>255</v>
      </c>
      <c r="C19" s="487"/>
      <c r="D19" s="488"/>
    </row>
    <row r="20" spans="1:4" ht="15.75" customHeight="1" x14ac:dyDescent="0.25">
      <c r="A20" s="510"/>
      <c r="B20" s="486" t="s">
        <v>256</v>
      </c>
      <c r="C20" s="487"/>
      <c r="D20" s="488"/>
    </row>
    <row r="21" spans="1:4" ht="15.75" customHeight="1" x14ac:dyDescent="0.25">
      <c r="A21" s="510"/>
      <c r="B21" s="486" t="s">
        <v>259</v>
      </c>
      <c r="C21" s="487"/>
      <c r="D21" s="488"/>
    </row>
    <row r="22" spans="1:4" ht="15.75" customHeight="1" x14ac:dyDescent="0.25">
      <c r="A22" s="510"/>
      <c r="B22" s="486" t="s">
        <v>260</v>
      </c>
      <c r="C22" s="487"/>
      <c r="D22" s="488"/>
    </row>
    <row r="23" spans="1:4" ht="15.75" customHeight="1" x14ac:dyDescent="0.25">
      <c r="A23" s="510"/>
      <c r="B23" s="486" t="s">
        <v>261</v>
      </c>
      <c r="C23" s="487"/>
      <c r="D23" s="488"/>
    </row>
    <row r="24" spans="1:4" ht="15.75" customHeight="1" x14ac:dyDescent="0.25">
      <c r="A24" s="510"/>
      <c r="B24" s="486" t="s">
        <v>262</v>
      </c>
      <c r="C24" s="487"/>
      <c r="D24" s="488"/>
    </row>
    <row r="25" spans="1:4" ht="15.75" customHeight="1" x14ac:dyDescent="0.25">
      <c r="A25" s="510"/>
      <c r="B25" s="486" t="s">
        <v>263</v>
      </c>
      <c r="C25" s="487"/>
      <c r="D25" s="488"/>
    </row>
    <row r="26" spans="1:4" ht="15.75" customHeight="1" x14ac:dyDescent="0.25">
      <c r="A26" s="510"/>
      <c r="B26" s="486" t="s">
        <v>264</v>
      </c>
      <c r="C26" s="487"/>
      <c r="D26" s="488"/>
    </row>
    <row r="27" spans="1:4" ht="15.75" customHeight="1" x14ac:dyDescent="0.25">
      <c r="A27" s="510"/>
      <c r="B27" s="486" t="s">
        <v>265</v>
      </c>
      <c r="C27" s="487"/>
      <c r="D27" s="488"/>
    </row>
    <row r="28" spans="1:4" ht="15.75" customHeight="1" x14ac:dyDescent="0.25">
      <c r="A28" s="510"/>
      <c r="B28" s="486" t="s">
        <v>266</v>
      </c>
      <c r="C28" s="487"/>
      <c r="D28" s="488"/>
    </row>
    <row r="29" spans="1:4" ht="15.75" customHeight="1" x14ac:dyDescent="0.25">
      <c r="A29" s="510"/>
      <c r="B29" s="486" t="s">
        <v>267</v>
      </c>
      <c r="C29" s="487"/>
      <c r="D29" s="488"/>
    </row>
    <row r="30" spans="1:4" ht="15.75" customHeight="1" x14ac:dyDescent="0.25">
      <c r="A30" s="510"/>
      <c r="B30" s="486" t="s">
        <v>268</v>
      </c>
      <c r="C30" s="487"/>
      <c r="D30" s="488"/>
    </row>
    <row r="31" spans="1:4" ht="15.75" customHeight="1" x14ac:dyDescent="0.25">
      <c r="A31" s="510"/>
      <c r="B31" s="486" t="s">
        <v>269</v>
      </c>
      <c r="C31" s="487"/>
      <c r="D31" s="488"/>
    </row>
    <row r="32" spans="1:4" ht="15.75" customHeight="1" x14ac:dyDescent="0.25">
      <c r="A32" s="510"/>
      <c r="B32" s="486" t="s">
        <v>270</v>
      </c>
      <c r="C32" s="487"/>
      <c r="D32" s="488"/>
    </row>
    <row r="33" spans="1:6" ht="15.75" customHeight="1" x14ac:dyDescent="0.25">
      <c r="A33" s="510"/>
      <c r="B33" s="486" t="s">
        <v>271</v>
      </c>
      <c r="C33" s="487"/>
      <c r="D33" s="488"/>
    </row>
    <row r="34" spans="1:6" ht="15.75" customHeight="1" x14ac:dyDescent="0.25">
      <c r="A34" s="510"/>
      <c r="B34" s="486" t="s">
        <v>272</v>
      </c>
      <c r="C34" s="487"/>
      <c r="D34" s="488"/>
    </row>
    <row r="35" spans="1:6" ht="15.75" customHeight="1" x14ac:dyDescent="0.25">
      <c r="A35" s="510"/>
      <c r="B35" s="486" t="s">
        <v>273</v>
      </c>
      <c r="C35" s="487"/>
      <c r="D35" s="488"/>
    </row>
    <row r="36" spans="1:6" ht="15.75" customHeight="1" x14ac:dyDescent="0.25">
      <c r="A36" s="510"/>
      <c r="B36" s="486" t="s">
        <v>274</v>
      </c>
      <c r="C36" s="487"/>
      <c r="D36" s="488"/>
    </row>
    <row r="37" spans="1:6" ht="15.75" customHeight="1" x14ac:dyDescent="0.25">
      <c r="A37" s="510"/>
      <c r="B37" s="486" t="s">
        <v>275</v>
      </c>
      <c r="C37" s="487"/>
      <c r="D37" s="488"/>
    </row>
    <row r="38" spans="1:6" ht="15.75" customHeight="1" x14ac:dyDescent="0.25">
      <c r="A38" s="510"/>
      <c r="B38" s="486" t="s">
        <v>276</v>
      </c>
      <c r="C38" s="487"/>
      <c r="D38" s="488"/>
    </row>
    <row r="39" spans="1:6" ht="15.75" customHeight="1" x14ac:dyDescent="0.25">
      <c r="A39" s="510"/>
      <c r="B39" s="486" t="s">
        <v>277</v>
      </c>
      <c r="C39" s="487"/>
      <c r="D39" s="488"/>
    </row>
    <row r="40" spans="1:6" ht="15.75" customHeight="1" thickBot="1" x14ac:dyDescent="0.3">
      <c r="A40" s="514"/>
      <c r="B40" s="515" t="s">
        <v>278</v>
      </c>
      <c r="C40" s="516"/>
      <c r="D40" s="517"/>
    </row>
    <row r="41" spans="1:6" ht="15.75" customHeight="1" thickBot="1" x14ac:dyDescent="0.3">
      <c r="A41" s="1075" t="s">
        <v>107</v>
      </c>
      <c r="B41" s="1076"/>
      <c r="C41" s="498"/>
      <c r="D41" s="496">
        <f>+D11+D17+SUM(D18:D40)</f>
        <v>0</v>
      </c>
      <c r="F41" s="518"/>
    </row>
  </sheetData>
  <mergeCells count="4">
    <mergeCell ref="A1:D1"/>
    <mergeCell ref="A41:B41"/>
    <mergeCell ref="A2:D2"/>
    <mergeCell ref="A3:D3"/>
  </mergeCells>
  <phoneticPr fontId="56" type="noConversion"/>
  <printOptions horizontalCentered="1"/>
  <pageMargins left="0.78740157480314965" right="0.78740157480314965" top="1.128125" bottom="0.98425196850393704" header="0.78740157480314965" footer="0.78740157480314965"/>
  <pageSetup paperSize="9" scale="95" orientation="portrait" r:id="rId1"/>
  <headerFooter alignWithMargins="0">
    <oddHeader>&amp;R&amp;"Times New Roman,Félkövér dőlt"5.4 számú tájékoztató tábla a 12/2018. (V.31.)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3"/>
  </sheetPr>
  <dimension ref="A1:J33"/>
  <sheetViews>
    <sheetView topLeftCell="B1" zoomScaleNormal="100" zoomScaleSheetLayoutView="100" workbookViewId="0">
      <selection activeCell="J1" sqref="J1:J33"/>
    </sheetView>
  </sheetViews>
  <sheetFormatPr defaultColWidth="8" defaultRowHeight="12.75" x14ac:dyDescent="0.2"/>
  <cols>
    <col min="1" max="1" width="5.85546875" style="95" customWidth="1"/>
    <col min="2" max="2" width="47.28515625" style="96" customWidth="1"/>
    <col min="3" max="5" width="14" style="95" customWidth="1"/>
    <col min="6" max="6" width="47.28515625" style="95" customWidth="1"/>
    <col min="7" max="9" width="14" style="95" customWidth="1"/>
    <col min="10" max="10" width="4.140625" style="95" customWidth="1"/>
    <col min="11" max="16384" width="8" style="95"/>
  </cols>
  <sheetData>
    <row r="1" spans="1:10" s="670" customFormat="1" ht="39.75" customHeight="1" x14ac:dyDescent="0.2">
      <c r="B1" s="674" t="s">
        <v>141</v>
      </c>
      <c r="C1" s="675"/>
      <c r="D1" s="675"/>
      <c r="E1" s="675"/>
      <c r="F1" s="675"/>
      <c r="G1" s="675"/>
      <c r="H1" s="675"/>
      <c r="I1" s="675"/>
      <c r="J1" s="946" t="s">
        <v>926</v>
      </c>
    </row>
    <row r="2" spans="1:10" ht="14.25" thickBot="1" x14ac:dyDescent="0.25">
      <c r="G2" s="97"/>
      <c r="H2" s="97"/>
      <c r="I2" s="97" t="s">
        <v>501</v>
      </c>
      <c r="J2" s="946"/>
    </row>
    <row r="3" spans="1:10" ht="24" customHeight="1" thickBot="1" x14ac:dyDescent="0.25">
      <c r="A3" s="944" t="s">
        <v>405</v>
      </c>
      <c r="B3" s="98" t="s">
        <v>129</v>
      </c>
      <c r="C3" s="99"/>
      <c r="D3" s="99"/>
      <c r="E3" s="99"/>
      <c r="F3" s="98" t="s">
        <v>130</v>
      </c>
      <c r="G3" s="100"/>
      <c r="H3" s="100"/>
      <c r="I3" s="100"/>
      <c r="J3" s="946"/>
    </row>
    <row r="4" spans="1:10" s="105" customFormat="1" ht="35.25" customHeight="1" thickBot="1" x14ac:dyDescent="0.25">
      <c r="A4" s="945"/>
      <c r="B4" s="101" t="s">
        <v>227</v>
      </c>
      <c r="C4" s="102" t="s">
        <v>778</v>
      </c>
      <c r="D4" s="103" t="s">
        <v>782</v>
      </c>
      <c r="E4" s="102" t="s">
        <v>783</v>
      </c>
      <c r="F4" s="101" t="s">
        <v>227</v>
      </c>
      <c r="G4" s="102" t="s">
        <v>778</v>
      </c>
      <c r="H4" s="103" t="s">
        <v>782</v>
      </c>
      <c r="I4" s="102" t="s">
        <v>780</v>
      </c>
      <c r="J4" s="946"/>
    </row>
    <row r="5" spans="1:10" s="105" customFormat="1" ht="13.5" thickBot="1" x14ac:dyDescent="0.25">
      <c r="A5" s="106" t="s">
        <v>457</v>
      </c>
      <c r="B5" s="107" t="s">
        <v>458</v>
      </c>
      <c r="C5" s="108" t="s">
        <v>459</v>
      </c>
      <c r="D5" s="108" t="s">
        <v>460</v>
      </c>
      <c r="E5" s="108" t="s">
        <v>461</v>
      </c>
      <c r="F5" s="107" t="s">
        <v>649</v>
      </c>
      <c r="G5" s="108" t="s">
        <v>650</v>
      </c>
      <c r="H5" s="108" t="s">
        <v>651</v>
      </c>
      <c r="I5" s="109" t="s">
        <v>652</v>
      </c>
      <c r="J5" s="946"/>
    </row>
    <row r="6" spans="1:10" ht="12.95" customHeight="1" x14ac:dyDescent="0.2">
      <c r="A6" s="111" t="s">
        <v>235</v>
      </c>
      <c r="B6" s="112" t="s">
        <v>666</v>
      </c>
      <c r="C6" s="740">
        <v>3797300</v>
      </c>
      <c r="D6" s="113">
        <v>531996708</v>
      </c>
      <c r="E6" s="113">
        <v>519310318</v>
      </c>
      <c r="F6" s="112" t="s">
        <v>142</v>
      </c>
      <c r="G6" s="113">
        <v>47116187</v>
      </c>
      <c r="H6" s="113">
        <v>340602433</v>
      </c>
      <c r="I6" s="114">
        <v>41111560</v>
      </c>
      <c r="J6" s="946"/>
    </row>
    <row r="7" spans="1:10" x14ac:dyDescent="0.2">
      <c r="A7" s="115" t="s">
        <v>243</v>
      </c>
      <c r="B7" s="116"/>
      <c r="C7" s="741"/>
      <c r="D7" s="117"/>
      <c r="E7" s="117"/>
      <c r="F7" s="116"/>
      <c r="G7" s="117"/>
      <c r="H7" s="117"/>
      <c r="I7" s="118"/>
      <c r="J7" s="946"/>
    </row>
    <row r="8" spans="1:10" ht="12.95" customHeight="1" x14ac:dyDescent="0.2">
      <c r="A8" s="115" t="s">
        <v>244</v>
      </c>
      <c r="B8" s="116" t="s">
        <v>667</v>
      </c>
      <c r="C8" s="741">
        <v>25179000</v>
      </c>
      <c r="D8" s="117">
        <v>47429000</v>
      </c>
      <c r="E8" s="117">
        <v>31376724</v>
      </c>
      <c r="F8" s="116" t="s">
        <v>232</v>
      </c>
      <c r="G8" s="117">
        <v>80158000</v>
      </c>
      <c r="H8" s="117">
        <v>345284910</v>
      </c>
      <c r="I8" s="118">
        <v>140483298</v>
      </c>
      <c r="J8" s="946"/>
    </row>
    <row r="9" spans="1:10" ht="12.95" customHeight="1" x14ac:dyDescent="0.2">
      <c r="A9" s="115" t="s">
        <v>245</v>
      </c>
      <c r="B9" s="116" t="s">
        <v>668</v>
      </c>
      <c r="C9" s="117"/>
      <c r="D9" s="117">
        <v>1000000</v>
      </c>
      <c r="E9" s="117">
        <v>1000000</v>
      </c>
      <c r="F9" s="116"/>
      <c r="G9" s="117"/>
      <c r="H9" s="117"/>
      <c r="I9" s="118"/>
      <c r="J9" s="946"/>
    </row>
    <row r="10" spans="1:10" ht="12.75" customHeight="1" x14ac:dyDescent="0.2">
      <c r="A10" s="115" t="s">
        <v>246</v>
      </c>
      <c r="B10" s="116"/>
      <c r="C10" s="117"/>
      <c r="D10" s="117"/>
      <c r="E10" s="117"/>
      <c r="F10" s="116" t="s">
        <v>143</v>
      </c>
      <c r="G10" s="117">
        <v>42072000</v>
      </c>
      <c r="H10" s="117">
        <v>48504500</v>
      </c>
      <c r="I10" s="118">
        <v>13213266</v>
      </c>
      <c r="J10" s="946"/>
    </row>
    <row r="11" spans="1:10" ht="12.95" customHeight="1" x14ac:dyDescent="0.2">
      <c r="A11" s="115" t="s">
        <v>249</v>
      </c>
      <c r="B11" s="116" t="s">
        <v>669</v>
      </c>
      <c r="C11" s="120"/>
      <c r="D11" s="120"/>
      <c r="E11" s="120"/>
      <c r="F11" s="137"/>
      <c r="G11" s="117"/>
      <c r="H11" s="117"/>
      <c r="I11" s="118"/>
      <c r="J11" s="946"/>
    </row>
    <row r="12" spans="1:10" ht="12.95" customHeight="1" x14ac:dyDescent="0.2">
      <c r="A12" s="115" t="s">
        <v>250</v>
      </c>
      <c r="B12" s="121"/>
      <c r="C12" s="117"/>
      <c r="D12" s="117"/>
      <c r="E12" s="117"/>
      <c r="F12" s="137"/>
      <c r="G12" s="117"/>
      <c r="H12" s="117"/>
      <c r="I12" s="118"/>
      <c r="J12" s="946"/>
    </row>
    <row r="13" spans="1:10" ht="12.95" customHeight="1" x14ac:dyDescent="0.2">
      <c r="A13" s="115" t="s">
        <v>251</v>
      </c>
      <c r="B13" s="121"/>
      <c r="C13" s="117"/>
      <c r="D13" s="117"/>
      <c r="E13" s="117"/>
      <c r="F13" s="138"/>
      <c r="G13" s="117"/>
      <c r="H13" s="117"/>
      <c r="I13" s="118"/>
      <c r="J13" s="946"/>
    </row>
    <row r="14" spans="1:10" ht="12.95" customHeight="1" x14ac:dyDescent="0.2">
      <c r="A14" s="115" t="s">
        <v>252</v>
      </c>
      <c r="B14" s="139"/>
      <c r="C14" s="120"/>
      <c r="D14" s="120"/>
      <c r="E14" s="120"/>
      <c r="F14" s="137"/>
      <c r="G14" s="117"/>
      <c r="H14" s="117"/>
      <c r="I14" s="118"/>
      <c r="J14" s="946"/>
    </row>
    <row r="15" spans="1:10" x14ac:dyDescent="0.2">
      <c r="A15" s="115" t="s">
        <v>253</v>
      </c>
      <c r="B15" s="121"/>
      <c r="C15" s="120"/>
      <c r="D15" s="120"/>
      <c r="E15" s="120"/>
      <c r="F15" s="137"/>
      <c r="G15" s="117"/>
      <c r="H15" s="117"/>
      <c r="I15" s="118"/>
      <c r="J15" s="946"/>
    </row>
    <row r="16" spans="1:10" ht="12.95" customHeight="1" thickBot="1" x14ac:dyDescent="0.25">
      <c r="A16" s="140" t="s">
        <v>254</v>
      </c>
      <c r="B16" s="141"/>
      <c r="C16" s="142"/>
      <c r="D16" s="143"/>
      <c r="E16" s="144"/>
      <c r="F16" s="145" t="s">
        <v>247</v>
      </c>
      <c r="G16" s="117">
        <v>5202300</v>
      </c>
      <c r="H16" s="117">
        <v>28979295</v>
      </c>
      <c r="I16" s="118"/>
      <c r="J16" s="946"/>
    </row>
    <row r="17" spans="1:10" ht="15.95" customHeight="1" thickBot="1" x14ac:dyDescent="0.25">
      <c r="A17" s="126" t="s">
        <v>255</v>
      </c>
      <c r="B17" s="127" t="s">
        <v>670</v>
      </c>
      <c r="C17" s="128">
        <f>+C6+C8+C9+C11+C12+C13+C14+C15+C16</f>
        <v>28976300</v>
      </c>
      <c r="D17" s="128">
        <f>+D6+D8+D9+D11+D12+D13+D14+D15+D16</f>
        <v>580425708</v>
      </c>
      <c r="E17" s="128">
        <f>+E6+E8+E9+E11+E12+E13+E14+E15+E16</f>
        <v>551687042</v>
      </c>
      <c r="F17" s="127" t="s">
        <v>671</v>
      </c>
      <c r="G17" s="128">
        <f>+G6+G8+G10+G11+G12+G13+G14+G15+G16</f>
        <v>174548487</v>
      </c>
      <c r="H17" s="128">
        <f>+H6+H8+H10+H11+H12+H13+H14+H15+H16</f>
        <v>763371138</v>
      </c>
      <c r="I17" s="146">
        <f>+I6+I8+I10+I11+I12+I13+I14+I15+I16</f>
        <v>194808124</v>
      </c>
      <c r="J17" s="946"/>
    </row>
    <row r="18" spans="1:10" ht="12.95" customHeight="1" x14ac:dyDescent="0.2">
      <c r="A18" s="111" t="s">
        <v>256</v>
      </c>
      <c r="B18" s="147" t="s">
        <v>144</v>
      </c>
      <c r="C18" s="148">
        <f>+C19+C20+C21+C22+C23</f>
        <v>0</v>
      </c>
      <c r="D18" s="148">
        <f>+D19+D20+D21+D22+D23</f>
        <v>0</v>
      </c>
      <c r="E18" s="148">
        <f>+E19+E20+E21+E22+E23</f>
        <v>0</v>
      </c>
      <c r="F18" s="130" t="s">
        <v>201</v>
      </c>
      <c r="G18" s="149"/>
      <c r="H18" s="149"/>
      <c r="I18" s="150"/>
      <c r="J18" s="946"/>
    </row>
    <row r="19" spans="1:10" ht="12.95" customHeight="1" x14ac:dyDescent="0.2">
      <c r="A19" s="115" t="s">
        <v>259</v>
      </c>
      <c r="B19" s="151" t="s">
        <v>145</v>
      </c>
      <c r="C19" s="132"/>
      <c r="D19" s="132"/>
      <c r="E19" s="132"/>
      <c r="F19" s="130" t="s">
        <v>204</v>
      </c>
      <c r="G19" s="132"/>
      <c r="H19" s="132"/>
      <c r="I19" s="152"/>
      <c r="J19" s="946"/>
    </row>
    <row r="20" spans="1:10" ht="12.95" customHeight="1" x14ac:dyDescent="0.2">
      <c r="A20" s="111" t="s">
        <v>260</v>
      </c>
      <c r="B20" s="151" t="s">
        <v>146</v>
      </c>
      <c r="C20" s="132"/>
      <c r="D20" s="132"/>
      <c r="E20" s="132"/>
      <c r="F20" s="130" t="s">
        <v>363</v>
      </c>
      <c r="G20" s="132"/>
      <c r="H20" s="132"/>
      <c r="I20" s="152"/>
      <c r="J20" s="946"/>
    </row>
    <row r="21" spans="1:10" ht="12.95" customHeight="1" x14ac:dyDescent="0.2">
      <c r="A21" s="115" t="s">
        <v>261</v>
      </c>
      <c r="B21" s="151" t="s">
        <v>147</v>
      </c>
      <c r="C21" s="132"/>
      <c r="D21" s="132"/>
      <c r="E21" s="132"/>
      <c r="F21" s="130" t="s">
        <v>381</v>
      </c>
      <c r="G21" s="132">
        <v>3161000</v>
      </c>
      <c r="H21" s="132">
        <v>3161000</v>
      </c>
      <c r="I21" s="152">
        <v>3160000</v>
      </c>
      <c r="J21" s="946"/>
    </row>
    <row r="22" spans="1:10" ht="12.95" customHeight="1" x14ac:dyDescent="0.2">
      <c r="A22" s="111" t="s">
        <v>262</v>
      </c>
      <c r="B22" s="151" t="s">
        <v>148</v>
      </c>
      <c r="C22" s="132"/>
      <c r="D22" s="132"/>
      <c r="E22" s="132"/>
      <c r="F22" s="129" t="s">
        <v>136</v>
      </c>
      <c r="G22" s="132"/>
      <c r="H22" s="132"/>
      <c r="I22" s="152"/>
      <c r="J22" s="946"/>
    </row>
    <row r="23" spans="1:10" ht="12.95" customHeight="1" x14ac:dyDescent="0.2">
      <c r="A23" s="115" t="s">
        <v>263</v>
      </c>
      <c r="B23" s="153" t="s">
        <v>149</v>
      </c>
      <c r="C23" s="132"/>
      <c r="D23" s="132"/>
      <c r="E23" s="132"/>
      <c r="F23" s="130" t="s">
        <v>205</v>
      </c>
      <c r="G23" s="132"/>
      <c r="H23" s="132"/>
      <c r="I23" s="152"/>
      <c r="J23" s="946"/>
    </row>
    <row r="24" spans="1:10" ht="12.95" customHeight="1" x14ac:dyDescent="0.2">
      <c r="A24" s="111" t="s">
        <v>264</v>
      </c>
      <c r="B24" s="154" t="s">
        <v>150</v>
      </c>
      <c r="C24" s="133">
        <f>+C25+C26+C27+C28+C29</f>
        <v>44100000</v>
      </c>
      <c r="D24" s="133">
        <f>+D25+D26+D27+D28+D29</f>
        <v>87500000</v>
      </c>
      <c r="E24" s="133">
        <f>+E25+E26+E27+E28+E29</f>
        <v>23966616</v>
      </c>
      <c r="F24" s="155" t="s">
        <v>203</v>
      </c>
      <c r="G24" s="132"/>
      <c r="H24" s="132"/>
      <c r="I24" s="152"/>
      <c r="J24" s="946"/>
    </row>
    <row r="25" spans="1:10" ht="12.95" customHeight="1" x14ac:dyDescent="0.2">
      <c r="A25" s="115" t="s">
        <v>265</v>
      </c>
      <c r="B25" s="153" t="s">
        <v>151</v>
      </c>
      <c r="C25" s="132">
        <v>44100000</v>
      </c>
      <c r="D25" s="132">
        <v>87500000</v>
      </c>
      <c r="E25" s="132">
        <v>23966616</v>
      </c>
      <c r="F25" s="155" t="s">
        <v>672</v>
      </c>
      <c r="G25" s="132"/>
      <c r="H25" s="132"/>
      <c r="I25" s="152"/>
      <c r="J25" s="946"/>
    </row>
    <row r="26" spans="1:10" ht="12.95" customHeight="1" x14ac:dyDescent="0.2">
      <c r="A26" s="111" t="s">
        <v>266</v>
      </c>
      <c r="B26" s="153" t="s">
        <v>152</v>
      </c>
      <c r="C26" s="132"/>
      <c r="D26" s="132"/>
      <c r="E26" s="132"/>
      <c r="F26" s="156"/>
      <c r="G26" s="132"/>
      <c r="H26" s="132"/>
      <c r="I26" s="152"/>
      <c r="J26" s="946"/>
    </row>
    <row r="27" spans="1:10" ht="12.95" customHeight="1" x14ac:dyDescent="0.2">
      <c r="A27" s="115" t="s">
        <v>267</v>
      </c>
      <c r="B27" s="151" t="s">
        <v>153</v>
      </c>
      <c r="C27" s="132"/>
      <c r="D27" s="132"/>
      <c r="E27" s="132"/>
      <c r="F27" s="157"/>
      <c r="G27" s="132"/>
      <c r="H27" s="132"/>
      <c r="I27" s="152"/>
      <c r="J27" s="946"/>
    </row>
    <row r="28" spans="1:10" ht="12.95" customHeight="1" x14ac:dyDescent="0.2">
      <c r="A28" s="111" t="s">
        <v>268</v>
      </c>
      <c r="B28" s="158" t="s">
        <v>154</v>
      </c>
      <c r="C28" s="132"/>
      <c r="D28" s="132"/>
      <c r="E28" s="132"/>
      <c r="F28" s="121"/>
      <c r="G28" s="132"/>
      <c r="H28" s="132"/>
      <c r="I28" s="152"/>
      <c r="J28" s="946"/>
    </row>
    <row r="29" spans="1:10" ht="12.95" customHeight="1" thickBot="1" x14ac:dyDescent="0.25">
      <c r="A29" s="115" t="s">
        <v>269</v>
      </c>
      <c r="B29" s="159" t="s">
        <v>199</v>
      </c>
      <c r="C29" s="132"/>
      <c r="D29" s="132"/>
      <c r="E29" s="132"/>
      <c r="F29" s="157"/>
      <c r="G29" s="132"/>
      <c r="H29" s="132"/>
      <c r="I29" s="152"/>
      <c r="J29" s="946"/>
    </row>
    <row r="30" spans="1:10" ht="21.75" customHeight="1" thickBot="1" x14ac:dyDescent="0.25">
      <c r="A30" s="126" t="s">
        <v>270</v>
      </c>
      <c r="B30" s="127" t="s">
        <v>673</v>
      </c>
      <c r="C30" s="128">
        <f>+C18+C24</f>
        <v>44100000</v>
      </c>
      <c r="D30" s="128">
        <f>+D18+D24</f>
        <v>87500000</v>
      </c>
      <c r="E30" s="128">
        <f>+E18+E24</f>
        <v>23966616</v>
      </c>
      <c r="F30" s="127" t="s">
        <v>674</v>
      </c>
      <c r="G30" s="128">
        <f>SUM(G18:G29)</f>
        <v>3161000</v>
      </c>
      <c r="H30" s="128">
        <f>SUM(H18:H29)</f>
        <v>3161000</v>
      </c>
      <c r="I30" s="146">
        <f>SUM(I18:I29)</f>
        <v>3160000</v>
      </c>
      <c r="J30" s="946"/>
    </row>
    <row r="31" spans="1:10" ht="16.5" customHeight="1" thickBot="1" x14ac:dyDescent="0.25">
      <c r="A31" s="126" t="s">
        <v>271</v>
      </c>
      <c r="B31" s="134" t="s">
        <v>675</v>
      </c>
      <c r="C31" s="135">
        <f>+C17+C30</f>
        <v>73076300</v>
      </c>
      <c r="D31" s="135">
        <f>+D17+D30</f>
        <v>667925708</v>
      </c>
      <c r="E31" s="136">
        <f>+E17+E30</f>
        <v>575653658</v>
      </c>
      <c r="F31" s="134" t="s">
        <v>676</v>
      </c>
      <c r="G31" s="135">
        <f>+G17+G30</f>
        <v>177709487</v>
      </c>
      <c r="H31" s="135">
        <f>+H17+H30</f>
        <v>766532138</v>
      </c>
      <c r="I31" s="160">
        <f>+I17+I30</f>
        <v>197968124</v>
      </c>
      <c r="J31" s="946"/>
    </row>
    <row r="32" spans="1:10" ht="16.5" customHeight="1" thickBot="1" x14ac:dyDescent="0.25">
      <c r="A32" s="126" t="s">
        <v>272</v>
      </c>
      <c r="B32" s="134" t="s">
        <v>137</v>
      </c>
      <c r="C32" s="135">
        <f>IF(C17-G17&lt;0,G17-C17,"-")</f>
        <v>145572187</v>
      </c>
      <c r="D32" s="135">
        <f>IF(D17-H17&lt;0,H17-D17,"-")</f>
        <v>182945430</v>
      </c>
      <c r="E32" s="136" t="str">
        <f>IF(E17-I17&lt;0,I17-E17,"-")</f>
        <v>-</v>
      </c>
      <c r="F32" s="134" t="s">
        <v>138</v>
      </c>
      <c r="G32" s="135" t="str">
        <f>IF(C17-G17&gt;0,C17-G17,"-")</f>
        <v>-</v>
      </c>
      <c r="H32" s="135" t="str">
        <f>IF(D17-H17&gt;0,D17-H17,"-")</f>
        <v>-</v>
      </c>
      <c r="I32" s="160">
        <f>IF(E17-I17&gt;0,E17-I17,"-")</f>
        <v>356878918</v>
      </c>
      <c r="J32" s="946"/>
    </row>
    <row r="33" spans="1:10" ht="16.5" customHeight="1" thickBot="1" x14ac:dyDescent="0.25">
      <c r="A33" s="126" t="s">
        <v>273</v>
      </c>
      <c r="B33" s="134" t="s">
        <v>139</v>
      </c>
      <c r="C33" s="135">
        <v>104633187</v>
      </c>
      <c r="D33" s="135">
        <v>98606430</v>
      </c>
      <c r="E33" s="136"/>
      <c r="F33" s="134" t="s">
        <v>140</v>
      </c>
      <c r="G33" s="135" t="str">
        <f>IF(C26-G26&gt;0,C26-G26,"-")</f>
        <v>-</v>
      </c>
      <c r="H33" s="135" t="str">
        <f>IF(D26-H26&gt;0,D26-H26,"-")</f>
        <v>-</v>
      </c>
      <c r="I33" s="160" t="str">
        <f>IF(E26-I26&gt;0,E26-I26,"-")</f>
        <v>-</v>
      </c>
      <c r="J33" s="946"/>
    </row>
  </sheetData>
  <mergeCells count="2">
    <mergeCell ref="A3:A4"/>
    <mergeCell ref="J1:J3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65" orientation="landscape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theme="3"/>
  </sheetPr>
  <dimension ref="A1:G16"/>
  <sheetViews>
    <sheetView zoomScaleNormal="100" workbookViewId="0">
      <selection activeCell="F1" sqref="F1:F12"/>
    </sheetView>
  </sheetViews>
  <sheetFormatPr defaultColWidth="8" defaultRowHeight="12.75" x14ac:dyDescent="0.2"/>
  <cols>
    <col min="1" max="1" width="8" style="520" customWidth="1"/>
    <col min="2" max="2" width="50" style="520" customWidth="1"/>
    <col min="3" max="5" width="21.42578125" style="520" customWidth="1"/>
    <col min="6" max="6" width="4.7109375" style="520" customWidth="1"/>
    <col min="7" max="16384" width="8" style="520"/>
  </cols>
  <sheetData>
    <row r="1" spans="1:7" x14ac:dyDescent="0.2">
      <c r="A1" s="519"/>
      <c r="F1" s="1080" t="s">
        <v>945</v>
      </c>
    </row>
    <row r="2" spans="1:7" ht="33" customHeight="1" x14ac:dyDescent="0.2">
      <c r="A2" s="1077" t="s">
        <v>846</v>
      </c>
      <c r="B2" s="1077"/>
      <c r="C2" s="1077"/>
      <c r="D2" s="1077"/>
      <c r="E2" s="1077"/>
      <c r="F2" s="1080"/>
    </row>
    <row r="3" spans="1:7" ht="16.5" thickBot="1" x14ac:dyDescent="0.3">
      <c r="A3" s="521"/>
      <c r="F3" s="1080"/>
    </row>
    <row r="4" spans="1:7" ht="79.5" thickBot="1" x14ac:dyDescent="0.25">
      <c r="A4" s="522" t="s">
        <v>424</v>
      </c>
      <c r="B4" s="523" t="s">
        <v>425</v>
      </c>
      <c r="C4" s="523" t="s">
        <v>426</v>
      </c>
      <c r="D4" s="523" t="s">
        <v>427</v>
      </c>
      <c r="E4" s="524" t="s">
        <v>428</v>
      </c>
      <c r="F4" s="1080"/>
      <c r="G4" s="520" t="s">
        <v>854</v>
      </c>
    </row>
    <row r="5" spans="1:7" ht="15.75" x14ac:dyDescent="0.2">
      <c r="A5" s="525" t="s">
        <v>235</v>
      </c>
      <c r="B5" s="576" t="s">
        <v>565</v>
      </c>
      <c r="C5" s="577">
        <v>100</v>
      </c>
      <c r="D5" s="578">
        <v>3000000</v>
      </c>
      <c r="E5" s="579">
        <v>31004442</v>
      </c>
      <c r="F5" s="1080"/>
    </row>
    <row r="6" spans="1:7" ht="15.75" x14ac:dyDescent="0.2">
      <c r="A6" s="526" t="s">
        <v>243</v>
      </c>
      <c r="B6" s="580" t="s">
        <v>20</v>
      </c>
      <c r="C6" s="581">
        <v>100</v>
      </c>
      <c r="D6" s="582">
        <v>67000000</v>
      </c>
      <c r="E6" s="583">
        <v>75433000</v>
      </c>
      <c r="F6" s="1080"/>
    </row>
    <row r="7" spans="1:7" ht="15.75" x14ac:dyDescent="0.2">
      <c r="A7" s="526" t="s">
        <v>244</v>
      </c>
      <c r="B7" s="580" t="s">
        <v>21</v>
      </c>
      <c r="C7" s="581">
        <v>11</v>
      </c>
      <c r="D7" s="582">
        <v>330000</v>
      </c>
      <c r="E7" s="583">
        <v>5961507</v>
      </c>
      <c r="F7" s="1080"/>
    </row>
    <row r="8" spans="1:7" ht="31.5" x14ac:dyDescent="0.2">
      <c r="A8" s="526" t="s">
        <v>245</v>
      </c>
      <c r="B8" s="580" t="s">
        <v>22</v>
      </c>
      <c r="C8" s="581">
        <v>13</v>
      </c>
      <c r="D8" s="582">
        <v>360000</v>
      </c>
      <c r="E8" s="583">
        <v>335670</v>
      </c>
      <c r="F8" s="1080"/>
    </row>
    <row r="9" spans="1:7" ht="31.5" x14ac:dyDescent="0.2">
      <c r="A9" s="526" t="s">
        <v>246</v>
      </c>
      <c r="B9" s="576" t="s">
        <v>566</v>
      </c>
      <c r="C9" s="577">
        <v>100</v>
      </c>
      <c r="D9" s="578">
        <v>3000000</v>
      </c>
      <c r="E9" s="795">
        <v>10565000</v>
      </c>
      <c r="F9" s="1080"/>
    </row>
    <row r="10" spans="1:7" ht="15.75" x14ac:dyDescent="0.2">
      <c r="A10" s="526" t="s">
        <v>249</v>
      </c>
      <c r="B10" s="580" t="s">
        <v>567</v>
      </c>
      <c r="C10" s="584"/>
      <c r="D10" s="582">
        <v>2000000</v>
      </c>
      <c r="E10" s="583">
        <v>828947000</v>
      </c>
      <c r="F10" s="1080"/>
    </row>
    <row r="11" spans="1:7" ht="16.5" thickBot="1" x14ac:dyDescent="0.25">
      <c r="A11" s="526" t="s">
        <v>250</v>
      </c>
      <c r="B11" s="580" t="s">
        <v>568</v>
      </c>
      <c r="C11" s="584"/>
      <c r="D11" s="582">
        <v>29000</v>
      </c>
      <c r="E11" s="585"/>
      <c r="F11" s="1080"/>
    </row>
    <row r="12" spans="1:7" ht="16.5" thickBot="1" x14ac:dyDescent="0.3">
      <c r="A12" s="1078" t="s">
        <v>429</v>
      </c>
      <c r="B12" s="1079"/>
      <c r="C12" s="527"/>
      <c r="D12" s="696">
        <f>IF(SUM(D5:D11)=0,"",SUM(D5:D11))</f>
        <v>75719000</v>
      </c>
      <c r="E12" s="528">
        <f>IF(SUM(E5:E11)=0,"",SUM(E5:E11))</f>
        <v>952246619</v>
      </c>
      <c r="F12" s="1080"/>
    </row>
    <row r="13" spans="1:7" ht="15.75" x14ac:dyDescent="0.25">
      <c r="A13" s="521"/>
    </row>
    <row r="14" spans="1:7" x14ac:dyDescent="0.2">
      <c r="A14" s="588"/>
    </row>
    <row r="15" spans="1:7" x14ac:dyDescent="0.2">
      <c r="B15" s="588"/>
    </row>
    <row r="16" spans="1:7" ht="20.25" x14ac:dyDescent="0.3">
      <c r="C16" s="596"/>
    </row>
  </sheetData>
  <mergeCells count="3">
    <mergeCell ref="A2:E2"/>
    <mergeCell ref="A12:B12"/>
    <mergeCell ref="F1:F12"/>
  </mergeCells>
  <phoneticPr fontId="55" type="noConversion"/>
  <pageMargins left="0.7" right="0.7" top="0.75" bottom="0.75" header="0.3" footer="0.3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16"/>
  <sheetViews>
    <sheetView zoomScaleNormal="100" workbookViewId="0">
      <selection activeCell="C1" sqref="C1"/>
    </sheetView>
  </sheetViews>
  <sheetFormatPr defaultColWidth="8" defaultRowHeight="12.75" x14ac:dyDescent="0.2"/>
  <cols>
    <col min="1" max="1" width="6.5703125" style="179" customWidth="1"/>
    <col min="2" max="2" width="52.140625" style="179" customWidth="1"/>
    <col min="3" max="3" width="22" style="179" customWidth="1"/>
    <col min="4" max="4" width="12.28515625" style="179" hidden="1" customWidth="1"/>
    <col min="5" max="6" width="11.7109375" style="179" hidden="1" customWidth="1"/>
    <col min="7" max="16384" width="8" style="179"/>
  </cols>
  <sheetData>
    <row r="1" spans="1:6" ht="15" x14ac:dyDescent="0.25">
      <c r="C1" s="529" t="s">
        <v>946</v>
      </c>
    </row>
    <row r="2" spans="1:6" ht="14.25" x14ac:dyDescent="0.2">
      <c r="A2" s="530"/>
      <c r="B2" s="530"/>
      <c r="C2" s="530"/>
    </row>
    <row r="3" spans="1:6" ht="33.75" customHeight="1" x14ac:dyDescent="0.2">
      <c r="A3" s="1081" t="s">
        <v>108</v>
      </c>
      <c r="B3" s="1081"/>
      <c r="C3" s="1081"/>
    </row>
    <row r="4" spans="1:6" ht="13.5" thickBot="1" x14ac:dyDescent="0.25">
      <c r="B4" s="590"/>
      <c r="C4" s="531"/>
    </row>
    <row r="5" spans="1:6" s="535" customFormat="1" ht="43.5" customHeight="1" thickBot="1" x14ac:dyDescent="0.25">
      <c r="A5" s="532" t="s">
        <v>320</v>
      </c>
      <c r="B5" s="533" t="s">
        <v>227</v>
      </c>
      <c r="C5" s="534" t="s">
        <v>371</v>
      </c>
      <c r="D5" s="534" t="s">
        <v>238</v>
      </c>
      <c r="E5" s="534" t="s">
        <v>239</v>
      </c>
      <c r="F5" s="534" t="s">
        <v>240</v>
      </c>
    </row>
    <row r="6" spans="1:6" ht="28.5" customHeight="1" x14ac:dyDescent="0.2">
      <c r="A6" s="536" t="s">
        <v>235</v>
      </c>
      <c r="B6" s="664" t="s">
        <v>859</v>
      </c>
      <c r="C6" s="537">
        <f>SUM(C7:C8)</f>
        <v>293999012</v>
      </c>
      <c r="D6" s="537">
        <f>SUM(D7:D8)</f>
        <v>283987892</v>
      </c>
      <c r="E6" s="537">
        <f>SUM(E7:E8)</f>
        <v>88500</v>
      </c>
      <c r="F6" s="537">
        <f>SUM(F7:F8)</f>
        <v>9922620</v>
      </c>
    </row>
    <row r="7" spans="1:6" ht="18" customHeight="1" x14ac:dyDescent="0.2">
      <c r="A7" s="538" t="s">
        <v>243</v>
      </c>
      <c r="B7" s="539" t="s">
        <v>111</v>
      </c>
      <c r="C7" s="540">
        <f>D7+E7+F7</f>
        <v>293511562</v>
      </c>
      <c r="D7" s="540">
        <v>283943267</v>
      </c>
      <c r="E7" s="540">
        <v>50860</v>
      </c>
      <c r="F7" s="540">
        <v>9517435</v>
      </c>
    </row>
    <row r="8" spans="1:6" ht="18" customHeight="1" x14ac:dyDescent="0.2">
      <c r="A8" s="538" t="s">
        <v>244</v>
      </c>
      <c r="B8" s="539" t="s">
        <v>112</v>
      </c>
      <c r="C8" s="540">
        <f>D8+E8+F8</f>
        <v>487450</v>
      </c>
      <c r="D8" s="540">
        <v>44625</v>
      </c>
      <c r="E8" s="540">
        <v>37640</v>
      </c>
      <c r="F8" s="540">
        <v>405185</v>
      </c>
    </row>
    <row r="9" spans="1:6" ht="18" customHeight="1" x14ac:dyDescent="0.2">
      <c r="A9" s="538" t="s">
        <v>245</v>
      </c>
      <c r="B9" s="541" t="s">
        <v>109</v>
      </c>
      <c r="C9" s="540">
        <f>D9+E9+F9</f>
        <v>4138228292</v>
      </c>
      <c r="D9" s="540">
        <f>2774562853-289331423</f>
        <v>2485231430</v>
      </c>
      <c r="E9" s="540">
        <f>206606928-447404</f>
        <v>206159524</v>
      </c>
      <c r="F9" s="540">
        <v>1446837338</v>
      </c>
    </row>
    <row r="10" spans="1:6" ht="18" customHeight="1" thickBot="1" x14ac:dyDescent="0.25">
      <c r="A10" s="538" t="s">
        <v>246</v>
      </c>
      <c r="B10" s="541" t="s">
        <v>110</v>
      </c>
      <c r="C10" s="540">
        <f>D10+E10+F10</f>
        <v>3830597583</v>
      </c>
      <c r="D10" s="540">
        <f>2180059095+20040523</f>
        <v>2200099618</v>
      </c>
      <c r="E10" s="540">
        <f>203394754-295583</f>
        <v>203099171</v>
      </c>
      <c r="F10" s="540">
        <v>1427398794</v>
      </c>
    </row>
    <row r="11" spans="1:6" ht="25.5" customHeight="1" x14ac:dyDescent="0.2">
      <c r="A11" s="698" t="s">
        <v>250</v>
      </c>
      <c r="B11" s="665" t="s">
        <v>860</v>
      </c>
      <c r="C11" s="542">
        <f>C6+C9-C10</f>
        <v>601629721</v>
      </c>
      <c r="D11" s="542">
        <f>D6+D9-D10</f>
        <v>569119704</v>
      </c>
      <c r="E11" s="542">
        <f>E6+E9-E10</f>
        <v>3148853</v>
      </c>
      <c r="F11" s="542">
        <f>F6+F9-F10</f>
        <v>29361164</v>
      </c>
    </row>
    <row r="12" spans="1:6" ht="18" customHeight="1" x14ac:dyDescent="0.2">
      <c r="A12" s="699" t="s">
        <v>251</v>
      </c>
      <c r="B12" s="539" t="s">
        <v>111</v>
      </c>
      <c r="C12" s="540">
        <f>D12+E12+F12</f>
        <v>601141726</v>
      </c>
      <c r="D12" s="540">
        <v>568950474</v>
      </c>
      <c r="E12" s="540">
        <v>3098648</v>
      </c>
      <c r="F12" s="540">
        <v>29092604</v>
      </c>
    </row>
    <row r="13" spans="1:6" ht="18" customHeight="1" thickBot="1" x14ac:dyDescent="0.25">
      <c r="A13" s="700" t="s">
        <v>252</v>
      </c>
      <c r="B13" s="543" t="s">
        <v>112</v>
      </c>
      <c r="C13" s="544">
        <f>D13+E13+F13</f>
        <v>487995</v>
      </c>
      <c r="D13" s="544">
        <v>169230</v>
      </c>
      <c r="E13" s="544">
        <v>50205</v>
      </c>
      <c r="F13" s="544">
        <v>268560</v>
      </c>
    </row>
    <row r="14" spans="1:6" x14ac:dyDescent="0.2">
      <c r="E14" s="697"/>
    </row>
    <row r="15" spans="1:6" x14ac:dyDescent="0.2">
      <c r="D15" s="697">
        <f>D12+D13</f>
        <v>569119704</v>
      </c>
      <c r="E15" s="697">
        <f>E12+E13</f>
        <v>3148853</v>
      </c>
    </row>
    <row r="16" spans="1:6" x14ac:dyDescent="0.2">
      <c r="D16" s="697">
        <f>D11-D15</f>
        <v>0</v>
      </c>
      <c r="E16" s="697">
        <f>E11-E15</f>
        <v>0</v>
      </c>
    </row>
  </sheetData>
  <mergeCells count="1">
    <mergeCell ref="A3:C3"/>
  </mergeCells>
  <phoneticPr fontId="22" type="noConversion"/>
  <conditionalFormatting sqref="C11:E11">
    <cfRule type="cellIs" dxfId="1" priority="4" stopIfTrue="1" operator="notEqual">
      <formula>SUM(C12:C13)</formula>
    </cfRule>
  </conditionalFormatting>
  <conditionalFormatting sqref="F11">
    <cfRule type="cellIs" dxfId="0" priority="3" stopIfTrue="1" operator="notEqual">
      <formula>SUM(F12:F13)</formula>
    </cfRule>
  </conditionalFormatting>
  <printOptions horizontalCentered="1"/>
  <pageMargins left="0.78740157480314965" right="0.78740157480314965" top="0.98425196850393704" bottom="0.98425196850393704" header="0.78740157480314965" footer="0.78740157480314965"/>
  <pageSetup paperSize="9" scale="95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theme="3"/>
  </sheetPr>
  <dimension ref="A1:D13"/>
  <sheetViews>
    <sheetView view="pageLayout" zoomScaleNormal="120" workbookViewId="0">
      <selection activeCell="F10" sqref="F10"/>
    </sheetView>
  </sheetViews>
  <sheetFormatPr defaultColWidth="8" defaultRowHeight="15" x14ac:dyDescent="0.25"/>
  <cols>
    <col min="1" max="1" width="4.85546875" style="545" customWidth="1"/>
    <col min="2" max="2" width="58.85546875" style="545" customWidth="1"/>
    <col min="3" max="3" width="16.7109375" style="545" customWidth="1"/>
    <col min="4" max="16384" width="8" style="545"/>
  </cols>
  <sheetData>
    <row r="1" spans="1:4" ht="42.75" customHeight="1" x14ac:dyDescent="0.25">
      <c r="A1" s="1082" t="s">
        <v>847</v>
      </c>
      <c r="B1" s="1082"/>
      <c r="C1" s="1082"/>
    </row>
    <row r="2" spans="1:4" ht="15.95" customHeight="1" thickBot="1" x14ac:dyDescent="0.3">
      <c r="A2" s="546"/>
      <c r="B2" s="546"/>
      <c r="C2" s="547" t="s">
        <v>501</v>
      </c>
      <c r="D2" s="548"/>
    </row>
    <row r="3" spans="1:4" ht="26.25" customHeight="1" thickBot="1" x14ac:dyDescent="0.3">
      <c r="A3" s="549" t="s">
        <v>320</v>
      </c>
      <c r="B3" s="550" t="s">
        <v>113</v>
      </c>
      <c r="C3" s="551" t="s">
        <v>780</v>
      </c>
    </row>
    <row r="4" spans="1:4" ht="15.75" thickBot="1" x14ac:dyDescent="0.3">
      <c r="A4" s="552">
        <v>1</v>
      </c>
      <c r="B4" s="553">
        <v>2</v>
      </c>
      <c r="C4" s="554">
        <v>3</v>
      </c>
    </row>
    <row r="5" spans="1:4" x14ac:dyDescent="0.25">
      <c r="A5" s="555" t="s">
        <v>235</v>
      </c>
      <c r="B5" s="556" t="s">
        <v>324</v>
      </c>
      <c r="C5" s="557">
        <f>324804247+119318+12050</f>
        <v>324935615</v>
      </c>
    </row>
    <row r="6" spans="1:4" ht="24.75" x14ac:dyDescent="0.25">
      <c r="A6" s="558" t="s">
        <v>243</v>
      </c>
      <c r="B6" s="559" t="s">
        <v>856</v>
      </c>
      <c r="C6" s="560">
        <v>875976</v>
      </c>
    </row>
    <row r="7" spans="1:4" ht="25.5" thickBot="1" x14ac:dyDescent="0.3">
      <c r="A7" s="558" t="s">
        <v>244</v>
      </c>
      <c r="B7" s="559" t="s">
        <v>857</v>
      </c>
      <c r="C7" s="810">
        <v>62776490</v>
      </c>
    </row>
    <row r="8" spans="1:4" x14ac:dyDescent="0.25">
      <c r="A8" s="555" t="s">
        <v>245</v>
      </c>
      <c r="B8" s="561" t="s">
        <v>114</v>
      </c>
      <c r="C8" s="560"/>
    </row>
    <row r="9" spans="1:4" ht="24.75" x14ac:dyDescent="0.25">
      <c r="A9" s="558" t="s">
        <v>246</v>
      </c>
      <c r="B9" s="561" t="s">
        <v>115</v>
      </c>
      <c r="C9" s="560">
        <v>31376724</v>
      </c>
    </row>
    <row r="10" spans="1:4" x14ac:dyDescent="0.25">
      <c r="A10" s="558" t="s">
        <v>249</v>
      </c>
      <c r="B10" s="561" t="s">
        <v>116</v>
      </c>
      <c r="C10" s="562">
        <f>1415275+1779417</f>
        <v>3194692</v>
      </c>
    </row>
    <row r="11" spans="1:4" ht="15.75" thickBot="1" x14ac:dyDescent="0.3">
      <c r="A11" s="558" t="s">
        <v>250</v>
      </c>
      <c r="B11" s="563" t="s">
        <v>117</v>
      </c>
      <c r="C11" s="560"/>
    </row>
    <row r="12" spans="1:4" ht="15.75" thickBot="1" x14ac:dyDescent="0.3">
      <c r="A12" s="1083" t="s">
        <v>125</v>
      </c>
      <c r="B12" s="1084"/>
      <c r="C12" s="564">
        <f>SUM(C5:C11)</f>
        <v>423159497</v>
      </c>
    </row>
    <row r="13" spans="1:4" ht="23.25" customHeight="1" x14ac:dyDescent="0.25">
      <c r="A13" s="1085" t="s">
        <v>126</v>
      </c>
      <c r="B13" s="1085"/>
      <c r="C13" s="1085"/>
    </row>
  </sheetData>
  <mergeCells count="3">
    <mergeCell ref="A1:C1"/>
    <mergeCell ref="A12:B12"/>
    <mergeCell ref="A13:C13"/>
  </mergeCells>
  <phoneticPr fontId="2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&amp;R&amp;"Times New Roman CE,Félkövér dőlt"&amp;11 8. számú tájékoztató tábla a 12/2018. (V.31.)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theme="3"/>
  </sheetPr>
  <dimension ref="A1:I158"/>
  <sheetViews>
    <sheetView view="pageLayout" topLeftCell="A88" zoomScaleNormal="120" zoomScaleSheetLayoutView="100" workbookViewId="0">
      <selection activeCell="E138" sqref="E138"/>
    </sheetView>
  </sheetViews>
  <sheetFormatPr defaultColWidth="8" defaultRowHeight="15.75" x14ac:dyDescent="0.25"/>
  <cols>
    <col min="1" max="1" width="7.7109375" style="94" customWidth="1"/>
    <col min="2" max="2" width="55.5703125" style="94" customWidth="1"/>
    <col min="3" max="3" width="14.85546875" style="94" customWidth="1"/>
    <col min="4" max="5" width="14.85546875" style="92" customWidth="1"/>
    <col min="6" max="16384" width="8" style="25"/>
  </cols>
  <sheetData>
    <row r="1" spans="1:5" ht="15.95" customHeight="1" x14ac:dyDescent="0.25">
      <c r="A1" s="934" t="s">
        <v>318</v>
      </c>
      <c r="B1" s="934"/>
      <c r="C1" s="934"/>
      <c r="D1" s="934"/>
      <c r="E1" s="934"/>
    </row>
    <row r="2" spans="1:5" ht="15.95" customHeight="1" thickBot="1" x14ac:dyDescent="0.3">
      <c r="A2" s="26" t="s">
        <v>319</v>
      </c>
      <c r="B2" s="26"/>
      <c r="C2" s="26"/>
      <c r="D2" s="597"/>
      <c r="E2" s="597" t="s">
        <v>499</v>
      </c>
    </row>
    <row r="3" spans="1:5" ht="15.95" customHeight="1" x14ac:dyDescent="0.25">
      <c r="A3" s="935" t="s">
        <v>405</v>
      </c>
      <c r="B3" s="937" t="s">
        <v>321</v>
      </c>
      <c r="C3" s="1086" t="s">
        <v>848</v>
      </c>
      <c r="D3" s="939" t="s">
        <v>772</v>
      </c>
      <c r="E3" s="940"/>
    </row>
    <row r="4" spans="1:5" ht="38.1" customHeight="1" thickBot="1" x14ac:dyDescent="0.3">
      <c r="A4" s="936"/>
      <c r="B4" s="938"/>
      <c r="C4" s="1087"/>
      <c r="D4" s="28" t="s">
        <v>456</v>
      </c>
      <c r="E4" s="29" t="s">
        <v>228</v>
      </c>
    </row>
    <row r="5" spans="1:5" s="31" customFormat="1" ht="12" customHeight="1" thickBot="1" x14ac:dyDescent="0.25">
      <c r="A5" s="1" t="s">
        <v>457</v>
      </c>
      <c r="B5" s="2" t="s">
        <v>458</v>
      </c>
      <c r="C5" s="2" t="s">
        <v>459</v>
      </c>
      <c r="D5" s="2" t="s">
        <v>461</v>
      </c>
      <c r="E5" s="70" t="s">
        <v>649</v>
      </c>
    </row>
    <row r="6" spans="1:5" s="34" customFormat="1" ht="12" customHeight="1" thickBot="1" x14ac:dyDescent="0.25">
      <c r="A6" s="4" t="s">
        <v>235</v>
      </c>
      <c r="B6" s="598" t="s">
        <v>462</v>
      </c>
      <c r="C6" s="32">
        <f>+C7+C8+C9+C10+C11+C12</f>
        <v>1024115149</v>
      </c>
      <c r="D6" s="32">
        <f>+D7+D8+D9+D10+D11+D12</f>
        <v>1136384587</v>
      </c>
      <c r="E6" s="93">
        <f>SUM(E7:E12)</f>
        <v>1136384587</v>
      </c>
    </row>
    <row r="7" spans="1:5" s="34" customFormat="1" ht="12" customHeight="1" x14ac:dyDescent="0.2">
      <c r="A7" s="10" t="s">
        <v>340</v>
      </c>
      <c r="B7" s="599" t="s">
        <v>464</v>
      </c>
      <c r="C7" s="36">
        <v>231987612</v>
      </c>
      <c r="D7" s="36">
        <v>228418282</v>
      </c>
      <c r="E7" s="37">
        <v>228418282</v>
      </c>
    </row>
    <row r="8" spans="1:5" s="34" customFormat="1" ht="12" customHeight="1" x14ac:dyDescent="0.2">
      <c r="A8" s="8" t="s">
        <v>342</v>
      </c>
      <c r="B8" s="600" t="s">
        <v>465</v>
      </c>
      <c r="C8" s="39">
        <v>218221810</v>
      </c>
      <c r="D8" s="39">
        <v>224090111</v>
      </c>
      <c r="E8" s="40">
        <v>224090111</v>
      </c>
    </row>
    <row r="9" spans="1:5" s="34" customFormat="1" ht="12" customHeight="1" x14ac:dyDescent="0.2">
      <c r="A9" s="8" t="s">
        <v>343</v>
      </c>
      <c r="B9" s="600" t="s">
        <v>466</v>
      </c>
      <c r="C9" s="39">
        <v>534266192</v>
      </c>
      <c r="D9" s="39">
        <v>600182523</v>
      </c>
      <c r="E9" s="40">
        <v>600182523</v>
      </c>
    </row>
    <row r="10" spans="1:5" s="34" customFormat="1" ht="12" customHeight="1" x14ac:dyDescent="0.2">
      <c r="A10" s="8" t="s">
        <v>345</v>
      </c>
      <c r="B10" s="600" t="s">
        <v>467</v>
      </c>
      <c r="C10" s="39">
        <v>26942276</v>
      </c>
      <c r="D10" s="39">
        <v>31318596</v>
      </c>
      <c r="E10" s="40">
        <v>31318596</v>
      </c>
    </row>
    <row r="11" spans="1:5" s="34" customFormat="1" ht="12" customHeight="1" x14ac:dyDescent="0.2">
      <c r="A11" s="8" t="s">
        <v>468</v>
      </c>
      <c r="B11" s="600" t="s">
        <v>504</v>
      </c>
      <c r="C11" s="601">
        <v>1738907</v>
      </c>
      <c r="D11" s="39"/>
      <c r="E11" s="40"/>
    </row>
    <row r="12" spans="1:5" s="34" customFormat="1" ht="12" customHeight="1" thickBot="1" x14ac:dyDescent="0.25">
      <c r="A12" s="12" t="s">
        <v>347</v>
      </c>
      <c r="B12" s="602" t="s">
        <v>470</v>
      </c>
      <c r="C12" s="603">
        <v>10958352</v>
      </c>
      <c r="D12" s="42">
        <v>52375075</v>
      </c>
      <c r="E12" s="43">
        <v>52375075</v>
      </c>
    </row>
    <row r="13" spans="1:5" s="34" customFormat="1" ht="12" customHeight="1" thickBot="1" x14ac:dyDescent="0.25">
      <c r="A13" s="4" t="s">
        <v>243</v>
      </c>
      <c r="B13" s="604" t="s">
        <v>471</v>
      </c>
      <c r="C13" s="32">
        <f>+C14+C15+C16+C17+C18</f>
        <v>710827871</v>
      </c>
      <c r="D13" s="32">
        <f>+D14+D15+D16+D17+D18</f>
        <v>336112913</v>
      </c>
      <c r="E13" s="33">
        <f>SUM(E14:E18)</f>
        <v>329344570</v>
      </c>
    </row>
    <row r="14" spans="1:5" s="34" customFormat="1" ht="12" customHeight="1" x14ac:dyDescent="0.2">
      <c r="A14" s="10" t="s">
        <v>354</v>
      </c>
      <c r="B14" s="599" t="s">
        <v>472</v>
      </c>
      <c r="C14" s="36"/>
      <c r="D14" s="36"/>
      <c r="E14" s="37"/>
    </row>
    <row r="15" spans="1:5" s="34" customFormat="1" ht="12" customHeight="1" x14ac:dyDescent="0.2">
      <c r="A15" s="8" t="s">
        <v>355</v>
      </c>
      <c r="B15" s="600" t="s">
        <v>473</v>
      </c>
      <c r="C15" s="39"/>
      <c r="D15" s="39"/>
      <c r="E15" s="40"/>
    </row>
    <row r="16" spans="1:5" s="34" customFormat="1" ht="12" customHeight="1" x14ac:dyDescent="0.2">
      <c r="A16" s="8" t="s">
        <v>356</v>
      </c>
      <c r="B16" s="600" t="s">
        <v>474</v>
      </c>
      <c r="C16" s="39"/>
      <c r="D16" s="39"/>
      <c r="E16" s="40"/>
    </row>
    <row r="17" spans="1:5" s="34" customFormat="1" ht="12" customHeight="1" x14ac:dyDescent="0.2">
      <c r="A17" s="8" t="s">
        <v>357</v>
      </c>
      <c r="B17" s="600" t="s">
        <v>475</v>
      </c>
      <c r="C17" s="39"/>
      <c r="D17" s="39"/>
      <c r="E17" s="40"/>
    </row>
    <row r="18" spans="1:5" s="34" customFormat="1" ht="12" customHeight="1" x14ac:dyDescent="0.2">
      <c r="A18" s="8" t="s">
        <v>358</v>
      </c>
      <c r="B18" s="600" t="s">
        <v>476</v>
      </c>
      <c r="C18" s="39">
        <v>710827871</v>
      </c>
      <c r="D18" s="39">
        <v>336112913</v>
      </c>
      <c r="E18" s="40">
        <v>329344570</v>
      </c>
    </row>
    <row r="19" spans="1:5" s="34" customFormat="1" ht="12" customHeight="1" thickBot="1" x14ac:dyDescent="0.25">
      <c r="A19" s="12" t="s">
        <v>359</v>
      </c>
      <c r="B19" s="602" t="s">
        <v>477</v>
      </c>
      <c r="C19" s="42"/>
      <c r="D19" s="42">
        <v>16877134</v>
      </c>
      <c r="E19" s="43">
        <v>23612212</v>
      </c>
    </row>
    <row r="20" spans="1:5" s="34" customFormat="1" ht="12" customHeight="1" thickBot="1" x14ac:dyDescent="0.25">
      <c r="A20" s="4" t="s">
        <v>244</v>
      </c>
      <c r="B20" s="598" t="s">
        <v>478</v>
      </c>
      <c r="C20" s="32">
        <f>+C21+C22+C23+C24+C25</f>
        <v>92052777</v>
      </c>
      <c r="D20" s="32">
        <f>+D21+D22+D23+D24+D25</f>
        <v>531996708</v>
      </c>
      <c r="E20" s="33">
        <f>SUM(E21:E25)</f>
        <v>519310318</v>
      </c>
    </row>
    <row r="21" spans="1:5" s="34" customFormat="1" ht="12" customHeight="1" x14ac:dyDescent="0.2">
      <c r="A21" s="10" t="s">
        <v>322</v>
      </c>
      <c r="B21" s="599" t="s">
        <v>479</v>
      </c>
      <c r="C21" s="36">
        <v>20850665</v>
      </c>
      <c r="D21" s="36">
        <v>15690532</v>
      </c>
      <c r="E21" s="37">
        <v>15690532</v>
      </c>
    </row>
    <row r="22" spans="1:5" s="34" customFormat="1" ht="12" customHeight="1" x14ac:dyDescent="0.2">
      <c r="A22" s="8" t="s">
        <v>323</v>
      </c>
      <c r="B22" s="600" t="s">
        <v>480</v>
      </c>
      <c r="C22" s="39"/>
      <c r="D22" s="39"/>
      <c r="E22" s="40"/>
    </row>
    <row r="23" spans="1:5" s="34" customFormat="1" ht="12" customHeight="1" x14ac:dyDescent="0.2">
      <c r="A23" s="8" t="s">
        <v>325</v>
      </c>
      <c r="B23" s="600" t="s">
        <v>481</v>
      </c>
      <c r="C23" s="39"/>
      <c r="D23" s="39"/>
      <c r="E23" s="40"/>
    </row>
    <row r="24" spans="1:5" s="34" customFormat="1" ht="12" customHeight="1" x14ac:dyDescent="0.2">
      <c r="A24" s="8" t="s">
        <v>326</v>
      </c>
      <c r="B24" s="600" t="s">
        <v>482</v>
      </c>
      <c r="C24" s="39"/>
      <c r="D24" s="39"/>
      <c r="E24" s="40"/>
    </row>
    <row r="25" spans="1:5" s="34" customFormat="1" ht="12" customHeight="1" x14ac:dyDescent="0.2">
      <c r="A25" s="8" t="s">
        <v>436</v>
      </c>
      <c r="B25" s="600" t="s">
        <v>483</v>
      </c>
      <c r="C25" s="39">
        <v>71202112</v>
      </c>
      <c r="D25" s="39">
        <v>516306176</v>
      </c>
      <c r="E25" s="40">
        <v>503619786</v>
      </c>
    </row>
    <row r="26" spans="1:5" s="34" customFormat="1" ht="12" customHeight="1" thickBot="1" x14ac:dyDescent="0.25">
      <c r="A26" s="12" t="s">
        <v>437</v>
      </c>
      <c r="B26" s="602" t="s">
        <v>484</v>
      </c>
      <c r="C26" s="42">
        <v>71202112</v>
      </c>
      <c r="D26" s="42">
        <v>511621609</v>
      </c>
      <c r="E26" s="43">
        <v>500338786</v>
      </c>
    </row>
    <row r="27" spans="1:5" s="34" customFormat="1" ht="12" customHeight="1" thickBot="1" x14ac:dyDescent="0.25">
      <c r="A27" s="264" t="s">
        <v>438</v>
      </c>
      <c r="B27" s="813" t="s">
        <v>191</v>
      </c>
      <c r="C27" s="811">
        <f>C28+C33+C34+C31+C32</f>
        <v>356945262</v>
      </c>
      <c r="D27" s="811">
        <f t="shared" ref="D27:E27" si="0">D28+D33+D34+D31+D32</f>
        <v>366490000</v>
      </c>
      <c r="E27" s="811">
        <f t="shared" si="0"/>
        <v>359172384</v>
      </c>
    </row>
    <row r="28" spans="1:5" s="34" customFormat="1" ht="12" customHeight="1" x14ac:dyDescent="0.2">
      <c r="A28" s="13" t="s">
        <v>327</v>
      </c>
      <c r="B28" s="814" t="s">
        <v>187</v>
      </c>
      <c r="C28" s="815">
        <f>SUM(C29:C30)</f>
        <v>320180889</v>
      </c>
      <c r="D28" s="815">
        <f>SUM(D29:D30)</f>
        <v>327830000</v>
      </c>
      <c r="E28" s="816">
        <f>SUM(E29:E30)</f>
        <v>324804247</v>
      </c>
    </row>
    <row r="29" spans="1:5" s="34" customFormat="1" ht="12" customHeight="1" x14ac:dyDescent="0.2">
      <c r="A29" s="8" t="s">
        <v>486</v>
      </c>
      <c r="B29" s="38" t="s">
        <v>487</v>
      </c>
      <c r="C29" s="812">
        <v>78837793</v>
      </c>
      <c r="D29" s="39">
        <v>78990000</v>
      </c>
      <c r="E29" s="40">
        <v>71369224</v>
      </c>
    </row>
    <row r="30" spans="1:5" s="34" customFormat="1" ht="12" customHeight="1" x14ac:dyDescent="0.2">
      <c r="A30" s="8" t="s">
        <v>488</v>
      </c>
      <c r="B30" s="38" t="s">
        <v>189</v>
      </c>
      <c r="C30" s="812">
        <v>241343096</v>
      </c>
      <c r="D30" s="39">
        <v>248840000</v>
      </c>
      <c r="E30" s="40">
        <v>253435023</v>
      </c>
    </row>
    <row r="31" spans="1:5" s="34" customFormat="1" ht="12" customHeight="1" x14ac:dyDescent="0.2">
      <c r="A31" s="8" t="s">
        <v>773</v>
      </c>
      <c r="B31" s="38" t="s">
        <v>190</v>
      </c>
      <c r="C31" s="812">
        <v>185543</v>
      </c>
      <c r="D31" s="39"/>
      <c r="E31" s="40">
        <v>119318</v>
      </c>
    </row>
    <row r="32" spans="1:5" s="34" customFormat="1" ht="12" customHeight="1" x14ac:dyDescent="0.2">
      <c r="A32" s="8" t="s">
        <v>774</v>
      </c>
      <c r="B32" s="38" t="s">
        <v>491</v>
      </c>
      <c r="C32" s="812">
        <v>27707080</v>
      </c>
      <c r="D32" s="39">
        <v>27000000</v>
      </c>
      <c r="E32" s="40">
        <v>26806717</v>
      </c>
    </row>
    <row r="33" spans="1:5" s="34" customFormat="1" ht="12" customHeight="1" x14ac:dyDescent="0.2">
      <c r="A33" s="8" t="s">
        <v>775</v>
      </c>
      <c r="B33" s="38" t="s">
        <v>493</v>
      </c>
      <c r="C33" s="812">
        <v>3865671</v>
      </c>
      <c r="D33" s="39">
        <v>60000</v>
      </c>
      <c r="E33" s="40">
        <v>12050</v>
      </c>
    </row>
    <row r="34" spans="1:5" s="34" customFormat="1" ht="12" customHeight="1" thickBot="1" x14ac:dyDescent="0.25">
      <c r="A34" s="15" t="s">
        <v>776</v>
      </c>
      <c r="B34" s="817" t="s">
        <v>494</v>
      </c>
      <c r="C34" s="818">
        <v>5006079</v>
      </c>
      <c r="D34" s="77">
        <v>11600000</v>
      </c>
      <c r="E34" s="273">
        <v>7430052</v>
      </c>
    </row>
    <row r="35" spans="1:5" s="34" customFormat="1" ht="12" customHeight="1" thickBot="1" x14ac:dyDescent="0.25">
      <c r="A35" s="4" t="s">
        <v>246</v>
      </c>
      <c r="B35" s="598" t="s">
        <v>495</v>
      </c>
      <c r="C35" s="32">
        <f>SUM(C36:C46)</f>
        <v>438590106</v>
      </c>
      <c r="D35" s="32">
        <f>SUM(D36:D46)</f>
        <v>447749145</v>
      </c>
      <c r="E35" s="33">
        <f>SUM(E36:E46)</f>
        <v>420500148</v>
      </c>
    </row>
    <row r="36" spans="1:5" s="34" customFormat="1" ht="12" customHeight="1" x14ac:dyDescent="0.2">
      <c r="A36" s="10" t="s">
        <v>329</v>
      </c>
      <c r="B36" s="599" t="s">
        <v>496</v>
      </c>
      <c r="C36" s="36">
        <v>13801743</v>
      </c>
      <c r="D36" s="36">
        <v>19744849</v>
      </c>
      <c r="E36" s="37">
        <v>14756313</v>
      </c>
    </row>
    <row r="37" spans="1:5" s="34" customFormat="1" ht="12" customHeight="1" x14ac:dyDescent="0.2">
      <c r="A37" s="8" t="s">
        <v>330</v>
      </c>
      <c r="B37" s="600" t="s">
        <v>509</v>
      </c>
      <c r="C37" s="39">
        <v>92246962</v>
      </c>
      <c r="D37" s="39">
        <v>96485845</v>
      </c>
      <c r="E37" s="40">
        <v>97064914</v>
      </c>
    </row>
    <row r="38" spans="1:5" s="34" customFormat="1" ht="12" customHeight="1" x14ac:dyDescent="0.2">
      <c r="A38" s="8" t="s">
        <v>331</v>
      </c>
      <c r="B38" s="600" t="s">
        <v>510</v>
      </c>
      <c r="C38" s="39">
        <v>87133464</v>
      </c>
      <c r="D38" s="39">
        <v>87080395</v>
      </c>
      <c r="E38" s="40">
        <v>72323829</v>
      </c>
    </row>
    <row r="39" spans="1:5" s="34" customFormat="1" ht="12" customHeight="1" x14ac:dyDescent="0.2">
      <c r="A39" s="8" t="s">
        <v>439</v>
      </c>
      <c r="B39" s="600" t="s">
        <v>511</v>
      </c>
      <c r="C39" s="39">
        <v>7452660</v>
      </c>
      <c r="D39" s="39">
        <v>430000</v>
      </c>
      <c r="E39" s="40">
        <v>875976</v>
      </c>
    </row>
    <row r="40" spans="1:5" s="34" customFormat="1" ht="12" customHeight="1" x14ac:dyDescent="0.2">
      <c r="A40" s="8" t="s">
        <v>440</v>
      </c>
      <c r="B40" s="600" t="s">
        <v>512</v>
      </c>
      <c r="C40" s="39">
        <v>175650577</v>
      </c>
      <c r="D40" s="39">
        <v>170588468</v>
      </c>
      <c r="E40" s="40">
        <v>170046831</v>
      </c>
    </row>
    <row r="41" spans="1:5" s="34" customFormat="1" ht="12" customHeight="1" x14ac:dyDescent="0.2">
      <c r="A41" s="8" t="s">
        <v>441</v>
      </c>
      <c r="B41" s="600" t="s">
        <v>513</v>
      </c>
      <c r="C41" s="39">
        <v>40626143</v>
      </c>
      <c r="D41" s="39">
        <v>48441681</v>
      </c>
      <c r="E41" s="40">
        <v>42697431</v>
      </c>
    </row>
    <row r="42" spans="1:5" s="34" customFormat="1" ht="12" customHeight="1" x14ac:dyDescent="0.2">
      <c r="A42" s="8" t="s">
        <v>442</v>
      </c>
      <c r="B42" s="600" t="s">
        <v>514</v>
      </c>
      <c r="C42" s="39">
        <v>19170000</v>
      </c>
      <c r="D42" s="39">
        <v>21600602</v>
      </c>
      <c r="E42" s="40">
        <v>17615000</v>
      </c>
    </row>
    <row r="43" spans="1:5" s="34" customFormat="1" ht="12" customHeight="1" x14ac:dyDescent="0.2">
      <c r="A43" s="8" t="s">
        <v>443</v>
      </c>
      <c r="B43" s="600" t="s">
        <v>515</v>
      </c>
      <c r="C43" s="39">
        <v>132091</v>
      </c>
      <c r="D43" s="39">
        <v>40012</v>
      </c>
      <c r="E43" s="40">
        <v>147121</v>
      </c>
    </row>
    <row r="44" spans="1:5" s="34" customFormat="1" ht="12" customHeight="1" x14ac:dyDescent="0.2">
      <c r="A44" s="8" t="s">
        <v>516</v>
      </c>
      <c r="B44" s="600" t="s">
        <v>517</v>
      </c>
      <c r="C44" s="49"/>
      <c r="D44" s="49"/>
      <c r="E44" s="50">
        <v>22033</v>
      </c>
    </row>
    <row r="45" spans="1:5" s="34" customFormat="1" ht="12" customHeight="1" x14ac:dyDescent="0.2">
      <c r="A45" s="12" t="s">
        <v>518</v>
      </c>
      <c r="B45" s="602" t="s">
        <v>295</v>
      </c>
      <c r="C45" s="51">
        <v>812271</v>
      </c>
      <c r="D45" s="51">
        <v>500000</v>
      </c>
      <c r="E45" s="52">
        <v>722335</v>
      </c>
    </row>
    <row r="46" spans="1:5" s="34" customFormat="1" ht="12" customHeight="1" thickBot="1" x14ac:dyDescent="0.25">
      <c r="A46" s="12" t="s">
        <v>294</v>
      </c>
      <c r="B46" s="602" t="s">
        <v>519</v>
      </c>
      <c r="C46" s="51">
        <v>1564195</v>
      </c>
      <c r="D46" s="51">
        <v>2837293</v>
      </c>
      <c r="E46" s="52">
        <v>4228365</v>
      </c>
    </row>
    <row r="47" spans="1:5" s="34" customFormat="1" ht="12" customHeight="1" thickBot="1" x14ac:dyDescent="0.25">
      <c r="A47" s="4" t="s">
        <v>249</v>
      </c>
      <c r="B47" s="598" t="s">
        <v>520</v>
      </c>
      <c r="C47" s="32">
        <f>SUM(C48:C52)</f>
        <v>1786175</v>
      </c>
      <c r="D47" s="32">
        <f>SUM(D48:D52)</f>
        <v>47429000</v>
      </c>
      <c r="E47" s="33">
        <f>SUM(E48:E52)</f>
        <v>31376724</v>
      </c>
    </row>
    <row r="48" spans="1:5" s="34" customFormat="1" ht="12" customHeight="1" x14ac:dyDescent="0.2">
      <c r="A48" s="10" t="s">
        <v>332</v>
      </c>
      <c r="B48" s="599" t="s">
        <v>521</v>
      </c>
      <c r="C48" s="53"/>
      <c r="D48" s="53"/>
      <c r="E48" s="54"/>
    </row>
    <row r="49" spans="1:5" s="34" customFormat="1" ht="12" customHeight="1" x14ac:dyDescent="0.2">
      <c r="A49" s="8" t="s">
        <v>333</v>
      </c>
      <c r="B49" s="600" t="s">
        <v>206</v>
      </c>
      <c r="C49" s="49">
        <v>778000</v>
      </c>
      <c r="D49" s="49">
        <v>47179000</v>
      </c>
      <c r="E49" s="50">
        <v>31018499</v>
      </c>
    </row>
    <row r="50" spans="1:5" s="34" customFormat="1" ht="12" customHeight="1" x14ac:dyDescent="0.2">
      <c r="A50" s="8" t="s">
        <v>522</v>
      </c>
      <c r="B50" s="600" t="s">
        <v>523</v>
      </c>
      <c r="C50" s="49">
        <v>1008175</v>
      </c>
      <c r="D50" s="49">
        <v>250000</v>
      </c>
      <c r="E50" s="50">
        <v>253700</v>
      </c>
    </row>
    <row r="51" spans="1:5" s="34" customFormat="1" ht="12" customHeight="1" x14ac:dyDescent="0.2">
      <c r="A51" s="8" t="s">
        <v>524</v>
      </c>
      <c r="B51" s="600" t="s">
        <v>525</v>
      </c>
      <c r="C51" s="49"/>
      <c r="D51" s="49"/>
      <c r="E51" s="50">
        <v>100000</v>
      </c>
    </row>
    <row r="52" spans="1:5" s="34" customFormat="1" ht="12" customHeight="1" thickBot="1" x14ac:dyDescent="0.25">
      <c r="A52" s="12" t="s">
        <v>526</v>
      </c>
      <c r="B52" s="602" t="s">
        <v>527</v>
      </c>
      <c r="C52" s="51"/>
      <c r="D52" s="51"/>
      <c r="E52" s="52">
        <v>4525</v>
      </c>
    </row>
    <row r="53" spans="1:5" s="34" customFormat="1" ht="13.5" thickBot="1" x14ac:dyDescent="0.25">
      <c r="A53" s="4" t="s">
        <v>444</v>
      </c>
      <c r="B53" s="598" t="s">
        <v>528</v>
      </c>
      <c r="C53" s="32">
        <f>SUM(C54:C56)</f>
        <v>11113183</v>
      </c>
      <c r="D53" s="32">
        <f>SUM(D54:D56)</f>
        <v>24644433</v>
      </c>
      <c r="E53" s="33">
        <f>SUM(E54:E56)</f>
        <v>21824515</v>
      </c>
    </row>
    <row r="54" spans="1:5" s="34" customFormat="1" ht="12.75" x14ac:dyDescent="0.2">
      <c r="A54" s="10" t="s">
        <v>334</v>
      </c>
      <c r="B54" s="599" t="s">
        <v>529</v>
      </c>
      <c r="C54" s="36"/>
      <c r="D54" s="36"/>
      <c r="E54" s="37"/>
    </row>
    <row r="55" spans="1:5" s="34" customFormat="1" ht="14.25" customHeight="1" x14ac:dyDescent="0.2">
      <c r="A55" s="8" t="s">
        <v>335</v>
      </c>
      <c r="B55" s="600" t="s">
        <v>155</v>
      </c>
      <c r="C55" s="39">
        <v>1170155</v>
      </c>
      <c r="D55" s="39">
        <v>19949000</v>
      </c>
      <c r="E55" s="40">
        <v>18383349</v>
      </c>
    </row>
    <row r="56" spans="1:5" s="34" customFormat="1" ht="12.75" x14ac:dyDescent="0.2">
      <c r="A56" s="8" t="s">
        <v>445</v>
      </c>
      <c r="B56" s="600" t="s">
        <v>531</v>
      </c>
      <c r="C56" s="39">
        <v>9943028</v>
      </c>
      <c r="D56" s="39">
        <v>4695433</v>
      </c>
      <c r="E56" s="40">
        <v>3441166</v>
      </c>
    </row>
    <row r="57" spans="1:5" s="34" customFormat="1" ht="13.5" thickBot="1" x14ac:dyDescent="0.25">
      <c r="A57" s="12" t="s">
        <v>532</v>
      </c>
      <c r="B57" s="602" t="s">
        <v>533</v>
      </c>
      <c r="C57" s="42"/>
      <c r="D57" s="42"/>
      <c r="E57" s="43"/>
    </row>
    <row r="58" spans="1:5" s="34" customFormat="1" ht="13.5" thickBot="1" x14ac:dyDescent="0.25">
      <c r="A58" s="4" t="s">
        <v>251</v>
      </c>
      <c r="B58" s="604" t="s">
        <v>534</v>
      </c>
      <c r="C58" s="32">
        <f>SUM(C59:C61)</f>
        <v>3841537</v>
      </c>
      <c r="D58" s="32">
        <f>SUM(D59:D61)</f>
        <v>1000000</v>
      </c>
      <c r="E58" s="33">
        <f>SUM(E59:E61)</f>
        <v>1000000</v>
      </c>
    </row>
    <row r="59" spans="1:5" s="34" customFormat="1" ht="12.75" x14ac:dyDescent="0.2">
      <c r="A59" s="8" t="s">
        <v>446</v>
      </c>
      <c r="B59" s="599" t="s">
        <v>535</v>
      </c>
      <c r="C59" s="49"/>
      <c r="D59" s="49"/>
      <c r="E59" s="50"/>
    </row>
    <row r="60" spans="1:5" s="34" customFormat="1" ht="12.75" customHeight="1" x14ac:dyDescent="0.2">
      <c r="A60" s="8" t="s">
        <v>447</v>
      </c>
      <c r="B60" s="600" t="s">
        <v>156</v>
      </c>
      <c r="C60" s="49">
        <v>13837</v>
      </c>
      <c r="D60" s="49"/>
      <c r="E60" s="50"/>
    </row>
    <row r="61" spans="1:5" s="34" customFormat="1" ht="12.75" x14ac:dyDescent="0.2">
      <c r="A61" s="8" t="s">
        <v>537</v>
      </c>
      <c r="B61" s="600" t="s">
        <v>538</v>
      </c>
      <c r="C61" s="49">
        <v>3827700</v>
      </c>
      <c r="D61" s="49">
        <v>1000000</v>
      </c>
      <c r="E61" s="50">
        <v>1000000</v>
      </c>
    </row>
    <row r="62" spans="1:5" s="34" customFormat="1" ht="13.5" thickBot="1" x14ac:dyDescent="0.25">
      <c r="A62" s="8" t="s">
        <v>539</v>
      </c>
      <c r="B62" s="602" t="s">
        <v>540</v>
      </c>
      <c r="C62" s="49"/>
      <c r="D62" s="49"/>
      <c r="E62" s="50"/>
    </row>
    <row r="63" spans="1:5" s="34" customFormat="1" ht="13.5" thickBot="1" x14ac:dyDescent="0.25">
      <c r="A63" s="4" t="s">
        <v>252</v>
      </c>
      <c r="B63" s="598" t="s">
        <v>541</v>
      </c>
      <c r="C63" s="46">
        <f>+C6+C13+C20+C27+C35+C47+C53+C58</f>
        <v>2639272060</v>
      </c>
      <c r="D63" s="46">
        <f>+D6+D13+D20+D27+D35+D47+D53+D58</f>
        <v>2891806786</v>
      </c>
      <c r="E63" s="47">
        <f>+E6+E13+E20+E27+E35+E47+E53+E58</f>
        <v>2818913246</v>
      </c>
    </row>
    <row r="64" spans="1:5" s="34" customFormat="1" ht="13.5" thickBot="1" x14ac:dyDescent="0.25">
      <c r="A64" s="605" t="s">
        <v>542</v>
      </c>
      <c r="B64" s="604" t="s">
        <v>157</v>
      </c>
      <c r="C64" s="32">
        <f>SUM(C65:C67)</f>
        <v>20303000</v>
      </c>
      <c r="D64" s="32">
        <f>SUM(D65:D67)</f>
        <v>187500000</v>
      </c>
      <c r="E64" s="33">
        <f>+E65+E66+E67</f>
        <v>23966616</v>
      </c>
    </row>
    <row r="65" spans="1:5" s="34" customFormat="1" ht="12.75" x14ac:dyDescent="0.2">
      <c r="A65" s="8" t="s">
        <v>544</v>
      </c>
      <c r="B65" s="599" t="s">
        <v>545</v>
      </c>
      <c r="C65" s="49">
        <v>20303000</v>
      </c>
      <c r="D65" s="49">
        <v>87500000</v>
      </c>
      <c r="E65" s="50">
        <v>23966616</v>
      </c>
    </row>
    <row r="66" spans="1:5" s="34" customFormat="1" ht="12.75" x14ac:dyDescent="0.2">
      <c r="A66" s="8" t="s">
        <v>546</v>
      </c>
      <c r="B66" s="600" t="s">
        <v>547</v>
      </c>
      <c r="C66" s="49"/>
      <c r="D66" s="49">
        <v>100000000</v>
      </c>
      <c r="E66" s="50"/>
    </row>
    <row r="67" spans="1:5" s="34" customFormat="1" ht="13.5" thickBot="1" x14ac:dyDescent="0.25">
      <c r="A67" s="8" t="s">
        <v>548</v>
      </c>
      <c r="B67" s="606" t="s">
        <v>549</v>
      </c>
      <c r="C67" s="49"/>
      <c r="D67" s="49"/>
      <c r="E67" s="50"/>
    </row>
    <row r="68" spans="1:5" s="34" customFormat="1" ht="13.5" thickBot="1" x14ac:dyDescent="0.25">
      <c r="A68" s="605" t="s">
        <v>550</v>
      </c>
      <c r="B68" s="604" t="s">
        <v>551</v>
      </c>
      <c r="C68" s="32">
        <f>SUM(C69:C72)</f>
        <v>0</v>
      </c>
      <c r="D68" s="32">
        <f>SUM(D69:D72)</f>
        <v>0</v>
      </c>
      <c r="E68" s="33">
        <f>+E69+E70+E71+E72</f>
        <v>0</v>
      </c>
    </row>
    <row r="69" spans="1:5" s="34" customFormat="1" ht="12.75" x14ac:dyDescent="0.2">
      <c r="A69" s="8" t="s">
        <v>336</v>
      </c>
      <c r="B69" s="599" t="s">
        <v>552</v>
      </c>
      <c r="C69" s="49"/>
      <c r="D69" s="49"/>
      <c r="E69" s="50"/>
    </row>
    <row r="70" spans="1:5" s="34" customFormat="1" ht="12.75" x14ac:dyDescent="0.2">
      <c r="A70" s="8" t="s">
        <v>337</v>
      </c>
      <c r="B70" s="600" t="s">
        <v>553</v>
      </c>
      <c r="C70" s="49"/>
      <c r="D70" s="49"/>
      <c r="E70" s="50"/>
    </row>
    <row r="71" spans="1:5" s="34" customFormat="1" ht="12" customHeight="1" x14ac:dyDescent="0.2">
      <c r="A71" s="8" t="s">
        <v>554</v>
      </c>
      <c r="B71" s="600" t="s">
        <v>555</v>
      </c>
      <c r="C71" s="49"/>
      <c r="D71" s="49"/>
      <c r="E71" s="50"/>
    </row>
    <row r="72" spans="1:5" s="34" customFormat="1" ht="12" customHeight="1" thickBot="1" x14ac:dyDescent="0.25">
      <c r="A72" s="8" t="s">
        <v>556</v>
      </c>
      <c r="B72" s="602" t="s">
        <v>557</v>
      </c>
      <c r="C72" s="49"/>
      <c r="D72" s="49"/>
      <c r="E72" s="50"/>
    </row>
    <row r="73" spans="1:5" s="34" customFormat="1" ht="12" customHeight="1" thickBot="1" x14ac:dyDescent="0.25">
      <c r="A73" s="605" t="s">
        <v>558</v>
      </c>
      <c r="B73" s="604" t="s">
        <v>559</v>
      </c>
      <c r="C73" s="32">
        <f>SUM(C74:C75)</f>
        <v>264950190</v>
      </c>
      <c r="D73" s="32">
        <f>SUM(D74:D75)</f>
        <v>292999415</v>
      </c>
      <c r="E73" s="33">
        <f>+E74+E75</f>
        <v>292999415</v>
      </c>
    </row>
    <row r="74" spans="1:5" s="34" customFormat="1" ht="12" customHeight="1" x14ac:dyDescent="0.2">
      <c r="A74" s="8" t="s">
        <v>560</v>
      </c>
      <c r="B74" s="599" t="s">
        <v>561</v>
      </c>
      <c r="C74" s="49">
        <v>264950190</v>
      </c>
      <c r="D74" s="49">
        <v>292999415</v>
      </c>
      <c r="E74" s="50">
        <v>292999415</v>
      </c>
    </row>
    <row r="75" spans="1:5" s="34" customFormat="1" ht="12" customHeight="1" thickBot="1" x14ac:dyDescent="0.25">
      <c r="A75" s="8" t="s">
        <v>562</v>
      </c>
      <c r="B75" s="602" t="s">
        <v>569</v>
      </c>
      <c r="C75" s="49"/>
      <c r="D75" s="49"/>
      <c r="E75" s="50"/>
    </row>
    <row r="76" spans="1:5" s="34" customFormat="1" ht="12" customHeight="1" thickBot="1" x14ac:dyDescent="0.25">
      <c r="A76" s="605" t="s">
        <v>570</v>
      </c>
      <c r="B76" s="604" t="s">
        <v>571</v>
      </c>
      <c r="C76" s="32">
        <f>SUM(C77:C79)</f>
        <v>35164932</v>
      </c>
      <c r="D76" s="32">
        <f>SUM(D77:D79)</f>
        <v>38167591</v>
      </c>
      <c r="E76" s="33">
        <f>+E77+E78+E79</f>
        <v>38167591</v>
      </c>
    </row>
    <row r="77" spans="1:5" s="34" customFormat="1" ht="12" customHeight="1" x14ac:dyDescent="0.2">
      <c r="A77" s="8" t="s">
        <v>572</v>
      </c>
      <c r="B77" s="599" t="s">
        <v>573</v>
      </c>
      <c r="C77" s="49">
        <v>35164932</v>
      </c>
      <c r="D77" s="49">
        <v>38167591</v>
      </c>
      <c r="E77" s="50">
        <v>38167591</v>
      </c>
    </row>
    <row r="78" spans="1:5" s="34" customFormat="1" ht="12" customHeight="1" x14ac:dyDescent="0.2">
      <c r="A78" s="8" t="s">
        <v>574</v>
      </c>
      <c r="B78" s="600" t="s">
        <v>575</v>
      </c>
      <c r="C78" s="49"/>
      <c r="D78" s="49"/>
      <c r="E78" s="50"/>
    </row>
    <row r="79" spans="1:5" s="34" customFormat="1" ht="12" customHeight="1" thickBot="1" x14ac:dyDescent="0.25">
      <c r="A79" s="8" t="s">
        <v>576</v>
      </c>
      <c r="B79" s="602" t="s">
        <v>577</v>
      </c>
      <c r="C79" s="49"/>
      <c r="D79" s="49"/>
      <c r="E79" s="50"/>
    </row>
    <row r="80" spans="1:5" s="34" customFormat="1" ht="12" customHeight="1" thickBot="1" x14ac:dyDescent="0.25">
      <c r="A80" s="605" t="s">
        <v>578</v>
      </c>
      <c r="B80" s="604" t="s">
        <v>579</v>
      </c>
      <c r="C80" s="32">
        <f>SUM(C81:C84)</f>
        <v>0</v>
      </c>
      <c r="D80" s="32">
        <f>SUM(D81:D84)</f>
        <v>0</v>
      </c>
      <c r="E80" s="33">
        <f>+E81+E82+E83+E84</f>
        <v>0</v>
      </c>
    </row>
    <row r="81" spans="1:5" s="34" customFormat="1" ht="12" customHeight="1" x14ac:dyDescent="0.2">
      <c r="A81" s="607" t="s">
        <v>580</v>
      </c>
      <c r="B81" s="599" t="s">
        <v>581</v>
      </c>
      <c r="C81" s="49"/>
      <c r="D81" s="49"/>
      <c r="E81" s="50"/>
    </row>
    <row r="82" spans="1:5" s="34" customFormat="1" ht="12" customHeight="1" x14ac:dyDescent="0.2">
      <c r="A82" s="608" t="s">
        <v>582</v>
      </c>
      <c r="B82" s="600" t="s">
        <v>587</v>
      </c>
      <c r="C82" s="49"/>
      <c r="D82" s="49"/>
      <c r="E82" s="50"/>
    </row>
    <row r="83" spans="1:5" s="34" customFormat="1" ht="12" customHeight="1" x14ac:dyDescent="0.2">
      <c r="A83" s="608" t="s">
        <v>588</v>
      </c>
      <c r="B83" s="600" t="s">
        <v>589</v>
      </c>
      <c r="C83" s="49"/>
      <c r="D83" s="49"/>
      <c r="E83" s="50"/>
    </row>
    <row r="84" spans="1:5" s="34" customFormat="1" ht="12" customHeight="1" thickBot="1" x14ac:dyDescent="0.25">
      <c r="A84" s="609" t="s">
        <v>590</v>
      </c>
      <c r="B84" s="602" t="s">
        <v>591</v>
      </c>
      <c r="C84" s="49"/>
      <c r="D84" s="49"/>
      <c r="E84" s="50"/>
    </row>
    <row r="85" spans="1:5" s="34" customFormat="1" ht="12" customHeight="1" thickBot="1" x14ac:dyDescent="0.25">
      <c r="A85" s="605" t="s">
        <v>592</v>
      </c>
      <c r="B85" s="604" t="s">
        <v>593</v>
      </c>
      <c r="C85" s="60"/>
      <c r="D85" s="60"/>
      <c r="E85" s="61"/>
    </row>
    <row r="86" spans="1:5" s="34" customFormat="1" ht="13.5" customHeight="1" thickBot="1" x14ac:dyDescent="0.25">
      <c r="A86" s="605" t="s">
        <v>594</v>
      </c>
      <c r="B86" s="610" t="s">
        <v>595</v>
      </c>
      <c r="C86" s="46">
        <f>+C64+C68+C73+C76+C80+C85</f>
        <v>320418122</v>
      </c>
      <c r="D86" s="46">
        <f>+D64+D68+D73+D76+D80+D85</f>
        <v>518667006</v>
      </c>
      <c r="E86" s="47">
        <f>+E64+E68+E73+E76+E80+E85</f>
        <v>355133622</v>
      </c>
    </row>
    <row r="87" spans="1:5" s="34" customFormat="1" ht="12" customHeight="1" thickBot="1" x14ac:dyDescent="0.25">
      <c r="A87" s="611" t="s">
        <v>596</v>
      </c>
      <c r="B87" s="612" t="s">
        <v>597</v>
      </c>
      <c r="C87" s="46">
        <f>+C63+C86</f>
        <v>2959690182</v>
      </c>
      <c r="D87" s="46">
        <f>+D63+D86</f>
        <v>3410473792</v>
      </c>
      <c r="E87" s="47">
        <f>+E63+E86</f>
        <v>3174046868</v>
      </c>
    </row>
    <row r="88" spans="1:5" ht="16.5" customHeight="1" x14ac:dyDescent="0.25">
      <c r="A88" s="934" t="s">
        <v>338</v>
      </c>
      <c r="B88" s="934"/>
      <c r="C88" s="934"/>
      <c r="D88" s="934"/>
      <c r="E88" s="934"/>
    </row>
    <row r="89" spans="1:5" s="69" customFormat="1" ht="16.5" customHeight="1" thickBot="1" x14ac:dyDescent="0.3">
      <c r="A89" s="67" t="s">
        <v>339</v>
      </c>
      <c r="B89" s="67"/>
      <c r="C89" s="67"/>
      <c r="D89" s="613"/>
      <c r="E89" s="613" t="s">
        <v>454</v>
      </c>
    </row>
    <row r="90" spans="1:5" s="69" customFormat="1" ht="16.5" customHeight="1" x14ac:dyDescent="0.25">
      <c r="A90" s="935" t="s">
        <v>405</v>
      </c>
      <c r="B90" s="937" t="s">
        <v>598</v>
      </c>
      <c r="C90" s="1086" t="str">
        <f>+C3</f>
        <v>2016. évi tény</v>
      </c>
      <c r="D90" s="939" t="str">
        <f>+D3</f>
        <v>2017. évi</v>
      </c>
      <c r="E90" s="940"/>
    </row>
    <row r="91" spans="1:5" ht="38.1" customHeight="1" thickBot="1" x14ac:dyDescent="0.3">
      <c r="A91" s="936"/>
      <c r="B91" s="938"/>
      <c r="C91" s="1087"/>
      <c r="D91" s="28" t="s">
        <v>456</v>
      </c>
      <c r="E91" s="29" t="s">
        <v>228</v>
      </c>
    </row>
    <row r="92" spans="1:5" s="31" customFormat="1" ht="12" customHeight="1" thickBot="1" x14ac:dyDescent="0.25">
      <c r="A92" s="1" t="s">
        <v>457</v>
      </c>
      <c r="B92" s="2" t="s">
        <v>458</v>
      </c>
      <c r="C92" s="2" t="s">
        <v>459</v>
      </c>
      <c r="D92" s="2" t="s">
        <v>461</v>
      </c>
      <c r="E92" s="30" t="s">
        <v>649</v>
      </c>
    </row>
    <row r="93" spans="1:5" ht="12" customHeight="1" thickBot="1" x14ac:dyDescent="0.3">
      <c r="A93" s="3" t="s">
        <v>235</v>
      </c>
      <c r="B93" s="71" t="s">
        <v>168</v>
      </c>
      <c r="C93" s="72">
        <f>SUM(C94:C98)</f>
        <v>2510000576</v>
      </c>
      <c r="D93" s="72">
        <f>+D94+D95+D96+D97+D98</f>
        <v>2475208869</v>
      </c>
      <c r="E93" s="73">
        <f>+E94+E95+E96+E97+E98</f>
        <v>2320236612</v>
      </c>
    </row>
    <row r="94" spans="1:5" ht="12" customHeight="1" x14ac:dyDescent="0.25">
      <c r="A94" s="13" t="s">
        <v>340</v>
      </c>
      <c r="B94" s="614" t="s">
        <v>341</v>
      </c>
      <c r="C94" s="74">
        <v>1207786084</v>
      </c>
      <c r="D94" s="74">
        <v>1094113234</v>
      </c>
      <c r="E94" s="75">
        <v>1063192965</v>
      </c>
    </row>
    <row r="95" spans="1:5" ht="12" customHeight="1" x14ac:dyDescent="0.25">
      <c r="A95" s="8" t="s">
        <v>342</v>
      </c>
      <c r="B95" s="615" t="s">
        <v>449</v>
      </c>
      <c r="C95" s="39">
        <v>271747480</v>
      </c>
      <c r="D95" s="39">
        <v>230642127</v>
      </c>
      <c r="E95" s="40">
        <v>223000766</v>
      </c>
    </row>
    <row r="96" spans="1:5" ht="12" customHeight="1" x14ac:dyDescent="0.25">
      <c r="A96" s="8" t="s">
        <v>343</v>
      </c>
      <c r="B96" s="615" t="s">
        <v>344</v>
      </c>
      <c r="C96" s="42">
        <v>776462763</v>
      </c>
      <c r="D96" s="42">
        <v>953501741</v>
      </c>
      <c r="E96" s="43">
        <v>840414038</v>
      </c>
    </row>
    <row r="97" spans="1:5" ht="12" customHeight="1" x14ac:dyDescent="0.25">
      <c r="A97" s="8" t="s">
        <v>345</v>
      </c>
      <c r="B97" s="616" t="s">
        <v>450</v>
      </c>
      <c r="C97" s="42">
        <v>72060693</v>
      </c>
      <c r="D97" s="42">
        <v>78463740</v>
      </c>
      <c r="E97" s="43">
        <v>75302178</v>
      </c>
    </row>
    <row r="98" spans="1:5" ht="12" customHeight="1" x14ac:dyDescent="0.25">
      <c r="A98" s="8" t="s">
        <v>346</v>
      </c>
      <c r="B98" s="617" t="s">
        <v>451</v>
      </c>
      <c r="C98" s="42">
        <v>181943556</v>
      </c>
      <c r="D98" s="42">
        <v>118488027</v>
      </c>
      <c r="E98" s="43">
        <v>118326665</v>
      </c>
    </row>
    <row r="99" spans="1:5" ht="12" customHeight="1" x14ac:dyDescent="0.25">
      <c r="A99" s="8" t="s">
        <v>347</v>
      </c>
      <c r="B99" s="615" t="s">
        <v>599</v>
      </c>
      <c r="C99" s="42">
        <v>6261128</v>
      </c>
      <c r="D99" s="42">
        <v>10170027</v>
      </c>
      <c r="E99" s="43">
        <v>10168527</v>
      </c>
    </row>
    <row r="100" spans="1:5" ht="12" customHeight="1" x14ac:dyDescent="0.25">
      <c r="A100" s="8" t="s">
        <v>348</v>
      </c>
      <c r="B100" s="618" t="s">
        <v>600</v>
      </c>
      <c r="C100" s="42"/>
      <c r="D100" s="42"/>
      <c r="E100" s="43"/>
    </row>
    <row r="101" spans="1:5" ht="12" customHeight="1" x14ac:dyDescent="0.25">
      <c r="A101" s="8" t="s">
        <v>349</v>
      </c>
      <c r="B101" s="615" t="s">
        <v>601</v>
      </c>
      <c r="C101" s="42"/>
      <c r="D101" s="42"/>
      <c r="E101" s="43"/>
    </row>
    <row r="102" spans="1:5" ht="12" customHeight="1" x14ac:dyDescent="0.25">
      <c r="A102" s="8" t="s">
        <v>350</v>
      </c>
      <c r="B102" s="615" t="s">
        <v>602</v>
      </c>
      <c r="C102" s="42"/>
      <c r="D102" s="42"/>
      <c r="E102" s="43"/>
    </row>
    <row r="103" spans="1:5" ht="12" customHeight="1" x14ac:dyDescent="0.25">
      <c r="A103" s="8" t="s">
        <v>351</v>
      </c>
      <c r="B103" s="618" t="s">
        <v>603</v>
      </c>
      <c r="C103" s="42">
        <v>113441217</v>
      </c>
      <c r="D103" s="42">
        <v>785000</v>
      </c>
      <c r="E103" s="43">
        <v>785000</v>
      </c>
    </row>
    <row r="104" spans="1:5" ht="12" customHeight="1" x14ac:dyDescent="0.25">
      <c r="A104" s="8" t="s">
        <v>352</v>
      </c>
      <c r="B104" s="618" t="s">
        <v>604</v>
      </c>
      <c r="C104" s="42"/>
      <c r="D104" s="42"/>
      <c r="E104" s="43"/>
    </row>
    <row r="105" spans="1:5" ht="12" customHeight="1" x14ac:dyDescent="0.25">
      <c r="A105" s="8" t="s">
        <v>353</v>
      </c>
      <c r="B105" s="615" t="s">
        <v>605</v>
      </c>
      <c r="C105" s="42"/>
      <c r="D105" s="42"/>
      <c r="E105" s="43"/>
    </row>
    <row r="106" spans="1:5" ht="12" customHeight="1" x14ac:dyDescent="0.25">
      <c r="A106" s="662" t="s">
        <v>606</v>
      </c>
      <c r="B106" s="619" t="s">
        <v>607</v>
      </c>
      <c r="C106" s="42"/>
      <c r="D106" s="42"/>
      <c r="E106" s="43"/>
    </row>
    <row r="107" spans="1:5" ht="12" customHeight="1" x14ac:dyDescent="0.25">
      <c r="A107" s="662" t="s">
        <v>608</v>
      </c>
      <c r="B107" s="619" t="s">
        <v>297</v>
      </c>
      <c r="C107" s="42"/>
      <c r="D107" s="42"/>
      <c r="E107" s="43"/>
    </row>
    <row r="108" spans="1:5" ht="12" customHeight="1" x14ac:dyDescent="0.25">
      <c r="A108" s="8" t="s">
        <v>610</v>
      </c>
      <c r="B108" s="619" t="s">
        <v>609</v>
      </c>
      <c r="C108" s="42"/>
      <c r="D108" s="42"/>
      <c r="E108" s="43"/>
    </row>
    <row r="109" spans="1:5" ht="12" customHeight="1" thickBot="1" x14ac:dyDescent="0.3">
      <c r="A109" s="15" t="s">
        <v>188</v>
      </c>
      <c r="B109" s="620" t="s">
        <v>611</v>
      </c>
      <c r="C109" s="77">
        <v>62241211</v>
      </c>
      <c r="D109" s="77">
        <v>107533000</v>
      </c>
      <c r="E109" s="78">
        <v>107373138</v>
      </c>
    </row>
    <row r="110" spans="1:5" ht="12" customHeight="1" thickBot="1" x14ac:dyDescent="0.3">
      <c r="A110" s="4" t="s">
        <v>243</v>
      </c>
      <c r="B110" s="19" t="s">
        <v>169</v>
      </c>
      <c r="C110" s="32">
        <f>+C111+C112+C113</f>
        <v>120343408</v>
      </c>
      <c r="D110" s="32">
        <f>+D111+D112+D113</f>
        <v>734391843</v>
      </c>
      <c r="E110" s="33">
        <f>+E111+E112+E113</f>
        <v>194808124</v>
      </c>
    </row>
    <row r="111" spans="1:5" ht="12" customHeight="1" x14ac:dyDescent="0.25">
      <c r="A111" s="10" t="s">
        <v>354</v>
      </c>
      <c r="B111" s="615" t="s">
        <v>142</v>
      </c>
      <c r="C111" s="36">
        <v>64203415</v>
      </c>
      <c r="D111" s="36">
        <v>340602433</v>
      </c>
      <c r="E111" s="37">
        <v>41111560</v>
      </c>
    </row>
    <row r="112" spans="1:5" x14ac:dyDescent="0.25">
      <c r="A112" s="10" t="s">
        <v>355</v>
      </c>
      <c r="B112" s="619" t="s">
        <v>232</v>
      </c>
      <c r="C112" s="39">
        <v>45795826</v>
      </c>
      <c r="D112" s="39">
        <v>345284910</v>
      </c>
      <c r="E112" s="40">
        <v>140483298</v>
      </c>
    </row>
    <row r="113" spans="1:5" ht="12" customHeight="1" x14ac:dyDescent="0.25">
      <c r="A113" s="10" t="s">
        <v>356</v>
      </c>
      <c r="B113" s="602" t="s">
        <v>143</v>
      </c>
      <c r="C113" s="39">
        <v>10344167</v>
      </c>
      <c r="D113" s="39">
        <v>48504500</v>
      </c>
      <c r="E113" s="40">
        <v>13213266</v>
      </c>
    </row>
    <row r="114" spans="1:5" x14ac:dyDescent="0.25">
      <c r="A114" s="10" t="s">
        <v>357</v>
      </c>
      <c r="B114" s="600" t="s">
        <v>364</v>
      </c>
      <c r="C114" s="39"/>
      <c r="D114" s="39"/>
      <c r="E114" s="40"/>
    </row>
    <row r="115" spans="1:5" x14ac:dyDescent="0.25">
      <c r="A115" s="10" t="s">
        <v>358</v>
      </c>
      <c r="B115" s="621" t="s">
        <v>613</v>
      </c>
      <c r="C115" s="39"/>
      <c r="D115" s="39"/>
      <c r="E115" s="40"/>
    </row>
    <row r="116" spans="1:5" ht="12" customHeight="1" x14ac:dyDescent="0.25">
      <c r="A116" s="10" t="s">
        <v>359</v>
      </c>
      <c r="B116" s="615" t="s">
        <v>602</v>
      </c>
      <c r="C116" s="39"/>
      <c r="D116" s="39"/>
      <c r="E116" s="40"/>
    </row>
    <row r="117" spans="1:5" ht="12" customHeight="1" x14ac:dyDescent="0.25">
      <c r="A117" s="10" t="s">
        <v>360</v>
      </c>
      <c r="B117" s="615" t="s">
        <v>614</v>
      </c>
      <c r="C117" s="39"/>
      <c r="D117" s="39"/>
      <c r="E117" s="40"/>
    </row>
    <row r="118" spans="1:5" ht="12" customHeight="1" x14ac:dyDescent="0.25">
      <c r="A118" s="10" t="s">
        <v>452</v>
      </c>
      <c r="B118" s="615" t="s">
        <v>615</v>
      </c>
      <c r="C118" s="39"/>
      <c r="D118" s="39"/>
      <c r="E118" s="40"/>
    </row>
    <row r="119" spans="1:5" s="81" customFormat="1" ht="12" customHeight="1" x14ac:dyDescent="0.2">
      <c r="A119" s="10" t="s">
        <v>453</v>
      </c>
      <c r="B119" s="615" t="s">
        <v>605</v>
      </c>
      <c r="C119" s="39"/>
      <c r="D119" s="39">
        <v>5000</v>
      </c>
      <c r="E119" s="40">
        <v>1015</v>
      </c>
    </row>
    <row r="120" spans="1:5" ht="12" customHeight="1" x14ac:dyDescent="0.25">
      <c r="A120" s="10" t="s">
        <v>127</v>
      </c>
      <c r="B120" s="615" t="s">
        <v>618</v>
      </c>
      <c r="C120" s="39"/>
      <c r="D120" s="39"/>
      <c r="E120" s="40"/>
    </row>
    <row r="121" spans="1:5" ht="12" customHeight="1" thickBot="1" x14ac:dyDescent="0.3">
      <c r="A121" s="10" t="s">
        <v>616</v>
      </c>
      <c r="B121" s="615" t="s">
        <v>620</v>
      </c>
      <c r="C121" s="42">
        <v>10344167</v>
      </c>
      <c r="D121" s="42">
        <v>48499500</v>
      </c>
      <c r="E121" s="43">
        <v>13212251</v>
      </c>
    </row>
    <row r="122" spans="1:5" ht="12" customHeight="1" thickBot="1" x14ac:dyDescent="0.3">
      <c r="A122" s="4" t="s">
        <v>244</v>
      </c>
      <c r="B122" s="622" t="s">
        <v>621</v>
      </c>
      <c r="C122" s="32">
        <f>+C123+C124</f>
        <v>0</v>
      </c>
      <c r="D122" s="32">
        <f>+D123+D124</f>
        <v>62547148</v>
      </c>
      <c r="E122" s="33">
        <f>+E123+E124</f>
        <v>0</v>
      </c>
    </row>
    <row r="123" spans="1:5" ht="12" customHeight="1" x14ac:dyDescent="0.25">
      <c r="A123" s="10" t="s">
        <v>322</v>
      </c>
      <c r="B123" s="621" t="s">
        <v>361</v>
      </c>
      <c r="C123" s="36"/>
      <c r="D123" s="36">
        <v>2126916</v>
      </c>
      <c r="E123" s="37"/>
    </row>
    <row r="124" spans="1:5" ht="12" customHeight="1" thickBot="1" x14ac:dyDescent="0.3">
      <c r="A124" s="12" t="s">
        <v>323</v>
      </c>
      <c r="B124" s="619" t="s">
        <v>362</v>
      </c>
      <c r="C124" s="42"/>
      <c r="D124" s="42">
        <v>60420232</v>
      </c>
      <c r="E124" s="43"/>
    </row>
    <row r="125" spans="1:5" ht="12" customHeight="1" thickBot="1" x14ac:dyDescent="0.3">
      <c r="A125" s="4" t="s">
        <v>245</v>
      </c>
      <c r="B125" s="622" t="s">
        <v>622</v>
      </c>
      <c r="C125" s="32">
        <f>+C93+C110+C122</f>
        <v>2630343984</v>
      </c>
      <c r="D125" s="32">
        <f>+D93+D110+D122</f>
        <v>3272147860</v>
      </c>
      <c r="E125" s="33">
        <f>+E93+E110+E122</f>
        <v>2515044736</v>
      </c>
    </row>
    <row r="126" spans="1:5" ht="12" customHeight="1" thickBot="1" x14ac:dyDescent="0.3">
      <c r="A126" s="4" t="s">
        <v>246</v>
      </c>
      <c r="B126" s="622" t="s">
        <v>623</v>
      </c>
      <c r="C126" s="32">
        <f>+C127+C128+C129</f>
        <v>3044789</v>
      </c>
      <c r="D126" s="32">
        <f>+D127+D128+D129</f>
        <v>103161000</v>
      </c>
      <c r="E126" s="33">
        <f>+E127+E128+E129</f>
        <v>3160000</v>
      </c>
    </row>
    <row r="127" spans="1:5" ht="12" customHeight="1" x14ac:dyDescent="0.25">
      <c r="A127" s="10" t="s">
        <v>329</v>
      </c>
      <c r="B127" s="621" t="s">
        <v>160</v>
      </c>
      <c r="C127" s="39">
        <v>3044789</v>
      </c>
      <c r="D127" s="39">
        <v>3161000</v>
      </c>
      <c r="E127" s="40">
        <v>3160000</v>
      </c>
    </row>
    <row r="128" spans="1:5" ht="12" customHeight="1" x14ac:dyDescent="0.25">
      <c r="A128" s="10" t="s">
        <v>330</v>
      </c>
      <c r="B128" s="621" t="s">
        <v>161</v>
      </c>
      <c r="C128" s="39"/>
      <c r="D128" s="39">
        <v>100000000</v>
      </c>
      <c r="E128" s="40"/>
    </row>
    <row r="129" spans="1:9" ht="12" customHeight="1" thickBot="1" x14ac:dyDescent="0.3">
      <c r="A129" s="6" t="s">
        <v>331</v>
      </c>
      <c r="B129" s="623" t="s">
        <v>162</v>
      </c>
      <c r="C129" s="39"/>
      <c r="D129" s="39"/>
      <c r="E129" s="40"/>
    </row>
    <row r="130" spans="1:9" ht="12" customHeight="1" thickBot="1" x14ac:dyDescent="0.3">
      <c r="A130" s="4" t="s">
        <v>249</v>
      </c>
      <c r="B130" s="622" t="s">
        <v>627</v>
      </c>
      <c r="C130" s="32">
        <f>+C131+C132+C133+C134</f>
        <v>0</v>
      </c>
      <c r="D130" s="32">
        <f>+D131+D132+D133+D134</f>
        <v>0</v>
      </c>
      <c r="E130" s="33">
        <f>+E131+E132+E133+E134</f>
        <v>0</v>
      </c>
    </row>
    <row r="131" spans="1:9" ht="12" customHeight="1" x14ac:dyDescent="0.25">
      <c r="A131" s="10" t="s">
        <v>332</v>
      </c>
      <c r="B131" s="621" t="s">
        <v>163</v>
      </c>
      <c r="C131" s="39"/>
      <c r="D131" s="39"/>
      <c r="E131" s="40"/>
    </row>
    <row r="132" spans="1:9" ht="12" customHeight="1" x14ac:dyDescent="0.25">
      <c r="A132" s="10" t="s">
        <v>333</v>
      </c>
      <c r="B132" s="621" t="s">
        <v>164</v>
      </c>
      <c r="C132" s="39"/>
      <c r="D132" s="39"/>
      <c r="E132" s="40"/>
    </row>
    <row r="133" spans="1:9" ht="12" customHeight="1" x14ac:dyDescent="0.25">
      <c r="A133" s="10" t="s">
        <v>522</v>
      </c>
      <c r="B133" s="621" t="s">
        <v>165</v>
      </c>
      <c r="C133" s="39"/>
      <c r="D133" s="39"/>
      <c r="E133" s="40"/>
    </row>
    <row r="134" spans="1:9" ht="12" customHeight="1" thickBot="1" x14ac:dyDescent="0.3">
      <c r="A134" s="6" t="s">
        <v>524</v>
      </c>
      <c r="B134" s="623" t="s">
        <v>166</v>
      </c>
      <c r="C134" s="39"/>
      <c r="D134" s="39"/>
      <c r="E134" s="40"/>
    </row>
    <row r="135" spans="1:9" ht="12" customHeight="1" thickBot="1" x14ac:dyDescent="0.3">
      <c r="A135" s="4" t="s">
        <v>250</v>
      </c>
      <c r="B135" s="622" t="s">
        <v>632</v>
      </c>
      <c r="C135" s="46">
        <f>+C136+C137+C138+C139</f>
        <v>33301994</v>
      </c>
      <c r="D135" s="46">
        <f>+D136+D137+D138+D139</f>
        <v>35164932</v>
      </c>
      <c r="E135" s="47">
        <f>+E136+E137+E138+E139</f>
        <v>35164932</v>
      </c>
    </row>
    <row r="136" spans="1:9" ht="12" customHeight="1" x14ac:dyDescent="0.25">
      <c r="A136" s="10" t="s">
        <v>334</v>
      </c>
      <c r="B136" s="621" t="s">
        <v>633</v>
      </c>
      <c r="C136" s="39"/>
      <c r="D136" s="39"/>
      <c r="E136" s="40"/>
    </row>
    <row r="137" spans="1:9" ht="12" customHeight="1" x14ac:dyDescent="0.25">
      <c r="A137" s="10" t="s">
        <v>335</v>
      </c>
      <c r="B137" s="621" t="s">
        <v>634</v>
      </c>
      <c r="C137" s="39">
        <v>33301994</v>
      </c>
      <c r="D137" s="39">
        <v>35164932</v>
      </c>
      <c r="E137" s="40">
        <v>35164932</v>
      </c>
    </row>
    <row r="138" spans="1:9" ht="12" customHeight="1" x14ac:dyDescent="0.25">
      <c r="A138" s="10" t="s">
        <v>445</v>
      </c>
      <c r="B138" s="621" t="s">
        <v>167</v>
      </c>
      <c r="C138" s="39"/>
      <c r="D138" s="39"/>
      <c r="E138" s="40"/>
    </row>
    <row r="139" spans="1:9" ht="12" customHeight="1" thickBot="1" x14ac:dyDescent="0.3">
      <c r="A139" s="6" t="s">
        <v>532</v>
      </c>
      <c r="B139" s="623" t="s">
        <v>672</v>
      </c>
      <c r="C139" s="39"/>
      <c r="D139" s="39"/>
      <c r="E139" s="40"/>
    </row>
    <row r="140" spans="1:9" ht="15" customHeight="1" thickBot="1" x14ac:dyDescent="0.3">
      <c r="A140" s="4" t="s">
        <v>251</v>
      </c>
      <c r="B140" s="622" t="s">
        <v>705</v>
      </c>
      <c r="C140" s="624">
        <f>+C141+C142+C143+C144</f>
        <v>0</v>
      </c>
      <c r="D140" s="624">
        <f>+D141+D142+D143+D144</f>
        <v>0</v>
      </c>
      <c r="E140" s="625">
        <f>+E141+E142+E143+E144</f>
        <v>0</v>
      </c>
      <c r="F140" s="85"/>
      <c r="G140" s="86"/>
      <c r="H140" s="86"/>
      <c r="I140" s="86"/>
    </row>
    <row r="141" spans="1:9" s="34" customFormat="1" ht="12.95" customHeight="1" x14ac:dyDescent="0.2">
      <c r="A141" s="10" t="s">
        <v>446</v>
      </c>
      <c r="B141" s="621" t="s">
        <v>638</v>
      </c>
      <c r="C141" s="39"/>
      <c r="D141" s="39"/>
      <c r="E141" s="40"/>
    </row>
    <row r="142" spans="1:9" ht="13.5" customHeight="1" x14ac:dyDescent="0.25">
      <c r="A142" s="10" t="s">
        <v>447</v>
      </c>
      <c r="B142" s="621" t="s">
        <v>639</v>
      </c>
      <c r="C142" s="39"/>
      <c r="D142" s="39"/>
      <c r="E142" s="40"/>
    </row>
    <row r="143" spans="1:9" ht="13.5" customHeight="1" x14ac:dyDescent="0.25">
      <c r="A143" s="10" t="s">
        <v>537</v>
      </c>
      <c r="B143" s="621" t="s">
        <v>640</v>
      </c>
      <c r="C143" s="39"/>
      <c r="D143" s="39"/>
      <c r="E143" s="40"/>
    </row>
    <row r="144" spans="1:9" ht="13.5" customHeight="1" thickBot="1" x14ac:dyDescent="0.3">
      <c r="A144" s="10" t="s">
        <v>539</v>
      </c>
      <c r="B144" s="621" t="s">
        <v>641</v>
      </c>
      <c r="C144" s="39"/>
      <c r="D144" s="39"/>
      <c r="E144" s="40"/>
    </row>
    <row r="145" spans="1:5" ht="12.75" customHeight="1" thickBot="1" x14ac:dyDescent="0.3">
      <c r="A145" s="4" t="s">
        <v>252</v>
      </c>
      <c r="B145" s="622" t="s">
        <v>642</v>
      </c>
      <c r="C145" s="626">
        <f>+C126+C130+C135+C140</f>
        <v>36346783</v>
      </c>
      <c r="D145" s="626">
        <f>+D126+D130+D135+D140</f>
        <v>138325932</v>
      </c>
      <c r="E145" s="627">
        <f>+E126+E130+E135+E140</f>
        <v>38324932</v>
      </c>
    </row>
    <row r="146" spans="1:5" ht="13.5" customHeight="1" thickBot="1" x14ac:dyDescent="0.3">
      <c r="A146" s="628" t="s">
        <v>253</v>
      </c>
      <c r="B146" s="629" t="s">
        <v>643</v>
      </c>
      <c r="C146" s="626">
        <f>+C125+C145</f>
        <v>2666690767</v>
      </c>
      <c r="D146" s="626">
        <f>+D125+D145</f>
        <v>3410473792</v>
      </c>
      <c r="E146" s="627">
        <f>+E125+E145</f>
        <v>2553369668</v>
      </c>
    </row>
    <row r="147" spans="1:5" ht="13.5" customHeight="1" x14ac:dyDescent="0.25"/>
    <row r="148" spans="1:5" ht="13.5" customHeight="1" x14ac:dyDescent="0.25"/>
    <row r="149" spans="1:5" ht="7.5" customHeight="1" x14ac:dyDescent="0.25"/>
    <row r="151" spans="1:5" ht="12.75" customHeight="1" x14ac:dyDescent="0.25"/>
    <row r="152" spans="1:5" ht="12.75" customHeight="1" x14ac:dyDescent="0.25"/>
    <row r="153" spans="1:5" ht="12.75" customHeight="1" x14ac:dyDescent="0.25"/>
    <row r="154" spans="1:5" ht="12.75" customHeight="1" x14ac:dyDescent="0.25"/>
    <row r="155" spans="1:5" ht="12.75" customHeight="1" x14ac:dyDescent="0.25"/>
    <row r="156" spans="1:5" ht="12.75" customHeight="1" x14ac:dyDescent="0.25"/>
    <row r="157" spans="1:5" ht="12.75" customHeight="1" x14ac:dyDescent="0.25"/>
    <row r="158" spans="1:5" ht="12.75" customHeight="1" x14ac:dyDescent="0.25"/>
  </sheetData>
  <mergeCells count="10">
    <mergeCell ref="A1:E1"/>
    <mergeCell ref="A3:A4"/>
    <mergeCell ref="B3:B4"/>
    <mergeCell ref="D3:E3"/>
    <mergeCell ref="C3:C4"/>
    <mergeCell ref="A88:E88"/>
    <mergeCell ref="A90:A91"/>
    <mergeCell ref="B90:B91"/>
    <mergeCell ref="D90:E90"/>
    <mergeCell ref="C90:C91"/>
  </mergeCells>
  <phoneticPr fontId="22" type="noConversion"/>
  <printOptions horizontalCentered="1"/>
  <pageMargins left="0.78740157480314965" right="0.78740157480314965" top="1.4566929133858268" bottom="0.86614173228346458" header="0.78740157480314965" footer="0.59055118110236227"/>
  <pageSetup paperSize="9" scale="61" fitToHeight="2" orientation="portrait" r:id="rId1"/>
  <headerFooter alignWithMargins="0">
    <oddHeader>&amp;C&amp;"Times New Roman CE,Félkövér"&amp;12
Tiszavasvári Város Önkormányzata
2016. ÉVI ZÁRSZÁMADÁSÁNAK PÉNZÜGYI MÉRLEGE&amp;10
&amp;R&amp;"Times New Roman CE,Félkövér dőlt"&amp;11 9. tájékoztató tábla a 12/2018. (V.31.) önkormányzati rendelethez</oddHeader>
  </headerFooter>
  <rowBreaks count="1" manualBreakCount="1">
    <brk id="87" max="5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theme="3"/>
    <pageSetUpPr fitToPage="1"/>
  </sheetPr>
  <dimension ref="A1:I20"/>
  <sheetViews>
    <sheetView tabSelected="1" zoomScaleNormal="100" workbookViewId="0">
      <selection activeCell="I1" sqref="I1:I19"/>
    </sheetView>
  </sheetViews>
  <sheetFormatPr defaultColWidth="8" defaultRowHeight="12.75" x14ac:dyDescent="0.2"/>
  <cols>
    <col min="1" max="1" width="5.85546875" style="658" customWidth="1"/>
    <col min="2" max="2" width="43.140625" style="648" customWidth="1"/>
    <col min="3" max="5" width="11" style="648" customWidth="1"/>
    <col min="6" max="6" width="11.85546875" style="648" customWidth="1"/>
    <col min="7" max="7" width="13.28515625" style="648" customWidth="1"/>
    <col min="8" max="8" width="14.42578125" style="648" customWidth="1"/>
    <col min="9" max="9" width="4.85546875" style="648" customWidth="1"/>
    <col min="10" max="16384" width="8" style="648"/>
  </cols>
  <sheetData>
    <row r="1" spans="1:9" s="630" customFormat="1" ht="15.75" thickBot="1" x14ac:dyDescent="0.25">
      <c r="A1" s="1099" t="s">
        <v>237</v>
      </c>
      <c r="B1" s="1099"/>
      <c r="C1" s="1099"/>
      <c r="D1" s="1099"/>
      <c r="E1" s="1099"/>
      <c r="F1" s="1099"/>
      <c r="G1" s="1099"/>
      <c r="H1" s="631" t="s">
        <v>501</v>
      </c>
      <c r="I1" s="1088" t="s">
        <v>947</v>
      </c>
    </row>
    <row r="2" spans="1:9" s="632" customFormat="1" ht="26.25" customHeight="1" x14ac:dyDescent="0.2">
      <c r="A2" s="1091" t="s">
        <v>405</v>
      </c>
      <c r="B2" s="1093" t="s">
        <v>170</v>
      </c>
      <c r="C2" s="1091" t="s">
        <v>171</v>
      </c>
      <c r="D2" s="1091" t="s">
        <v>172</v>
      </c>
      <c r="E2" s="1095" t="s">
        <v>849</v>
      </c>
      <c r="F2" s="1097" t="s">
        <v>173</v>
      </c>
      <c r="G2" s="1098"/>
      <c r="H2" s="1089" t="s">
        <v>584</v>
      </c>
      <c r="I2" s="1088"/>
    </row>
    <row r="3" spans="1:9" s="635" customFormat="1" ht="40.5" customHeight="1" thickBot="1" x14ac:dyDescent="0.25">
      <c r="A3" s="1092"/>
      <c r="B3" s="1094"/>
      <c r="C3" s="1094"/>
      <c r="D3" s="1092"/>
      <c r="E3" s="1096"/>
      <c r="F3" s="633">
        <v>2018</v>
      </c>
      <c r="G3" s="634">
        <v>2019</v>
      </c>
      <c r="H3" s="1090"/>
      <c r="I3" s="1088"/>
    </row>
    <row r="4" spans="1:9" s="640" customFormat="1" ht="12.95" customHeight="1" thickBot="1" x14ac:dyDescent="0.25">
      <c r="A4" s="636" t="s">
        <v>457</v>
      </c>
      <c r="B4" s="637" t="s">
        <v>458</v>
      </c>
      <c r="C4" s="637" t="s">
        <v>459</v>
      </c>
      <c r="D4" s="638" t="s">
        <v>460</v>
      </c>
      <c r="E4" s="636" t="s">
        <v>461</v>
      </c>
      <c r="F4" s="638" t="s">
        <v>649</v>
      </c>
      <c r="G4" s="638" t="s">
        <v>650</v>
      </c>
      <c r="H4" s="639" t="s">
        <v>651</v>
      </c>
      <c r="I4" s="1088"/>
    </row>
    <row r="5" spans="1:9" ht="22.5" customHeight="1" thickBot="1" x14ac:dyDescent="0.25">
      <c r="A5" s="641" t="s">
        <v>235</v>
      </c>
      <c r="B5" s="642" t="s">
        <v>174</v>
      </c>
      <c r="C5" s="643"/>
      <c r="D5" s="644"/>
      <c r="E5" s="645">
        <f>SUM(E6:E11)</f>
        <v>0</v>
      </c>
      <c r="F5" s="646">
        <f>SUM(F6:F11)</f>
        <v>0</v>
      </c>
      <c r="G5" s="646">
        <f>SUM(G6:G11)</f>
        <v>0</v>
      </c>
      <c r="H5" s="647">
        <f>SUM(H6:H11)</f>
        <v>0</v>
      </c>
      <c r="I5" s="1088"/>
    </row>
    <row r="6" spans="1:9" ht="22.5" customHeight="1" x14ac:dyDescent="0.2">
      <c r="A6" s="649" t="s">
        <v>243</v>
      </c>
      <c r="B6" s="650" t="s">
        <v>751</v>
      </c>
      <c r="C6" s="651"/>
      <c r="D6" s="652"/>
      <c r="E6" s="653"/>
      <c r="F6" s="654"/>
      <c r="G6" s="654"/>
      <c r="H6" s="655"/>
      <c r="I6" s="1088"/>
    </row>
    <row r="7" spans="1:9" ht="22.5" customHeight="1" x14ac:dyDescent="0.2">
      <c r="A7" s="649" t="s">
        <v>244</v>
      </c>
      <c r="B7" s="650" t="s">
        <v>751</v>
      </c>
      <c r="C7" s="651"/>
      <c r="D7" s="652"/>
      <c r="E7" s="653"/>
      <c r="F7" s="654"/>
      <c r="G7" s="654"/>
      <c r="H7" s="655"/>
      <c r="I7" s="1088"/>
    </row>
    <row r="8" spans="1:9" ht="22.5" customHeight="1" x14ac:dyDescent="0.2">
      <c r="A8" s="649" t="s">
        <v>245</v>
      </c>
      <c r="B8" s="650" t="s">
        <v>751</v>
      </c>
      <c r="C8" s="651"/>
      <c r="D8" s="652"/>
      <c r="E8" s="653"/>
      <c r="F8" s="654"/>
      <c r="G8" s="654"/>
      <c r="H8" s="655"/>
      <c r="I8" s="1088"/>
    </row>
    <row r="9" spans="1:9" ht="22.5" customHeight="1" x14ac:dyDescent="0.2">
      <c r="A9" s="649" t="s">
        <v>246</v>
      </c>
      <c r="B9" s="650" t="s">
        <v>751</v>
      </c>
      <c r="C9" s="651"/>
      <c r="D9" s="652"/>
      <c r="E9" s="653"/>
      <c r="F9" s="654"/>
      <c r="G9" s="654"/>
      <c r="H9" s="655"/>
      <c r="I9" s="1088"/>
    </row>
    <row r="10" spans="1:9" ht="22.5" customHeight="1" x14ac:dyDescent="0.2">
      <c r="A10" s="649" t="s">
        <v>249</v>
      </c>
      <c r="B10" s="650" t="s">
        <v>751</v>
      </c>
      <c r="C10" s="651"/>
      <c r="D10" s="652"/>
      <c r="E10" s="653"/>
      <c r="F10" s="654"/>
      <c r="G10" s="654"/>
      <c r="H10" s="655"/>
      <c r="I10" s="1088"/>
    </row>
    <row r="11" spans="1:9" ht="22.5" customHeight="1" thickBot="1" x14ac:dyDescent="0.25">
      <c r="A11" s="649" t="s">
        <v>250</v>
      </c>
      <c r="B11" s="650" t="s">
        <v>751</v>
      </c>
      <c r="C11" s="651"/>
      <c r="D11" s="652"/>
      <c r="E11" s="653"/>
      <c r="F11" s="654"/>
      <c r="G11" s="654"/>
      <c r="H11" s="655"/>
      <c r="I11" s="1088"/>
    </row>
    <row r="12" spans="1:9" ht="22.5" customHeight="1" thickBot="1" x14ac:dyDescent="0.25">
      <c r="A12" s="641" t="s">
        <v>251</v>
      </c>
      <c r="B12" s="642" t="s">
        <v>175</v>
      </c>
      <c r="C12" s="656"/>
      <c r="D12" s="657"/>
      <c r="E12" s="645">
        <f>SUM(E13:E18)</f>
        <v>0</v>
      </c>
      <c r="F12" s="646">
        <f>SUM(F13:F18)</f>
        <v>0</v>
      </c>
      <c r="G12" s="646">
        <f>SUM(G13:G18)</f>
        <v>0</v>
      </c>
      <c r="H12" s="647">
        <f>SUM(H13:H18)</f>
        <v>0</v>
      </c>
      <c r="I12" s="1088"/>
    </row>
    <row r="13" spans="1:9" ht="22.5" customHeight="1" x14ac:dyDescent="0.2">
      <c r="A13" s="649" t="s">
        <v>252</v>
      </c>
      <c r="B13" s="650" t="s">
        <v>751</v>
      </c>
      <c r="C13" s="651"/>
      <c r="D13" s="652"/>
      <c r="E13" s="653"/>
      <c r="F13" s="654"/>
      <c r="G13" s="654"/>
      <c r="H13" s="655"/>
      <c r="I13" s="1088"/>
    </row>
    <row r="14" spans="1:9" ht="22.5" customHeight="1" x14ac:dyDescent="0.2">
      <c r="A14" s="649" t="s">
        <v>253</v>
      </c>
      <c r="B14" s="650" t="s">
        <v>751</v>
      </c>
      <c r="C14" s="651"/>
      <c r="D14" s="652"/>
      <c r="E14" s="653"/>
      <c r="F14" s="654"/>
      <c r="G14" s="654"/>
      <c r="H14" s="655"/>
      <c r="I14" s="1088"/>
    </row>
    <row r="15" spans="1:9" ht="22.5" customHeight="1" x14ac:dyDescent="0.2">
      <c r="A15" s="649" t="s">
        <v>254</v>
      </c>
      <c r="B15" s="650" t="s">
        <v>751</v>
      </c>
      <c r="C15" s="651"/>
      <c r="D15" s="652"/>
      <c r="E15" s="653"/>
      <c r="F15" s="654"/>
      <c r="G15" s="654"/>
      <c r="H15" s="655"/>
      <c r="I15" s="1088"/>
    </row>
    <row r="16" spans="1:9" ht="22.5" customHeight="1" x14ac:dyDescent="0.2">
      <c r="A16" s="649" t="s">
        <v>255</v>
      </c>
      <c r="B16" s="650" t="s">
        <v>751</v>
      </c>
      <c r="C16" s="651"/>
      <c r="D16" s="652"/>
      <c r="E16" s="653"/>
      <c r="F16" s="654"/>
      <c r="G16" s="654"/>
      <c r="H16" s="655"/>
      <c r="I16" s="1088"/>
    </row>
    <row r="17" spans="1:9" ht="22.5" customHeight="1" x14ac:dyDescent="0.2">
      <c r="A17" s="649" t="s">
        <v>256</v>
      </c>
      <c r="B17" s="650" t="s">
        <v>751</v>
      </c>
      <c r="C17" s="651"/>
      <c r="D17" s="652"/>
      <c r="E17" s="653"/>
      <c r="F17" s="654"/>
      <c r="G17" s="654"/>
      <c r="H17" s="655"/>
      <c r="I17" s="1088"/>
    </row>
    <row r="18" spans="1:9" ht="22.5" customHeight="1" thickBot="1" x14ac:dyDescent="0.25">
      <c r="A18" s="649" t="s">
        <v>259</v>
      </c>
      <c r="B18" s="650" t="s">
        <v>751</v>
      </c>
      <c r="C18" s="651"/>
      <c r="D18" s="652"/>
      <c r="E18" s="653"/>
      <c r="F18" s="654"/>
      <c r="G18" s="654"/>
      <c r="H18" s="655"/>
      <c r="I18" s="1088"/>
    </row>
    <row r="19" spans="1:9" ht="22.5" customHeight="1" thickBot="1" x14ac:dyDescent="0.25">
      <c r="A19" s="641" t="s">
        <v>260</v>
      </c>
      <c r="B19" s="642" t="s">
        <v>176</v>
      </c>
      <c r="C19" s="643"/>
      <c r="D19" s="644"/>
      <c r="E19" s="645">
        <f>E5+E12</f>
        <v>0</v>
      </c>
      <c r="F19" s="646">
        <f>F5+F12</f>
        <v>0</v>
      </c>
      <c r="G19" s="646">
        <f>G5+G12</f>
        <v>0</v>
      </c>
      <c r="H19" s="647">
        <f>H5+H12</f>
        <v>0</v>
      </c>
      <c r="I19" s="1088"/>
    </row>
    <row r="20" spans="1:9" ht="20.100000000000001" customHeight="1" x14ac:dyDescent="0.2"/>
  </sheetData>
  <mergeCells count="9">
    <mergeCell ref="I1:I19"/>
    <mergeCell ref="H2:H3"/>
    <mergeCell ref="A2:A3"/>
    <mergeCell ref="B2:B3"/>
    <mergeCell ref="C2:C3"/>
    <mergeCell ref="D2:D3"/>
    <mergeCell ref="E2:E3"/>
    <mergeCell ref="F2:G2"/>
    <mergeCell ref="A1:G1"/>
  </mergeCells>
  <phoneticPr fontId="22" type="noConversion"/>
  <printOptions horizontalCentered="1"/>
  <pageMargins left="0.78740157480314965" right="0.78740157480314965" top="1.5748031496062993" bottom="0.98425196850393704" header="0.78740157480314965" footer="0.78740157480314965"/>
  <pageSetup paperSize="9" scale="98" orientation="landscape" verticalDpi="300" r:id="rId1"/>
  <headerFooter alignWithMargins="0">
    <oddHeader>&amp;C&amp;"Times New Roman CE,Félkövér"&amp;12
Az önkormányzat által nyújtott hitel és kölcsön alakulása
 lejárat és eszközök szerinti bontásban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3"/>
    <pageSetUpPr fitToPage="1"/>
  </sheetPr>
  <dimension ref="A1:H39"/>
  <sheetViews>
    <sheetView zoomScaleNormal="100" workbookViewId="0">
      <selection activeCell="H1" sqref="H1:H30"/>
    </sheetView>
  </sheetViews>
  <sheetFormatPr defaultColWidth="8" defaultRowHeight="12.75" x14ac:dyDescent="0.2"/>
  <cols>
    <col min="1" max="1" width="36.140625" style="177" customWidth="1"/>
    <col min="2" max="7" width="13.42578125" style="161" customWidth="1"/>
    <col min="8" max="8" width="4.42578125" style="161" customWidth="1"/>
    <col min="9" max="12" width="8" style="161"/>
    <col min="13" max="13" width="8.7109375" style="161" bestFit="1" customWidth="1"/>
    <col min="14" max="16384" width="8" style="161"/>
  </cols>
  <sheetData>
    <row r="1" spans="1:8" ht="18" customHeight="1" x14ac:dyDescent="0.2">
      <c r="A1" s="948" t="s">
        <v>677</v>
      </c>
      <c r="B1" s="948"/>
      <c r="C1" s="948"/>
      <c r="D1" s="948"/>
      <c r="E1" s="948"/>
      <c r="F1" s="948"/>
      <c r="G1" s="948"/>
      <c r="H1" s="949" t="s">
        <v>927</v>
      </c>
    </row>
    <row r="2" spans="1:8" ht="22.5" customHeight="1" thickBot="1" x14ac:dyDescent="0.3">
      <c r="A2" s="96"/>
      <c r="B2" s="950" t="s">
        <v>808</v>
      </c>
      <c r="C2" s="950"/>
      <c r="D2" s="950"/>
      <c r="E2" s="950"/>
      <c r="F2" s="947" t="s">
        <v>501</v>
      </c>
      <c r="G2" s="947"/>
      <c r="H2" s="949"/>
    </row>
    <row r="3" spans="1:8" s="164" customFormat="1" ht="50.25" customHeight="1" thickBot="1" x14ac:dyDescent="0.25">
      <c r="A3" s="101" t="s">
        <v>678</v>
      </c>
      <c r="B3" s="102" t="s">
        <v>679</v>
      </c>
      <c r="C3" s="102" t="s">
        <v>680</v>
      </c>
      <c r="D3" s="102" t="s">
        <v>809</v>
      </c>
      <c r="E3" s="102" t="s">
        <v>782</v>
      </c>
      <c r="F3" s="162" t="s">
        <v>780</v>
      </c>
      <c r="G3" s="163" t="s">
        <v>810</v>
      </c>
      <c r="H3" s="949"/>
    </row>
    <row r="4" spans="1:8" s="95" customFormat="1" ht="12" customHeight="1" thickBot="1" x14ac:dyDescent="0.25">
      <c r="A4" s="165" t="s">
        <v>457</v>
      </c>
      <c r="B4" s="166" t="s">
        <v>458</v>
      </c>
      <c r="C4" s="166" t="s">
        <v>459</v>
      </c>
      <c r="D4" s="166" t="s">
        <v>460</v>
      </c>
      <c r="E4" s="166" t="s">
        <v>461</v>
      </c>
      <c r="F4" s="167" t="s">
        <v>649</v>
      </c>
      <c r="G4" s="168" t="s">
        <v>681</v>
      </c>
      <c r="H4" s="949"/>
    </row>
    <row r="5" spans="1:8" ht="27" customHeight="1" x14ac:dyDescent="0.2">
      <c r="A5" s="745" t="s">
        <v>784</v>
      </c>
      <c r="B5" s="746">
        <v>42000</v>
      </c>
      <c r="C5" s="668" t="s">
        <v>861</v>
      </c>
      <c r="D5" s="829" t="s">
        <v>858</v>
      </c>
      <c r="E5" s="667">
        <v>42000</v>
      </c>
      <c r="F5" s="170">
        <v>42000</v>
      </c>
      <c r="G5" s="845">
        <f t="shared" ref="G5:G29" si="0">+D5+F5</f>
        <v>42000</v>
      </c>
      <c r="H5" s="949"/>
    </row>
    <row r="6" spans="1:8" ht="16.5" customHeight="1" x14ac:dyDescent="0.2">
      <c r="A6" s="749" t="s">
        <v>785</v>
      </c>
      <c r="B6" s="746">
        <v>13695300</v>
      </c>
      <c r="C6" s="668" t="s">
        <v>861</v>
      </c>
      <c r="D6" s="667"/>
      <c r="E6" s="667">
        <v>13695300</v>
      </c>
      <c r="F6" s="170">
        <f>13488386+202692</f>
        <v>13691078</v>
      </c>
      <c r="G6" s="729">
        <f t="shared" si="0"/>
        <v>13691078</v>
      </c>
      <c r="H6" s="949"/>
    </row>
    <row r="7" spans="1:8" ht="15" customHeight="1" x14ac:dyDescent="0.2">
      <c r="A7" s="747" t="s">
        <v>786</v>
      </c>
      <c r="B7" s="746"/>
      <c r="C7" s="748"/>
      <c r="D7" s="667"/>
      <c r="E7" s="667"/>
      <c r="F7" s="170"/>
      <c r="G7" s="729">
        <f t="shared" si="0"/>
        <v>0</v>
      </c>
      <c r="H7" s="949"/>
    </row>
    <row r="8" spans="1:8" ht="15.95" customHeight="1" x14ac:dyDescent="0.2">
      <c r="A8" s="749" t="s">
        <v>787</v>
      </c>
      <c r="B8" s="746">
        <v>709000</v>
      </c>
      <c r="C8" s="668" t="s">
        <v>861</v>
      </c>
      <c r="D8" s="829" t="s">
        <v>858</v>
      </c>
      <c r="E8" s="667">
        <v>709000</v>
      </c>
      <c r="F8" s="170">
        <f>192926+444995</f>
        <v>637921</v>
      </c>
      <c r="G8" s="729">
        <f t="shared" si="0"/>
        <v>637921</v>
      </c>
      <c r="H8" s="949"/>
    </row>
    <row r="9" spans="1:8" ht="15.95" customHeight="1" x14ac:dyDescent="0.2">
      <c r="A9" s="750" t="s">
        <v>788</v>
      </c>
      <c r="B9" s="751">
        <v>828000</v>
      </c>
      <c r="C9" s="748" t="s">
        <v>861</v>
      </c>
      <c r="D9" s="836" t="s">
        <v>858</v>
      </c>
      <c r="E9" s="752">
        <v>828000</v>
      </c>
      <c r="F9" s="170">
        <f>101970+23400</f>
        <v>125370</v>
      </c>
      <c r="G9" s="729">
        <f t="shared" si="0"/>
        <v>125370</v>
      </c>
      <c r="H9" s="949"/>
    </row>
    <row r="10" spans="1:8" ht="15.95" customHeight="1" x14ac:dyDescent="0.2">
      <c r="A10" s="753" t="s">
        <v>789</v>
      </c>
      <c r="B10" s="754">
        <v>136000</v>
      </c>
      <c r="C10" s="748" t="s">
        <v>861</v>
      </c>
      <c r="D10" s="830" t="s">
        <v>858</v>
      </c>
      <c r="E10" s="566">
        <v>136000</v>
      </c>
      <c r="F10" s="170">
        <v>95795</v>
      </c>
      <c r="G10" s="729">
        <f t="shared" si="0"/>
        <v>95795</v>
      </c>
      <c r="H10" s="949"/>
    </row>
    <row r="11" spans="1:8" ht="20.25" customHeight="1" x14ac:dyDescent="0.2">
      <c r="A11" s="753" t="s">
        <v>790</v>
      </c>
      <c r="B11" s="754">
        <v>90200</v>
      </c>
      <c r="C11" s="748" t="s">
        <v>861</v>
      </c>
      <c r="D11" s="830" t="s">
        <v>858</v>
      </c>
      <c r="E11" s="566">
        <v>90200</v>
      </c>
      <c r="F11" s="170">
        <v>90000</v>
      </c>
      <c r="G11" s="729">
        <f t="shared" si="0"/>
        <v>90000</v>
      </c>
      <c r="H11" s="949"/>
    </row>
    <row r="12" spans="1:8" ht="20.25" customHeight="1" x14ac:dyDescent="0.2">
      <c r="A12" s="764" t="s">
        <v>791</v>
      </c>
      <c r="B12" s="754">
        <v>436000</v>
      </c>
      <c r="C12" s="748" t="s">
        <v>861</v>
      </c>
      <c r="D12" s="830" t="s">
        <v>858</v>
      </c>
      <c r="E12" s="566">
        <v>436000</v>
      </c>
      <c r="F12" s="170">
        <v>45711</v>
      </c>
      <c r="G12" s="729">
        <f t="shared" si="0"/>
        <v>45711</v>
      </c>
      <c r="H12" s="949"/>
    </row>
    <row r="13" spans="1:8" ht="21.75" customHeight="1" x14ac:dyDescent="0.2">
      <c r="A13" s="745" t="s">
        <v>792</v>
      </c>
      <c r="B13" s="746">
        <v>1524000</v>
      </c>
      <c r="C13" s="668" t="s">
        <v>861</v>
      </c>
      <c r="D13" s="829" t="s">
        <v>858</v>
      </c>
      <c r="E13" s="667">
        <v>1524000</v>
      </c>
      <c r="F13" s="170">
        <v>444500</v>
      </c>
      <c r="G13" s="729">
        <f t="shared" si="0"/>
        <v>444500</v>
      </c>
      <c r="H13" s="949"/>
    </row>
    <row r="14" spans="1:8" ht="15.95" customHeight="1" x14ac:dyDescent="0.2">
      <c r="A14" s="755" t="s">
        <v>793</v>
      </c>
      <c r="B14" s="754">
        <v>307344</v>
      </c>
      <c r="C14" s="748" t="s">
        <v>861</v>
      </c>
      <c r="D14" s="830" t="s">
        <v>858</v>
      </c>
      <c r="E14" s="566">
        <v>307344</v>
      </c>
      <c r="F14" s="170">
        <v>296537</v>
      </c>
      <c r="G14" s="729">
        <f t="shared" si="0"/>
        <v>296537</v>
      </c>
      <c r="H14" s="949"/>
    </row>
    <row r="15" spans="1:8" ht="15.95" customHeight="1" x14ac:dyDescent="0.2">
      <c r="A15" s="755" t="s">
        <v>862</v>
      </c>
      <c r="B15" s="754"/>
      <c r="C15" s="748"/>
      <c r="D15" s="566"/>
      <c r="E15" s="566"/>
      <c r="F15" s="170">
        <f>254000+70000</f>
        <v>324000</v>
      </c>
      <c r="G15" s="729">
        <f t="shared" si="0"/>
        <v>324000</v>
      </c>
      <c r="H15" s="949"/>
    </row>
    <row r="16" spans="1:8" ht="15.95" customHeight="1" x14ac:dyDescent="0.2">
      <c r="A16" s="755" t="s">
        <v>794</v>
      </c>
      <c r="B16" s="754">
        <v>77000</v>
      </c>
      <c r="C16" s="748" t="s">
        <v>861</v>
      </c>
      <c r="D16" s="830" t="s">
        <v>858</v>
      </c>
      <c r="E16" s="566">
        <v>77000</v>
      </c>
      <c r="F16" s="170">
        <v>76200</v>
      </c>
      <c r="G16" s="729">
        <f t="shared" si="0"/>
        <v>76200</v>
      </c>
      <c r="H16" s="949"/>
    </row>
    <row r="17" spans="1:8" ht="22.5" customHeight="1" x14ac:dyDescent="0.2">
      <c r="A17" s="755" t="s">
        <v>795</v>
      </c>
      <c r="B17" s="756">
        <v>349250</v>
      </c>
      <c r="C17" s="748" t="s">
        <v>861</v>
      </c>
      <c r="D17" s="830" t="s">
        <v>858</v>
      </c>
      <c r="E17" s="566">
        <v>349250</v>
      </c>
      <c r="F17" s="170">
        <f>112360+25000</f>
        <v>137360</v>
      </c>
      <c r="G17" s="729">
        <f t="shared" si="0"/>
        <v>137360</v>
      </c>
      <c r="H17" s="949"/>
    </row>
    <row r="18" spans="1:8" ht="15.95" customHeight="1" x14ac:dyDescent="0.2">
      <c r="A18" s="755" t="s">
        <v>796</v>
      </c>
      <c r="B18" s="756">
        <v>2160000</v>
      </c>
      <c r="C18" s="748" t="s">
        <v>861</v>
      </c>
      <c r="D18" s="830" t="s">
        <v>858</v>
      </c>
      <c r="E18" s="566">
        <v>2160000</v>
      </c>
      <c r="F18" s="170">
        <v>2160000</v>
      </c>
      <c r="G18" s="729">
        <f t="shared" si="0"/>
        <v>2160000</v>
      </c>
      <c r="H18" s="949"/>
    </row>
    <row r="19" spans="1:8" ht="15.95" customHeight="1" x14ac:dyDescent="0.2">
      <c r="A19" s="755" t="s">
        <v>797</v>
      </c>
      <c r="B19" s="756">
        <v>58751207</v>
      </c>
      <c r="C19" s="748" t="s">
        <v>861</v>
      </c>
      <c r="D19" s="830" t="s">
        <v>858</v>
      </c>
      <c r="E19" s="566">
        <v>58751207</v>
      </c>
      <c r="F19" s="170">
        <f>254000+1016000+1270000+1231900+327939+327939</f>
        <v>4427778</v>
      </c>
      <c r="G19" s="729">
        <f t="shared" si="0"/>
        <v>4427778</v>
      </c>
      <c r="H19" s="949"/>
    </row>
    <row r="20" spans="1:8" ht="20.25" customHeight="1" x14ac:dyDescent="0.2">
      <c r="A20" s="755" t="s">
        <v>798</v>
      </c>
      <c r="B20" s="756">
        <v>800000</v>
      </c>
      <c r="C20" s="748" t="s">
        <v>861</v>
      </c>
      <c r="D20" s="830" t="s">
        <v>858</v>
      </c>
      <c r="E20" s="566">
        <v>800000</v>
      </c>
      <c r="F20" s="170">
        <v>500000</v>
      </c>
      <c r="G20" s="729">
        <f t="shared" si="0"/>
        <v>500000</v>
      </c>
      <c r="H20" s="949"/>
    </row>
    <row r="21" spans="1:8" ht="15.95" customHeight="1" x14ac:dyDescent="0.2">
      <c r="A21" s="755" t="s">
        <v>799</v>
      </c>
      <c r="B21" s="757">
        <v>2013845</v>
      </c>
      <c r="C21" s="758" t="s">
        <v>861</v>
      </c>
      <c r="D21" s="831" t="s">
        <v>858</v>
      </c>
      <c r="E21" s="759">
        <v>2013845</v>
      </c>
      <c r="F21" s="170">
        <f>440000+25000+13200+123996+8800+8000+33500+17500+22000+11900</f>
        <v>703896</v>
      </c>
      <c r="G21" s="729">
        <f t="shared" si="0"/>
        <v>703896</v>
      </c>
      <c r="H21" s="949"/>
    </row>
    <row r="22" spans="1:8" ht="22.5" customHeight="1" x14ac:dyDescent="0.2">
      <c r="A22" s="760" t="s">
        <v>800</v>
      </c>
      <c r="B22" s="757">
        <v>370002</v>
      </c>
      <c r="C22" s="758" t="s">
        <v>861</v>
      </c>
      <c r="D22" s="831" t="s">
        <v>858</v>
      </c>
      <c r="E22" s="759">
        <v>370002</v>
      </c>
      <c r="F22" s="170">
        <v>370000</v>
      </c>
      <c r="G22" s="729">
        <f t="shared" si="0"/>
        <v>370000</v>
      </c>
      <c r="H22" s="949"/>
    </row>
    <row r="23" spans="1:8" ht="16.5" customHeight="1" x14ac:dyDescent="0.2">
      <c r="A23" s="755" t="s">
        <v>801</v>
      </c>
      <c r="B23" s="756">
        <v>490000</v>
      </c>
      <c r="C23" s="748" t="s">
        <v>861</v>
      </c>
      <c r="D23" s="830" t="s">
        <v>858</v>
      </c>
      <c r="E23" s="566">
        <v>490000</v>
      </c>
      <c r="F23" s="170">
        <v>490000</v>
      </c>
      <c r="G23" s="729">
        <f t="shared" si="0"/>
        <v>490000</v>
      </c>
      <c r="H23" s="949"/>
    </row>
    <row r="24" spans="1:8" ht="14.25" customHeight="1" x14ac:dyDescent="0.2">
      <c r="A24" s="755" t="s">
        <v>802</v>
      </c>
      <c r="B24" s="756">
        <v>98000</v>
      </c>
      <c r="C24" s="748" t="s">
        <v>861</v>
      </c>
      <c r="D24" s="830" t="s">
        <v>858</v>
      </c>
      <c r="E24" s="566">
        <v>98000</v>
      </c>
      <c r="F24" s="170">
        <f>13250+84167</f>
        <v>97417</v>
      </c>
      <c r="G24" s="729">
        <f t="shared" si="0"/>
        <v>97417</v>
      </c>
      <c r="H24" s="949"/>
    </row>
    <row r="25" spans="1:8" ht="18" customHeight="1" x14ac:dyDescent="0.2">
      <c r="A25" s="755" t="s">
        <v>803</v>
      </c>
      <c r="B25" s="756">
        <v>279000</v>
      </c>
      <c r="C25" s="748" t="s">
        <v>861</v>
      </c>
      <c r="D25" s="830" t="s">
        <v>858</v>
      </c>
      <c r="E25" s="566">
        <v>279000</v>
      </c>
      <c r="F25" s="170">
        <v>279000</v>
      </c>
      <c r="G25" s="729">
        <f t="shared" si="0"/>
        <v>279000</v>
      </c>
      <c r="H25" s="949"/>
    </row>
    <row r="26" spans="1:8" ht="14.25" customHeight="1" x14ac:dyDescent="0.2">
      <c r="A26" s="755" t="s">
        <v>804</v>
      </c>
      <c r="B26" s="756">
        <v>150000</v>
      </c>
      <c r="C26" s="748" t="s">
        <v>861</v>
      </c>
      <c r="D26" s="830" t="s">
        <v>858</v>
      </c>
      <c r="E26" s="566">
        <v>150000</v>
      </c>
      <c r="F26" s="170">
        <v>150000</v>
      </c>
      <c r="G26" s="729">
        <f t="shared" si="0"/>
        <v>150000</v>
      </c>
      <c r="H26" s="949"/>
    </row>
    <row r="27" spans="1:8" ht="16.5" customHeight="1" x14ac:dyDescent="0.2">
      <c r="A27" s="755" t="s">
        <v>805</v>
      </c>
      <c r="B27" s="756">
        <v>91500</v>
      </c>
      <c r="C27" s="748" t="s">
        <v>861</v>
      </c>
      <c r="D27" s="830" t="s">
        <v>858</v>
      </c>
      <c r="E27" s="566">
        <v>91500</v>
      </c>
      <c r="F27" s="170"/>
      <c r="G27" s="729">
        <f t="shared" si="0"/>
        <v>0</v>
      </c>
      <c r="H27" s="949"/>
    </row>
    <row r="28" spans="1:8" ht="15.75" customHeight="1" x14ac:dyDescent="0.2">
      <c r="A28" s="755" t="s">
        <v>806</v>
      </c>
      <c r="B28" s="756">
        <v>482600</v>
      </c>
      <c r="C28" s="748" t="s">
        <v>861</v>
      </c>
      <c r="D28" s="830" t="s">
        <v>858</v>
      </c>
      <c r="E28" s="566">
        <v>482600</v>
      </c>
      <c r="F28" s="170">
        <f>91500+26900+26900+27500+53800</f>
        <v>226600</v>
      </c>
      <c r="G28" s="729">
        <f t="shared" si="0"/>
        <v>226600</v>
      </c>
      <c r="H28" s="949"/>
    </row>
    <row r="29" spans="1:8" ht="13.5" thickBot="1" x14ac:dyDescent="0.25">
      <c r="A29" s="765" t="s">
        <v>807</v>
      </c>
      <c r="B29" s="761">
        <v>779800</v>
      </c>
      <c r="C29" s="762" t="s">
        <v>861</v>
      </c>
      <c r="D29" s="844" t="s">
        <v>858</v>
      </c>
      <c r="E29" s="763">
        <v>779800</v>
      </c>
      <c r="F29" s="766">
        <f>125000+11700+13400+12000+14000+87990</f>
        <v>264090</v>
      </c>
      <c r="G29" s="767">
        <f t="shared" si="0"/>
        <v>264090</v>
      </c>
      <c r="H29" s="949"/>
    </row>
    <row r="30" spans="1:8" s="176" customFormat="1" ht="18" customHeight="1" thickBot="1" x14ac:dyDescent="0.25">
      <c r="A30" s="172" t="s">
        <v>234</v>
      </c>
      <c r="B30" s="173">
        <f>SUM(B5:B29)</f>
        <v>84660048</v>
      </c>
      <c r="C30" s="174"/>
      <c r="D30" s="173">
        <f>SUM(D5:D29)</f>
        <v>0</v>
      </c>
      <c r="E30" s="173">
        <f>SUM(E5:E29)</f>
        <v>84660048</v>
      </c>
      <c r="F30" s="173">
        <f>SUM(F5:F29)</f>
        <v>25675253</v>
      </c>
      <c r="G30" s="175">
        <f>SUM(G5:G29)</f>
        <v>25675253</v>
      </c>
      <c r="H30" s="949"/>
    </row>
    <row r="31" spans="1:8" x14ac:dyDescent="0.2">
      <c r="F31" s="176"/>
      <c r="G31" s="176"/>
      <c r="H31" s="178"/>
    </row>
    <row r="32" spans="1:8" x14ac:dyDescent="0.2">
      <c r="H32" s="178"/>
    </row>
    <row r="33" spans="4:8" x14ac:dyDescent="0.2">
      <c r="D33" s="663"/>
      <c r="F33" s="573"/>
      <c r="H33" s="178"/>
    </row>
    <row r="34" spans="4:8" x14ac:dyDescent="0.2">
      <c r="H34" s="178"/>
    </row>
    <row r="35" spans="4:8" x14ac:dyDescent="0.2">
      <c r="H35" s="178"/>
    </row>
    <row r="36" spans="4:8" x14ac:dyDescent="0.2">
      <c r="H36" s="178"/>
    </row>
    <row r="37" spans="4:8" x14ac:dyDescent="0.2">
      <c r="H37" s="178"/>
    </row>
    <row r="38" spans="4:8" x14ac:dyDescent="0.2">
      <c r="H38" s="178"/>
    </row>
    <row r="39" spans="4:8" x14ac:dyDescent="0.2">
      <c r="H39" s="178"/>
    </row>
  </sheetData>
  <mergeCells count="4">
    <mergeCell ref="F2:G2"/>
    <mergeCell ref="A1:G1"/>
    <mergeCell ref="H1:H30"/>
    <mergeCell ref="B2:E2"/>
  </mergeCells>
  <phoneticPr fontId="21" type="noConversion"/>
  <printOptions horizontalCentered="1"/>
  <pageMargins left="0.78740157480314965" right="0.78740157480314965" top="1" bottom="0.98425196850393704" header="0.78740157480314965" footer="0.78740157480314965"/>
  <pageSetup paperSize="9" scale="71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F44"/>
  <sheetViews>
    <sheetView view="pageLayout" topLeftCell="B1" zoomScaleNormal="70" workbookViewId="0">
      <selection activeCell="L11" sqref="L11"/>
    </sheetView>
  </sheetViews>
  <sheetFormatPr defaultColWidth="8" defaultRowHeight="12.75" x14ac:dyDescent="0.2"/>
  <cols>
    <col min="1" max="1" width="38.140625" style="177" customWidth="1"/>
    <col min="2" max="2" width="13.42578125" style="161" customWidth="1"/>
    <col min="3" max="3" width="10.7109375" style="161" customWidth="1"/>
    <col min="4" max="6" width="13.42578125" style="161" customWidth="1"/>
    <col min="7" max="8" width="8.85546875" style="161" bestFit="1" customWidth="1"/>
    <col min="9" max="16384" width="8" style="161"/>
  </cols>
  <sheetData>
    <row r="1" spans="1:6" ht="18" customHeight="1" x14ac:dyDescent="0.2">
      <c r="A1" s="948" t="s">
        <v>677</v>
      </c>
      <c r="B1" s="948"/>
      <c r="C1" s="948"/>
      <c r="D1" s="948"/>
      <c r="E1" s="948"/>
      <c r="F1" s="948"/>
    </row>
    <row r="2" spans="1:6" ht="55.5" customHeight="1" thickBot="1" x14ac:dyDescent="0.3">
      <c r="A2" s="96"/>
      <c r="B2" s="950" t="s">
        <v>811</v>
      </c>
      <c r="C2" s="950"/>
      <c r="D2" s="95"/>
      <c r="E2" s="947" t="s">
        <v>500</v>
      </c>
      <c r="F2" s="947"/>
    </row>
    <row r="3" spans="1:6" s="164" customFormat="1" ht="50.25" customHeight="1" thickBot="1" x14ac:dyDescent="0.25">
      <c r="A3" s="101" t="s">
        <v>678</v>
      </c>
      <c r="B3" s="102" t="s">
        <v>680</v>
      </c>
      <c r="C3" s="102" t="s">
        <v>809</v>
      </c>
      <c r="D3" s="102" t="s">
        <v>782</v>
      </c>
      <c r="E3" s="162" t="s">
        <v>780</v>
      </c>
      <c r="F3" s="163" t="s">
        <v>810</v>
      </c>
    </row>
    <row r="4" spans="1:6" s="95" customFormat="1" ht="12" customHeight="1" thickBot="1" x14ac:dyDescent="0.25">
      <c r="A4" s="165" t="s">
        <v>457</v>
      </c>
      <c r="B4" s="166" t="s">
        <v>458</v>
      </c>
      <c r="C4" s="166" t="s">
        <v>459</v>
      </c>
      <c r="D4" s="166" t="s">
        <v>460</v>
      </c>
      <c r="E4" s="167" t="s">
        <v>461</v>
      </c>
      <c r="F4" s="168" t="s">
        <v>198</v>
      </c>
    </row>
    <row r="5" spans="1:6" s="686" customFormat="1" ht="15.95" customHeight="1" x14ac:dyDescent="0.2">
      <c r="A5" s="685" t="s">
        <v>192</v>
      </c>
      <c r="B5" s="846"/>
      <c r="C5" s="847"/>
      <c r="D5" s="847"/>
      <c r="E5" s="669"/>
      <c r="F5" s="714"/>
    </row>
    <row r="6" spans="1:6" s="686" customFormat="1" ht="25.9" customHeight="1" x14ac:dyDescent="0.2">
      <c r="A6" s="848" t="s">
        <v>879</v>
      </c>
      <c r="B6" s="849" t="s">
        <v>861</v>
      </c>
      <c r="C6" s="849"/>
      <c r="D6" s="850">
        <v>555298</v>
      </c>
      <c r="E6" s="850">
        <v>480179</v>
      </c>
      <c r="F6" s="851">
        <f t="shared" ref="F6:F10" si="0">SUM(C6,E6)</f>
        <v>480179</v>
      </c>
    </row>
    <row r="7" spans="1:6" s="686" customFormat="1" ht="19.149999999999999" customHeight="1" x14ac:dyDescent="0.2">
      <c r="A7" s="852" t="s">
        <v>880</v>
      </c>
      <c r="B7" s="849" t="s">
        <v>861</v>
      </c>
      <c r="C7" s="849"/>
      <c r="D7" s="853">
        <v>456000</v>
      </c>
      <c r="E7" s="853">
        <v>415000</v>
      </c>
      <c r="F7" s="851">
        <f t="shared" si="0"/>
        <v>415000</v>
      </c>
    </row>
    <row r="8" spans="1:6" s="686" customFormat="1" ht="21.6" customHeight="1" x14ac:dyDescent="0.2">
      <c r="A8" s="852" t="s">
        <v>881</v>
      </c>
      <c r="B8" s="854" t="s">
        <v>861</v>
      </c>
      <c r="C8" s="854"/>
      <c r="D8" s="853">
        <v>66900</v>
      </c>
      <c r="E8" s="853">
        <v>53988</v>
      </c>
      <c r="F8" s="851">
        <f t="shared" si="0"/>
        <v>53988</v>
      </c>
    </row>
    <row r="9" spans="1:6" s="686" customFormat="1" ht="15.95" customHeight="1" x14ac:dyDescent="0.2">
      <c r="A9" s="852" t="s">
        <v>882</v>
      </c>
      <c r="B9" s="854" t="s">
        <v>861</v>
      </c>
      <c r="C9" s="854"/>
      <c r="D9" s="853">
        <v>387000</v>
      </c>
      <c r="E9" s="853">
        <v>387000</v>
      </c>
      <c r="F9" s="851">
        <f t="shared" si="0"/>
        <v>387000</v>
      </c>
    </row>
    <row r="10" spans="1:6" s="686" customFormat="1" ht="25.15" customHeight="1" thickBot="1" x14ac:dyDescent="0.25">
      <c r="A10" s="855" t="s">
        <v>883</v>
      </c>
      <c r="B10" s="856" t="s">
        <v>861</v>
      </c>
      <c r="C10" s="856"/>
      <c r="D10" s="857">
        <v>488500</v>
      </c>
      <c r="E10" s="857">
        <v>308500</v>
      </c>
      <c r="F10" s="858">
        <f t="shared" si="0"/>
        <v>308500</v>
      </c>
    </row>
    <row r="11" spans="1:6" s="686" customFormat="1" ht="15.95" customHeight="1" thickBot="1" x14ac:dyDescent="0.25">
      <c r="A11" s="716" t="s">
        <v>193</v>
      </c>
      <c r="B11" s="859"/>
      <c r="C11" s="860"/>
      <c r="D11" s="726">
        <f>SUM(D6:D10)</f>
        <v>1953698</v>
      </c>
      <c r="E11" s="727">
        <f>SUM(E6:E10)</f>
        <v>1644667</v>
      </c>
      <c r="F11" s="722">
        <f>C11+E11</f>
        <v>1644667</v>
      </c>
    </row>
    <row r="12" spans="1:6" s="686" customFormat="1" ht="15.95" customHeight="1" x14ac:dyDescent="0.2">
      <c r="A12" s="719" t="s">
        <v>314</v>
      </c>
      <c r="B12" s="861"/>
      <c r="C12" s="862"/>
      <c r="D12" s="862"/>
      <c r="E12" s="725"/>
      <c r="F12" s="720">
        <f>C12+E12</f>
        <v>0</v>
      </c>
    </row>
    <row r="13" spans="1:6" s="686" customFormat="1" ht="25.5" customHeight="1" x14ac:dyDescent="0.2">
      <c r="A13" s="848" t="s">
        <v>884</v>
      </c>
      <c r="B13" s="849" t="s">
        <v>861</v>
      </c>
      <c r="C13" s="849"/>
      <c r="D13" s="850">
        <v>880075</v>
      </c>
      <c r="E13" s="850">
        <v>863399</v>
      </c>
      <c r="F13" s="851">
        <f>SUM(C13,E13)</f>
        <v>863399</v>
      </c>
    </row>
    <row r="14" spans="1:6" s="686" customFormat="1" ht="17.45" customHeight="1" x14ac:dyDescent="0.2">
      <c r="A14" s="863" t="s">
        <v>885</v>
      </c>
      <c r="B14" s="849" t="s">
        <v>861</v>
      </c>
      <c r="C14" s="849"/>
      <c r="D14" s="850">
        <v>400000</v>
      </c>
      <c r="E14" s="850">
        <v>250237</v>
      </c>
      <c r="F14" s="851">
        <f t="shared" ref="F14:F15" si="1">SUM(C14,E14)</f>
        <v>250237</v>
      </c>
    </row>
    <row r="15" spans="1:6" s="686" customFormat="1" ht="15.95" customHeight="1" x14ac:dyDescent="0.2">
      <c r="A15" s="864" t="s">
        <v>886</v>
      </c>
      <c r="B15" s="854" t="s">
        <v>861</v>
      </c>
      <c r="C15" s="854"/>
      <c r="D15" s="865">
        <v>95000</v>
      </c>
      <c r="E15" s="865">
        <v>95000</v>
      </c>
      <c r="F15" s="851">
        <f t="shared" si="1"/>
        <v>95000</v>
      </c>
    </row>
    <row r="16" spans="1:6" s="686" customFormat="1" ht="18" customHeight="1" thickBot="1" x14ac:dyDescent="0.25">
      <c r="A16" s="866" t="s">
        <v>887</v>
      </c>
      <c r="B16" s="849" t="s">
        <v>861</v>
      </c>
      <c r="C16" s="849"/>
      <c r="D16" s="865">
        <v>14500</v>
      </c>
      <c r="E16" s="865">
        <v>0</v>
      </c>
      <c r="F16" s="851">
        <v>0</v>
      </c>
    </row>
    <row r="17" spans="1:6" s="686" customFormat="1" ht="15.95" customHeight="1" thickBot="1" x14ac:dyDescent="0.25">
      <c r="A17" s="716" t="s">
        <v>194</v>
      </c>
      <c r="B17" s="859"/>
      <c r="C17" s="860"/>
      <c r="D17" s="726">
        <f>SUM(D13:D16)</f>
        <v>1389575</v>
      </c>
      <c r="E17" s="727">
        <f>SUM(E13:E16)</f>
        <v>1208636</v>
      </c>
      <c r="F17" s="722">
        <f t="shared" ref="F17:F18" si="2">C17+E17</f>
        <v>1208636</v>
      </c>
    </row>
    <row r="18" spans="1:6" s="686" customFormat="1" ht="27" customHeight="1" x14ac:dyDescent="0.2">
      <c r="A18" s="724" t="s">
        <v>812</v>
      </c>
      <c r="B18" s="861"/>
      <c r="C18" s="862"/>
      <c r="D18" s="862"/>
      <c r="E18" s="725"/>
      <c r="F18" s="720">
        <f t="shared" si="2"/>
        <v>0</v>
      </c>
    </row>
    <row r="19" spans="1:6" s="686" customFormat="1" ht="33.75" x14ac:dyDescent="0.2">
      <c r="A19" s="848" t="s">
        <v>888</v>
      </c>
      <c r="B19" s="849" t="s">
        <v>861</v>
      </c>
      <c r="C19" s="849"/>
      <c r="D19" s="850">
        <f>2264654+11685+16200+26240+27000-52775</f>
        <v>2293004</v>
      </c>
      <c r="E19" s="850">
        <v>2269058</v>
      </c>
      <c r="F19" s="851">
        <f t="shared" ref="F19:F26" si="3">SUM(C19,E19)</f>
        <v>2269058</v>
      </c>
    </row>
    <row r="20" spans="1:6" s="686" customFormat="1" ht="19.149999999999999" customHeight="1" x14ac:dyDescent="0.2">
      <c r="A20" s="867" t="s">
        <v>889</v>
      </c>
      <c r="B20" s="868" t="s">
        <v>861</v>
      </c>
      <c r="C20" s="868"/>
      <c r="D20" s="869">
        <v>1821327</v>
      </c>
      <c r="E20" s="869">
        <v>1819998</v>
      </c>
      <c r="F20" s="870">
        <f t="shared" si="3"/>
        <v>1819998</v>
      </c>
    </row>
    <row r="21" spans="1:6" s="686" customFormat="1" ht="25.9" customHeight="1" x14ac:dyDescent="0.2">
      <c r="A21" s="871" t="s">
        <v>890</v>
      </c>
      <c r="B21" s="849" t="s">
        <v>861</v>
      </c>
      <c r="C21" s="849"/>
      <c r="D21" s="850">
        <v>419100</v>
      </c>
      <c r="E21" s="850">
        <v>419100</v>
      </c>
      <c r="F21" s="851">
        <f t="shared" si="3"/>
        <v>419100</v>
      </c>
    </row>
    <row r="22" spans="1:6" s="686" customFormat="1" ht="25.9" customHeight="1" x14ac:dyDescent="0.2">
      <c r="A22" s="871" t="s">
        <v>891</v>
      </c>
      <c r="B22" s="849" t="s">
        <v>861</v>
      </c>
      <c r="C22" s="849"/>
      <c r="D22" s="850">
        <v>1238248</v>
      </c>
      <c r="E22" s="850">
        <v>1238248</v>
      </c>
      <c r="F22" s="851">
        <f t="shared" si="3"/>
        <v>1238248</v>
      </c>
    </row>
    <row r="23" spans="1:6" s="686" customFormat="1" ht="15.95" customHeight="1" x14ac:dyDescent="0.2">
      <c r="A23" s="871" t="s">
        <v>892</v>
      </c>
      <c r="B23" s="849" t="s">
        <v>861</v>
      </c>
      <c r="C23" s="849"/>
      <c r="D23" s="850">
        <v>60000</v>
      </c>
      <c r="E23" s="850">
        <v>0</v>
      </c>
      <c r="F23" s="851">
        <f t="shared" si="3"/>
        <v>0</v>
      </c>
    </row>
    <row r="24" spans="1:6" s="686" customFormat="1" ht="15.95" customHeight="1" x14ac:dyDescent="0.2">
      <c r="A24" s="871" t="s">
        <v>893</v>
      </c>
      <c r="B24" s="849" t="s">
        <v>861</v>
      </c>
      <c r="C24" s="849"/>
      <c r="D24" s="850">
        <v>100000</v>
      </c>
      <c r="E24" s="850">
        <v>99060</v>
      </c>
      <c r="F24" s="851">
        <f t="shared" si="3"/>
        <v>99060</v>
      </c>
    </row>
    <row r="25" spans="1:6" s="686" customFormat="1" ht="33.75" x14ac:dyDescent="0.2">
      <c r="A25" s="872" t="s">
        <v>894</v>
      </c>
      <c r="B25" s="849" t="s">
        <v>861</v>
      </c>
      <c r="C25" s="849"/>
      <c r="D25" s="850">
        <v>316365</v>
      </c>
      <c r="E25" s="850">
        <v>316365</v>
      </c>
      <c r="F25" s="851">
        <f t="shared" si="3"/>
        <v>316365</v>
      </c>
    </row>
    <row r="26" spans="1:6" s="686" customFormat="1" ht="26.45" customHeight="1" thickBot="1" x14ac:dyDescent="0.25">
      <c r="A26" s="866" t="s">
        <v>895</v>
      </c>
      <c r="B26" s="849" t="s">
        <v>861</v>
      </c>
      <c r="C26" s="849"/>
      <c r="D26" s="865">
        <v>14500</v>
      </c>
      <c r="E26" s="865"/>
      <c r="F26" s="851">
        <f t="shared" si="3"/>
        <v>0</v>
      </c>
    </row>
    <row r="27" spans="1:6" s="686" customFormat="1" ht="15.95" customHeight="1" thickBot="1" x14ac:dyDescent="0.25">
      <c r="A27" s="716" t="s">
        <v>372</v>
      </c>
      <c r="B27" s="859"/>
      <c r="C27" s="860"/>
      <c r="D27" s="723">
        <f>SUM(D19,D21:D26)</f>
        <v>4441217</v>
      </c>
      <c r="E27" s="723">
        <f t="shared" ref="E27:F27" si="4">SUM(E19,E21:E26)</f>
        <v>4341831</v>
      </c>
      <c r="F27" s="723">
        <f t="shared" si="4"/>
        <v>4341831</v>
      </c>
    </row>
    <row r="28" spans="1:6" s="686" customFormat="1" ht="15.95" customHeight="1" x14ac:dyDescent="0.2">
      <c r="A28" s="719" t="s">
        <v>195</v>
      </c>
      <c r="B28" s="861"/>
      <c r="C28" s="862"/>
      <c r="D28" s="862"/>
      <c r="E28" s="715"/>
      <c r="F28" s="720">
        <f t="shared" ref="F28" si="5">C28+E28</f>
        <v>0</v>
      </c>
    </row>
    <row r="29" spans="1:6" s="686" customFormat="1" ht="33.75" x14ac:dyDescent="0.2">
      <c r="A29" s="848" t="s">
        <v>896</v>
      </c>
      <c r="B29" s="849" t="s">
        <v>861</v>
      </c>
      <c r="C29" s="849"/>
      <c r="D29" s="850">
        <v>800111</v>
      </c>
      <c r="E29" s="850">
        <v>1097868</v>
      </c>
      <c r="F29" s="851">
        <f t="shared" ref="F29:F34" si="6">SUM(C29,E29)</f>
        <v>1097868</v>
      </c>
    </row>
    <row r="30" spans="1:6" s="686" customFormat="1" ht="19.899999999999999" customHeight="1" x14ac:dyDescent="0.2">
      <c r="A30" s="873" t="s">
        <v>897</v>
      </c>
      <c r="B30" s="849" t="s">
        <v>861</v>
      </c>
      <c r="C30" s="849"/>
      <c r="D30" s="865">
        <f>1929960+310040</f>
        <v>2240000</v>
      </c>
      <c r="E30" s="865">
        <v>2240000</v>
      </c>
      <c r="F30" s="851">
        <f t="shared" si="6"/>
        <v>2240000</v>
      </c>
    </row>
    <row r="31" spans="1:6" s="686" customFormat="1" ht="51.6" customHeight="1" x14ac:dyDescent="0.2">
      <c r="A31" s="874" t="s">
        <v>898</v>
      </c>
      <c r="B31" s="849" t="s">
        <v>899</v>
      </c>
      <c r="C31" s="849"/>
      <c r="D31" s="865">
        <v>973976</v>
      </c>
      <c r="E31" s="865">
        <v>973976</v>
      </c>
      <c r="F31" s="851">
        <f t="shared" si="6"/>
        <v>973976</v>
      </c>
    </row>
    <row r="32" spans="1:6" s="686" customFormat="1" ht="31.15" customHeight="1" x14ac:dyDescent="0.2">
      <c r="A32" s="874" t="s">
        <v>900</v>
      </c>
      <c r="B32" s="854" t="s">
        <v>861</v>
      </c>
      <c r="C32" s="854"/>
      <c r="D32" s="865">
        <f>2665000+945299</f>
        <v>3610299</v>
      </c>
      <c r="E32" s="865">
        <v>2175119</v>
      </c>
      <c r="F32" s="851">
        <f t="shared" si="6"/>
        <v>2175119</v>
      </c>
    </row>
    <row r="33" spans="1:6" s="686" customFormat="1" ht="19.899999999999999" customHeight="1" x14ac:dyDescent="0.2">
      <c r="A33" s="874" t="s">
        <v>901</v>
      </c>
      <c r="B33" s="854" t="s">
        <v>861</v>
      </c>
      <c r="C33" s="854"/>
      <c r="D33" s="865">
        <v>2430118</v>
      </c>
      <c r="E33" s="865">
        <v>357200</v>
      </c>
      <c r="F33" s="851">
        <f t="shared" si="6"/>
        <v>357200</v>
      </c>
    </row>
    <row r="34" spans="1:6" s="686" customFormat="1" ht="39.6" customHeight="1" thickBot="1" x14ac:dyDescent="0.25">
      <c r="A34" s="874" t="s">
        <v>902</v>
      </c>
      <c r="B34" s="854" t="s">
        <v>861</v>
      </c>
      <c r="C34" s="854"/>
      <c r="D34" s="865">
        <v>800000</v>
      </c>
      <c r="E34" s="865">
        <v>709863</v>
      </c>
      <c r="F34" s="851">
        <f t="shared" si="6"/>
        <v>709863</v>
      </c>
    </row>
    <row r="35" spans="1:6" s="686" customFormat="1" ht="15.95" customHeight="1" thickBot="1" x14ac:dyDescent="0.25">
      <c r="A35" s="716" t="s">
        <v>196</v>
      </c>
      <c r="B35" s="859"/>
      <c r="C35" s="860"/>
      <c r="D35" s="717">
        <f>SUM(D29:D34)</f>
        <v>10854504</v>
      </c>
      <c r="E35" s="717">
        <f>SUM(E29:E34)</f>
        <v>7554026</v>
      </c>
      <c r="F35" s="718">
        <f>SUM(F29:F34)</f>
        <v>7554026</v>
      </c>
    </row>
    <row r="36" spans="1:6" s="686" customFormat="1" ht="15.95" customHeight="1" x14ac:dyDescent="0.2">
      <c r="A36" s="685" t="s">
        <v>200</v>
      </c>
      <c r="B36" s="875"/>
      <c r="C36" s="876"/>
      <c r="D36" s="876"/>
      <c r="E36" s="877"/>
      <c r="F36" s="878">
        <f>C36+E36</f>
        <v>0</v>
      </c>
    </row>
    <row r="37" spans="1:6" s="880" customFormat="1" x14ac:dyDescent="0.2">
      <c r="A37" s="879" t="s">
        <v>903</v>
      </c>
      <c r="B37" s="849" t="s">
        <v>861</v>
      </c>
      <c r="C37" s="849"/>
      <c r="D37" s="850">
        <v>35000</v>
      </c>
      <c r="E37" s="850">
        <v>49329</v>
      </c>
      <c r="F37" s="851">
        <f>SUM(C37,E37)</f>
        <v>49329</v>
      </c>
    </row>
    <row r="38" spans="1:6" s="880" customFormat="1" x14ac:dyDescent="0.2">
      <c r="A38" s="874" t="s">
        <v>904</v>
      </c>
      <c r="B38" s="849" t="s">
        <v>861</v>
      </c>
      <c r="C38" s="849"/>
      <c r="D38" s="865">
        <v>350000</v>
      </c>
      <c r="E38" s="865">
        <v>347853</v>
      </c>
      <c r="F38" s="851">
        <f t="shared" ref="F38:F41" si="7">SUM(C38,E38)</f>
        <v>347853</v>
      </c>
    </row>
    <row r="39" spans="1:6" s="880" customFormat="1" x14ac:dyDescent="0.2">
      <c r="A39" s="874" t="s">
        <v>905</v>
      </c>
      <c r="B39" s="849" t="s">
        <v>861</v>
      </c>
      <c r="C39" s="849"/>
      <c r="D39" s="865">
        <v>90000</v>
      </c>
      <c r="E39" s="865">
        <v>75900</v>
      </c>
      <c r="F39" s="851">
        <f t="shared" si="7"/>
        <v>75900</v>
      </c>
    </row>
    <row r="40" spans="1:6" s="880" customFormat="1" ht="22.5" x14ac:dyDescent="0.2">
      <c r="A40" s="866" t="s">
        <v>906</v>
      </c>
      <c r="B40" s="849" t="s">
        <v>861</v>
      </c>
      <c r="C40" s="849"/>
      <c r="D40" s="865">
        <v>14500</v>
      </c>
      <c r="E40" s="865">
        <v>14500</v>
      </c>
      <c r="F40" s="851">
        <f t="shared" si="7"/>
        <v>14500</v>
      </c>
    </row>
    <row r="41" spans="1:6" s="880" customFormat="1" ht="34.5" thickBot="1" x14ac:dyDescent="0.25">
      <c r="A41" s="881" t="s">
        <v>907</v>
      </c>
      <c r="B41" s="882" t="s">
        <v>861</v>
      </c>
      <c r="C41" s="882"/>
      <c r="D41" s="883">
        <v>200000</v>
      </c>
      <c r="E41" s="883">
        <v>199565</v>
      </c>
      <c r="F41" s="884">
        <f t="shared" si="7"/>
        <v>199565</v>
      </c>
    </row>
    <row r="42" spans="1:6" s="686" customFormat="1" ht="15.95" customHeight="1" thickBot="1" x14ac:dyDescent="0.25">
      <c r="A42" s="716" t="s">
        <v>197</v>
      </c>
      <c r="B42" s="859"/>
      <c r="C42" s="860"/>
      <c r="D42" s="885">
        <f>SUM(D37:D41)</f>
        <v>689500</v>
      </c>
      <c r="E42" s="885">
        <f>SUM(E37:E41)</f>
        <v>687147</v>
      </c>
      <c r="F42" s="722">
        <f>C42+E42</f>
        <v>687147</v>
      </c>
    </row>
    <row r="43" spans="1:6" s="176" customFormat="1" ht="18" customHeight="1" thickBot="1" x14ac:dyDescent="0.25">
      <c r="A43" s="172" t="s">
        <v>234</v>
      </c>
      <c r="B43" s="174"/>
      <c r="C43" s="721">
        <f>SUM(C5:C42)</f>
        <v>0</v>
      </c>
      <c r="D43" s="721">
        <f>SUM(D11,D17,D27,D35,D42)</f>
        <v>19328494</v>
      </c>
      <c r="E43" s="721">
        <f t="shared" ref="E43:F43" si="8">SUM(E11,E17,E27,E35,E42)</f>
        <v>15436307</v>
      </c>
      <c r="F43" s="721">
        <f t="shared" si="8"/>
        <v>15436307</v>
      </c>
    </row>
    <row r="44" spans="1:6" x14ac:dyDescent="0.2">
      <c r="E44" s="176"/>
      <c r="F44" s="176"/>
    </row>
  </sheetData>
  <mergeCells count="3">
    <mergeCell ref="A1:F1"/>
    <mergeCell ref="B2:C2"/>
    <mergeCell ref="E2:F2"/>
  </mergeCells>
  <printOptions horizontalCentered="1"/>
  <pageMargins left="0.39370078740157483" right="0.39370078740157483" top="0.98425196850393704" bottom="0.98425196850393704" header="0.78740157480314965" footer="0.78740157480314965"/>
  <pageSetup paperSize="9" scale="85" orientation="portrait" verticalDpi="300" r:id="rId1"/>
  <headerFooter alignWithMargins="0">
    <oddHeader>&amp;R3.2. melléklet a 12/2018. (V.31.) önkormányzati rendelethez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3"/>
    <pageSetUpPr fitToPage="1"/>
  </sheetPr>
  <dimension ref="A1:H23"/>
  <sheetViews>
    <sheetView zoomScaleNormal="100" zoomScaleSheetLayoutView="130" workbookViewId="0">
      <selection activeCell="H1" sqref="H1:H23"/>
    </sheetView>
  </sheetViews>
  <sheetFormatPr defaultColWidth="8" defaultRowHeight="12.75" x14ac:dyDescent="0.2"/>
  <cols>
    <col min="1" max="1" width="41.28515625" style="177" customWidth="1"/>
    <col min="2" max="7" width="13.5703125" style="161" customWidth="1"/>
    <col min="8" max="8" width="3.5703125" style="161" customWidth="1"/>
    <col min="9" max="10" width="8" style="161"/>
    <col min="11" max="11" width="9.5703125" style="161" bestFit="1" customWidth="1"/>
    <col min="12" max="12" width="8.42578125" style="161" bestFit="1" customWidth="1"/>
    <col min="13" max="16384" width="8" style="161"/>
  </cols>
  <sheetData>
    <row r="1" spans="1:8" ht="24.75" customHeight="1" x14ac:dyDescent="0.2">
      <c r="A1" s="948" t="s">
        <v>682</v>
      </c>
      <c r="B1" s="948"/>
      <c r="C1" s="948"/>
      <c r="D1" s="948"/>
      <c r="E1" s="948"/>
      <c r="F1" s="948"/>
      <c r="G1" s="948"/>
      <c r="H1" s="951" t="s">
        <v>928</v>
      </c>
    </row>
    <row r="2" spans="1:8" ht="23.25" customHeight="1" thickBot="1" x14ac:dyDescent="0.3">
      <c r="A2" s="96"/>
      <c r="B2" s="95"/>
      <c r="C2" s="95"/>
      <c r="D2" s="95"/>
      <c r="E2" s="670"/>
      <c r="F2" s="947" t="s">
        <v>500</v>
      </c>
      <c r="G2" s="947"/>
      <c r="H2" s="951"/>
    </row>
    <row r="3" spans="1:8" s="164" customFormat="1" ht="48.75" customHeight="1" thickBot="1" x14ac:dyDescent="0.25">
      <c r="A3" s="101" t="s">
        <v>683</v>
      </c>
      <c r="B3" s="102" t="s">
        <v>679</v>
      </c>
      <c r="C3" s="102" t="s">
        <v>680</v>
      </c>
      <c r="D3" s="102" t="s">
        <v>809</v>
      </c>
      <c r="E3" s="102" t="s">
        <v>782</v>
      </c>
      <c r="F3" s="162" t="s">
        <v>850</v>
      </c>
      <c r="G3" s="163" t="s">
        <v>810</v>
      </c>
      <c r="H3" s="951"/>
    </row>
    <row r="4" spans="1:8" s="95" customFormat="1" ht="15" customHeight="1" thickBot="1" x14ac:dyDescent="0.25">
      <c r="A4" s="705" t="s">
        <v>457</v>
      </c>
      <c r="B4" s="701" t="s">
        <v>458</v>
      </c>
      <c r="C4" s="701" t="s">
        <v>459</v>
      </c>
      <c r="D4" s="701" t="s">
        <v>460</v>
      </c>
      <c r="E4" s="701" t="s">
        <v>461</v>
      </c>
      <c r="F4" s="702" t="s">
        <v>649</v>
      </c>
      <c r="G4" s="703" t="s">
        <v>681</v>
      </c>
      <c r="H4" s="951"/>
    </row>
    <row r="5" spans="1:8" ht="20.25" customHeight="1" x14ac:dyDescent="0.2">
      <c r="A5" s="837" t="s">
        <v>785</v>
      </c>
      <c r="B5" s="838">
        <f>53340000+1000000+2866987+3795044+5929-203244</f>
        <v>60804716</v>
      </c>
      <c r="C5" s="839" t="s">
        <v>861</v>
      </c>
      <c r="D5" s="706">
        <v>0</v>
      </c>
      <c r="E5" s="838">
        <f>53340000+1000000+2866987+3795044+5929-203244</f>
        <v>60804716</v>
      </c>
      <c r="F5" s="707">
        <f>944000+1000000+12415008+15894550+511260+8612404+590000+8070930+99372+254880+3352052+4291529+138040+2325349+2179151+26830</f>
        <v>60705355</v>
      </c>
      <c r="G5" s="708">
        <f t="shared" ref="G5:G22" si="0">+D5+F5</f>
        <v>60705355</v>
      </c>
      <c r="H5" s="951"/>
    </row>
    <row r="6" spans="1:8" ht="15.95" customHeight="1" x14ac:dyDescent="0.2">
      <c r="A6" s="747" t="s">
        <v>786</v>
      </c>
      <c r="B6" s="752">
        <f>21300001+18700651</f>
        <v>40000652</v>
      </c>
      <c r="C6" s="840" t="s">
        <v>861</v>
      </c>
      <c r="D6" s="676"/>
      <c r="E6" s="667">
        <f>21300001+18700651</f>
        <v>40000652</v>
      </c>
      <c r="F6" s="704">
        <f>400000+170000+100000+165000+921721+157480+13543307+1125523+7663697+248865+42520+3656693+303891+2069198</f>
        <v>30567895</v>
      </c>
      <c r="G6" s="677">
        <f t="shared" si="0"/>
        <v>30567895</v>
      </c>
      <c r="H6" s="951"/>
    </row>
    <row r="7" spans="1:8" ht="28.5" customHeight="1" x14ac:dyDescent="0.2">
      <c r="A7" s="841" t="s">
        <v>863</v>
      </c>
      <c r="B7" s="752">
        <v>762000</v>
      </c>
      <c r="C7" s="840" t="s">
        <v>861</v>
      </c>
      <c r="D7" s="676"/>
      <c r="E7" s="752">
        <v>762000</v>
      </c>
      <c r="F7" s="704"/>
      <c r="G7" s="677">
        <f t="shared" si="0"/>
        <v>0</v>
      </c>
      <c r="H7" s="951"/>
    </row>
    <row r="8" spans="1:8" ht="15.95" customHeight="1" x14ac:dyDescent="0.2">
      <c r="A8" s="841" t="s">
        <v>864</v>
      </c>
      <c r="B8" s="752">
        <v>80010</v>
      </c>
      <c r="C8" s="840" t="s">
        <v>861</v>
      </c>
      <c r="D8" s="676"/>
      <c r="E8" s="752">
        <v>80010</v>
      </c>
      <c r="F8" s="704">
        <f>29126+27559+7864+7441</f>
        <v>71990</v>
      </c>
      <c r="G8" s="677">
        <f t="shared" si="0"/>
        <v>71990</v>
      </c>
      <c r="H8" s="951"/>
    </row>
    <row r="9" spans="1:8" ht="15.95" customHeight="1" x14ac:dyDescent="0.2">
      <c r="A9" s="841" t="s">
        <v>865</v>
      </c>
      <c r="B9" s="752">
        <v>751000</v>
      </c>
      <c r="C9" s="840" t="s">
        <v>861</v>
      </c>
      <c r="D9" s="676"/>
      <c r="E9" s="667">
        <v>751000</v>
      </c>
      <c r="F9" s="704"/>
      <c r="G9" s="677">
        <f t="shared" si="0"/>
        <v>0</v>
      </c>
      <c r="H9" s="951"/>
    </row>
    <row r="10" spans="1:8" ht="15.95" customHeight="1" x14ac:dyDescent="0.2">
      <c r="A10" s="841" t="s">
        <v>866</v>
      </c>
      <c r="B10" s="752">
        <f>3201750</f>
        <v>3201750</v>
      </c>
      <c r="C10" s="840" t="s">
        <v>861</v>
      </c>
      <c r="D10" s="676"/>
      <c r="E10" s="752">
        <v>3201750</v>
      </c>
      <c r="F10" s="704"/>
      <c r="G10" s="677">
        <f t="shared" si="0"/>
        <v>0</v>
      </c>
      <c r="H10" s="951"/>
    </row>
    <row r="11" spans="1:8" ht="41.25" customHeight="1" x14ac:dyDescent="0.2">
      <c r="A11" s="841" t="s">
        <v>867</v>
      </c>
      <c r="B11" s="752">
        <v>1162050</v>
      </c>
      <c r="C11" s="840" t="s">
        <v>861</v>
      </c>
      <c r="D11" s="676"/>
      <c r="E11" s="752">
        <v>1162050</v>
      </c>
      <c r="F11" s="704">
        <f>150000+738925+199510</f>
        <v>1088435</v>
      </c>
      <c r="G11" s="677">
        <f t="shared" si="0"/>
        <v>1088435</v>
      </c>
      <c r="H11" s="951"/>
    </row>
    <row r="12" spans="1:8" ht="27" customHeight="1" x14ac:dyDescent="0.2">
      <c r="A12" s="841" t="s">
        <v>868</v>
      </c>
      <c r="B12" s="752">
        <v>0</v>
      </c>
      <c r="C12" s="840" t="s">
        <v>861</v>
      </c>
      <c r="D12" s="676"/>
      <c r="E12" s="752">
        <v>0</v>
      </c>
      <c r="F12" s="704"/>
      <c r="G12" s="677">
        <f t="shared" si="0"/>
        <v>0</v>
      </c>
      <c r="H12" s="951"/>
    </row>
    <row r="13" spans="1:8" ht="15.95" customHeight="1" x14ac:dyDescent="0.2">
      <c r="A13" s="842" t="s">
        <v>869</v>
      </c>
      <c r="B13" s="667">
        <f>500000-134607-60160</f>
        <v>305233</v>
      </c>
      <c r="C13" s="668" t="s">
        <v>861</v>
      </c>
      <c r="D13" s="667"/>
      <c r="E13" s="667">
        <f>365393-60160</f>
        <v>305233</v>
      </c>
      <c r="F13" s="169">
        <v>305233</v>
      </c>
      <c r="G13" s="677">
        <f t="shared" si="0"/>
        <v>305233</v>
      </c>
      <c r="H13" s="951"/>
    </row>
    <row r="14" spans="1:8" x14ac:dyDescent="0.2">
      <c r="A14" s="841" t="s">
        <v>870</v>
      </c>
      <c r="B14" s="752">
        <f>7509510-1286510+9053657</f>
        <v>15276657</v>
      </c>
      <c r="C14" s="840" t="s">
        <v>861</v>
      </c>
      <c r="D14" s="667"/>
      <c r="E14" s="752">
        <f>7509510-1286510+9053657</f>
        <v>15276657</v>
      </c>
      <c r="F14" s="169">
        <f>2392247+7803935+1729492+48217+890060+85977+645907+2107062+466963</f>
        <v>16169860</v>
      </c>
      <c r="G14" s="677">
        <f t="shared" si="0"/>
        <v>16169860</v>
      </c>
      <c r="H14" s="951"/>
    </row>
    <row r="15" spans="1:8" x14ac:dyDescent="0.2">
      <c r="A15" s="841" t="s">
        <v>871</v>
      </c>
      <c r="B15" s="752">
        <v>578000</v>
      </c>
      <c r="C15" s="840" t="s">
        <v>861</v>
      </c>
      <c r="D15" s="752"/>
      <c r="E15" s="752">
        <v>578000</v>
      </c>
      <c r="F15" s="169">
        <v>577247</v>
      </c>
      <c r="G15" s="677">
        <f t="shared" si="0"/>
        <v>577247</v>
      </c>
      <c r="H15" s="951"/>
    </row>
    <row r="16" spans="1:8" s="176" customFormat="1" ht="18" customHeight="1" x14ac:dyDescent="0.2">
      <c r="A16" s="841" t="s">
        <v>872</v>
      </c>
      <c r="B16" s="752">
        <v>800000</v>
      </c>
      <c r="C16" s="840" t="s">
        <v>861</v>
      </c>
      <c r="D16" s="843">
        <f>SUM(D5:D15)</f>
        <v>0</v>
      </c>
      <c r="E16" s="752">
        <v>800000</v>
      </c>
      <c r="F16" s="169">
        <v>800000</v>
      </c>
      <c r="G16" s="677">
        <f t="shared" si="0"/>
        <v>800000</v>
      </c>
      <c r="H16" s="951"/>
    </row>
    <row r="17" spans="1:8" x14ac:dyDescent="0.2">
      <c r="A17" s="841" t="s">
        <v>873</v>
      </c>
      <c r="B17" s="752">
        <f>5566352+200000</f>
        <v>5766352</v>
      </c>
      <c r="C17" s="840" t="s">
        <v>861</v>
      </c>
      <c r="D17" s="704"/>
      <c r="E17" s="752">
        <f>5566352+200000</f>
        <v>5766352</v>
      </c>
      <c r="F17" s="169">
        <f>178583+19685+210000+50000+650000+3296520+318433</f>
        <v>4723221</v>
      </c>
      <c r="G17" s="677">
        <f t="shared" si="0"/>
        <v>4723221</v>
      </c>
      <c r="H17" s="951"/>
    </row>
    <row r="18" spans="1:8" ht="25.5" x14ac:dyDescent="0.2">
      <c r="A18" s="842" t="s">
        <v>874</v>
      </c>
      <c r="B18" s="667">
        <v>157000</v>
      </c>
      <c r="C18" s="840" t="s">
        <v>861</v>
      </c>
      <c r="D18" s="704"/>
      <c r="E18" s="667">
        <v>157000</v>
      </c>
      <c r="F18" s="169">
        <v>156602</v>
      </c>
      <c r="G18" s="677">
        <f t="shared" si="0"/>
        <v>156602</v>
      </c>
      <c r="H18" s="951"/>
    </row>
    <row r="19" spans="1:8" x14ac:dyDescent="0.2">
      <c r="A19" s="841" t="s">
        <v>875</v>
      </c>
      <c r="B19" s="752">
        <f>18459450+5975350</f>
        <v>24434800</v>
      </c>
      <c r="C19" s="840" t="s">
        <v>861</v>
      </c>
      <c r="D19" s="704"/>
      <c r="E19" s="752">
        <f>18459450+5975350</f>
        <v>24434800</v>
      </c>
      <c r="F19" s="169">
        <f>43605+297500+13835000+358895+4705000+11773+80325+3735450+96902+1270350</f>
        <v>24434800</v>
      </c>
      <c r="G19" s="677">
        <f t="shared" si="0"/>
        <v>24434800</v>
      </c>
      <c r="H19" s="951"/>
    </row>
    <row r="20" spans="1:8" ht="24" x14ac:dyDescent="0.2">
      <c r="A20" s="841" t="s">
        <v>876</v>
      </c>
      <c r="B20" s="752">
        <v>189429682</v>
      </c>
      <c r="C20" s="840" t="s">
        <v>861</v>
      </c>
      <c r="D20" s="704"/>
      <c r="E20" s="752">
        <v>189429682</v>
      </c>
      <c r="F20" s="169">
        <f>658000+177660</f>
        <v>835660</v>
      </c>
      <c r="G20" s="677">
        <f t="shared" si="0"/>
        <v>835660</v>
      </c>
      <c r="H20" s="951"/>
    </row>
    <row r="21" spans="1:8" x14ac:dyDescent="0.2">
      <c r="A21" s="841" t="s">
        <v>877</v>
      </c>
      <c r="B21" s="752">
        <v>1728000</v>
      </c>
      <c r="C21" s="840" t="s">
        <v>861</v>
      </c>
      <c r="D21" s="886"/>
      <c r="E21" s="752">
        <v>1728000</v>
      </c>
      <c r="F21" s="887"/>
      <c r="G21" s="888">
        <f t="shared" si="0"/>
        <v>0</v>
      </c>
      <c r="H21" s="951"/>
    </row>
    <row r="22" spans="1:8" ht="24.75" thickBot="1" x14ac:dyDescent="0.25">
      <c r="A22" s="892" t="s">
        <v>878</v>
      </c>
      <c r="B22" s="893">
        <v>47008</v>
      </c>
      <c r="C22" s="894" t="s">
        <v>861</v>
      </c>
      <c r="D22" s="889"/>
      <c r="E22" s="893">
        <v>47008</v>
      </c>
      <c r="F22" s="890">
        <f>37008+9992</f>
        <v>47000</v>
      </c>
      <c r="G22" s="891">
        <f t="shared" si="0"/>
        <v>47000</v>
      </c>
      <c r="H22" s="951"/>
    </row>
    <row r="23" spans="1:8" ht="13.5" thickBot="1" x14ac:dyDescent="0.25">
      <c r="A23" s="172" t="s">
        <v>234</v>
      </c>
      <c r="B23" s="173">
        <f>SUM(B5:B22)</f>
        <v>345284910</v>
      </c>
      <c r="C23" s="174"/>
      <c r="D23" s="173">
        <f>SUM(D5:D22)</f>
        <v>0</v>
      </c>
      <c r="E23" s="173">
        <f t="shared" ref="E23:G23" si="1">SUM(E5:E22)</f>
        <v>345284910</v>
      </c>
      <c r="F23" s="173">
        <f t="shared" si="1"/>
        <v>140483298</v>
      </c>
      <c r="G23" s="173">
        <f t="shared" si="1"/>
        <v>140483298</v>
      </c>
      <c r="H23" s="951"/>
    </row>
  </sheetData>
  <mergeCells count="3">
    <mergeCell ref="F2:G2"/>
    <mergeCell ref="A1:G1"/>
    <mergeCell ref="H1:H23"/>
  </mergeCells>
  <phoneticPr fontId="21" type="noConversion"/>
  <printOptions horizontalCentered="1"/>
  <pageMargins left="0.78740157480314965" right="0.78740157480314965" top="0.98425196850393704" bottom="0.98425196850393704" header="0.78740157480314965" footer="0.78740157480314965"/>
  <pageSetup paperSize="9" scale="9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view="pageBreakPreview"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909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929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74946705</v>
      </c>
      <c r="C10" s="197">
        <v>74946705</v>
      </c>
      <c r="D10" s="197">
        <v>449720</v>
      </c>
      <c r="E10" s="197">
        <v>449720</v>
      </c>
      <c r="F10" s="197">
        <v>74496985</v>
      </c>
      <c r="G10" s="197">
        <v>74496985</v>
      </c>
      <c r="H10" s="197"/>
      <c r="I10" s="197"/>
      <c r="J10" s="197">
        <v>449720</v>
      </c>
      <c r="K10" s="197">
        <v>74496433</v>
      </c>
      <c r="L10" s="193">
        <v>74946153</v>
      </c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74946705</v>
      </c>
      <c r="C15" s="203">
        <f t="shared" si="2"/>
        <v>74946705</v>
      </c>
      <c r="D15" s="203">
        <f t="shared" si="2"/>
        <v>449720</v>
      </c>
      <c r="E15" s="203">
        <f t="shared" si="2"/>
        <v>449720</v>
      </c>
      <c r="F15" s="203">
        <f t="shared" si="2"/>
        <v>74496985</v>
      </c>
      <c r="G15" s="203">
        <f t="shared" si="2"/>
        <v>74496985</v>
      </c>
      <c r="H15" s="203">
        <f t="shared" si="2"/>
        <v>0</v>
      </c>
      <c r="I15" s="203">
        <f t="shared" si="2"/>
        <v>0</v>
      </c>
      <c r="J15" s="203">
        <f t="shared" si="2"/>
        <v>449720</v>
      </c>
      <c r="K15" s="203">
        <f t="shared" si="2"/>
        <v>74496433</v>
      </c>
      <c r="L15" s="203">
        <f t="shared" si="2"/>
        <v>74946153</v>
      </c>
      <c r="M15" s="204">
        <f t="shared" si="1"/>
        <v>100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64"/>
    </row>
    <row r="19" spans="1:14" x14ac:dyDescent="0.2">
      <c r="A19" s="213" t="s">
        <v>221</v>
      </c>
      <c r="B19" s="191">
        <v>4316707</v>
      </c>
      <c r="C19" s="197">
        <v>4316707</v>
      </c>
      <c r="D19" s="197">
        <v>449720</v>
      </c>
      <c r="E19" s="197">
        <v>449720</v>
      </c>
      <c r="F19" s="197">
        <v>3866987</v>
      </c>
      <c r="G19" s="197">
        <v>3866987</v>
      </c>
      <c r="H19" s="197"/>
      <c r="I19" s="197"/>
      <c r="J19" s="197">
        <v>449720</v>
      </c>
      <c r="K19" s="197">
        <v>3664382</v>
      </c>
      <c r="L19" s="214">
        <v>4114102</v>
      </c>
      <c r="M19" s="194"/>
      <c r="N19" s="964"/>
    </row>
    <row r="20" spans="1:14" x14ac:dyDescent="0.2">
      <c r="A20" s="213" t="s">
        <v>222</v>
      </c>
      <c r="B20" s="196">
        <v>70629998</v>
      </c>
      <c r="C20" s="197">
        <v>70629998</v>
      </c>
      <c r="D20" s="197"/>
      <c r="E20" s="197"/>
      <c r="F20" s="197">
        <v>70629998</v>
      </c>
      <c r="G20" s="197">
        <v>70629998</v>
      </c>
      <c r="H20" s="197"/>
      <c r="I20" s="197"/>
      <c r="J20" s="197"/>
      <c r="K20" s="197">
        <v>70832051</v>
      </c>
      <c r="L20" s="214">
        <v>70832051</v>
      </c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74946705</v>
      </c>
      <c r="C24" s="203">
        <f t="shared" si="5"/>
        <v>74946705</v>
      </c>
      <c r="D24" s="203">
        <f t="shared" si="5"/>
        <v>449720</v>
      </c>
      <c r="E24" s="203">
        <f t="shared" si="5"/>
        <v>449720</v>
      </c>
      <c r="F24" s="203">
        <f t="shared" si="5"/>
        <v>74496985</v>
      </c>
      <c r="G24" s="203">
        <f t="shared" si="5"/>
        <v>74496985</v>
      </c>
      <c r="H24" s="203">
        <f t="shared" si="5"/>
        <v>0</v>
      </c>
      <c r="I24" s="203">
        <f t="shared" si="5"/>
        <v>0</v>
      </c>
      <c r="J24" s="203">
        <f t="shared" si="5"/>
        <v>449720</v>
      </c>
      <c r="K24" s="203">
        <f t="shared" si="5"/>
        <v>74496433</v>
      </c>
      <c r="L24" s="203">
        <f t="shared" si="5"/>
        <v>74946153</v>
      </c>
      <c r="M24" s="204">
        <f t="shared" si="4"/>
        <v>100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9.28515625" style="179" bestFit="1" customWidth="1"/>
    <col min="259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9.28515625" style="179" bestFit="1" customWidth="1"/>
    <col min="515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9.28515625" style="179" bestFit="1" customWidth="1"/>
    <col min="771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9.28515625" style="179" bestFit="1" customWidth="1"/>
    <col min="1027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9.28515625" style="179" bestFit="1" customWidth="1"/>
    <col min="1283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9.28515625" style="179" bestFit="1" customWidth="1"/>
    <col min="1539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9.28515625" style="179" bestFit="1" customWidth="1"/>
    <col min="1795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9.28515625" style="179" bestFit="1" customWidth="1"/>
    <col min="2051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9.28515625" style="179" bestFit="1" customWidth="1"/>
    <col min="2307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9.28515625" style="179" bestFit="1" customWidth="1"/>
    <col min="2563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9.28515625" style="179" bestFit="1" customWidth="1"/>
    <col min="2819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9.28515625" style="179" bestFit="1" customWidth="1"/>
    <col min="3075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9.28515625" style="179" bestFit="1" customWidth="1"/>
    <col min="3331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9.28515625" style="179" bestFit="1" customWidth="1"/>
    <col min="3587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9.28515625" style="179" bestFit="1" customWidth="1"/>
    <col min="3843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9.28515625" style="179" bestFit="1" customWidth="1"/>
    <col min="4099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9.28515625" style="179" bestFit="1" customWidth="1"/>
    <col min="4355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9.28515625" style="179" bestFit="1" customWidth="1"/>
    <col min="4611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9.28515625" style="179" bestFit="1" customWidth="1"/>
    <col min="4867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9.28515625" style="179" bestFit="1" customWidth="1"/>
    <col min="5123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9.28515625" style="179" bestFit="1" customWidth="1"/>
    <col min="5379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9.28515625" style="179" bestFit="1" customWidth="1"/>
    <col min="5635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9.28515625" style="179" bestFit="1" customWidth="1"/>
    <col min="5891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9.28515625" style="179" bestFit="1" customWidth="1"/>
    <col min="6147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9.28515625" style="179" bestFit="1" customWidth="1"/>
    <col min="6403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9.28515625" style="179" bestFit="1" customWidth="1"/>
    <col min="6659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9.28515625" style="179" bestFit="1" customWidth="1"/>
    <col min="6915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9.28515625" style="179" bestFit="1" customWidth="1"/>
    <col min="7171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9.28515625" style="179" bestFit="1" customWidth="1"/>
    <col min="7427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9.28515625" style="179" bestFit="1" customWidth="1"/>
    <col min="7683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9.28515625" style="179" bestFit="1" customWidth="1"/>
    <col min="7939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9.28515625" style="179" bestFit="1" customWidth="1"/>
    <col min="8195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9.28515625" style="179" bestFit="1" customWidth="1"/>
    <col min="8451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9.28515625" style="179" bestFit="1" customWidth="1"/>
    <col min="8707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9.28515625" style="179" bestFit="1" customWidth="1"/>
    <col min="8963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9.28515625" style="179" bestFit="1" customWidth="1"/>
    <col min="9219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9.28515625" style="179" bestFit="1" customWidth="1"/>
    <col min="9475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9.28515625" style="179" bestFit="1" customWidth="1"/>
    <col min="9731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9.28515625" style="179" bestFit="1" customWidth="1"/>
    <col min="9987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9.28515625" style="179" bestFit="1" customWidth="1"/>
    <col min="10243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9.28515625" style="179" bestFit="1" customWidth="1"/>
    <col min="10499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9.28515625" style="179" bestFit="1" customWidth="1"/>
    <col min="10755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9.28515625" style="179" bestFit="1" customWidth="1"/>
    <col min="11011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9.28515625" style="179" bestFit="1" customWidth="1"/>
    <col min="11267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9.28515625" style="179" bestFit="1" customWidth="1"/>
    <col min="11523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9.28515625" style="179" bestFit="1" customWidth="1"/>
    <col min="11779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9.28515625" style="179" bestFit="1" customWidth="1"/>
    <col min="12035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9.28515625" style="179" bestFit="1" customWidth="1"/>
    <col min="12291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9.28515625" style="179" bestFit="1" customWidth="1"/>
    <col min="12547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9.28515625" style="179" bestFit="1" customWidth="1"/>
    <col min="12803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9.28515625" style="179" bestFit="1" customWidth="1"/>
    <col min="13059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9.28515625" style="179" bestFit="1" customWidth="1"/>
    <col min="13315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9.28515625" style="179" bestFit="1" customWidth="1"/>
    <col min="13571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9.28515625" style="179" bestFit="1" customWidth="1"/>
    <col min="13827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9.28515625" style="179" bestFit="1" customWidth="1"/>
    <col min="14083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9.28515625" style="179" bestFit="1" customWidth="1"/>
    <col min="14339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9.28515625" style="179" bestFit="1" customWidth="1"/>
    <col min="14595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9.28515625" style="179" bestFit="1" customWidth="1"/>
    <col min="14851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9.28515625" style="179" bestFit="1" customWidth="1"/>
    <col min="15107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9.28515625" style="179" bestFit="1" customWidth="1"/>
    <col min="15363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9.28515625" style="179" bestFit="1" customWidth="1"/>
    <col min="15619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9.28515625" style="179" bestFit="1" customWidth="1"/>
    <col min="15875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9.28515625" style="179" bestFit="1" customWidth="1"/>
    <col min="16131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910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930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75588869</v>
      </c>
      <c r="C10" s="197">
        <v>75588869</v>
      </c>
      <c r="D10" s="197">
        <v>254000</v>
      </c>
      <c r="E10" s="197">
        <v>254000</v>
      </c>
      <c r="F10" s="197">
        <v>4989884</v>
      </c>
      <c r="G10" s="197">
        <v>30808241</v>
      </c>
      <c r="H10" s="197">
        <v>70344985</v>
      </c>
      <c r="I10" s="197">
        <v>44526628</v>
      </c>
      <c r="J10" s="197">
        <v>254000</v>
      </c>
      <c r="K10" s="197">
        <v>30808241</v>
      </c>
      <c r="L10" s="193">
        <v>31062241</v>
      </c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75588869</v>
      </c>
      <c r="C15" s="203">
        <f t="shared" si="2"/>
        <v>75588869</v>
      </c>
      <c r="D15" s="203">
        <f t="shared" si="2"/>
        <v>254000</v>
      </c>
      <c r="E15" s="203">
        <f t="shared" si="2"/>
        <v>254000</v>
      </c>
      <c r="F15" s="203">
        <f t="shared" si="2"/>
        <v>4989884</v>
      </c>
      <c r="G15" s="203">
        <f t="shared" si="2"/>
        <v>30808241</v>
      </c>
      <c r="H15" s="203">
        <f t="shared" si="2"/>
        <v>70344985</v>
      </c>
      <c r="I15" s="203">
        <f t="shared" si="2"/>
        <v>44526628</v>
      </c>
      <c r="J15" s="203">
        <f t="shared" si="2"/>
        <v>254000</v>
      </c>
      <c r="K15" s="203">
        <f t="shared" si="2"/>
        <v>30808241</v>
      </c>
      <c r="L15" s="203">
        <f t="shared" si="2"/>
        <v>31062241</v>
      </c>
      <c r="M15" s="204">
        <f t="shared" si="1"/>
        <v>41.1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>
        <v>1889633</v>
      </c>
      <c r="C18" s="186">
        <v>1889633</v>
      </c>
      <c r="D18" s="186"/>
      <c r="E18" s="187"/>
      <c r="F18" s="186">
        <v>708612</v>
      </c>
      <c r="G18" s="186">
        <v>708612</v>
      </c>
      <c r="H18" s="186">
        <v>1181021</v>
      </c>
      <c r="I18" s="186">
        <v>1181021</v>
      </c>
      <c r="J18" s="186"/>
      <c r="K18" s="186">
        <v>708612</v>
      </c>
      <c r="L18" s="212">
        <f t="shared" ref="L18:L23" si="3">+J18+K18</f>
        <v>708612</v>
      </c>
      <c r="M18" s="189">
        <f t="shared" ref="M18:M24" si="4">IF((C18&lt;&gt;0),ROUND((L18/C18)*100,1),"")</f>
        <v>37.5</v>
      </c>
      <c r="N18" s="964"/>
    </row>
    <row r="19" spans="1:14" x14ac:dyDescent="0.2">
      <c r="A19" s="213" t="s">
        <v>221</v>
      </c>
      <c r="B19" s="191">
        <v>67274267</v>
      </c>
      <c r="C19" s="197">
        <v>67274267</v>
      </c>
      <c r="D19" s="197"/>
      <c r="E19" s="197"/>
      <c r="F19" s="197">
        <v>0</v>
      </c>
      <c r="G19" s="197">
        <v>26581729</v>
      </c>
      <c r="H19" s="197">
        <v>67274267</v>
      </c>
      <c r="I19" s="197">
        <v>40692538</v>
      </c>
      <c r="J19" s="197"/>
      <c r="K19" s="197">
        <v>26581729</v>
      </c>
      <c r="L19" s="214">
        <v>26581729</v>
      </c>
      <c r="M19" s="194"/>
      <c r="N19" s="964"/>
    </row>
    <row r="20" spans="1:14" x14ac:dyDescent="0.2">
      <c r="A20" s="213" t="s">
        <v>222</v>
      </c>
      <c r="B20" s="196">
        <v>6424969</v>
      </c>
      <c r="C20" s="197">
        <v>6424969</v>
      </c>
      <c r="D20" s="197">
        <v>254000</v>
      </c>
      <c r="E20" s="197">
        <v>254000</v>
      </c>
      <c r="F20" s="197">
        <v>4281272</v>
      </c>
      <c r="G20" s="197">
        <v>3517900</v>
      </c>
      <c r="H20" s="197">
        <v>1889697</v>
      </c>
      <c r="I20" s="197">
        <v>2653069</v>
      </c>
      <c r="J20" s="197">
        <v>254000</v>
      </c>
      <c r="K20" s="197">
        <v>3517900</v>
      </c>
      <c r="L20" s="214">
        <v>3771900</v>
      </c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75588869</v>
      </c>
      <c r="C24" s="203">
        <f t="shared" si="5"/>
        <v>75588869</v>
      </c>
      <c r="D24" s="203">
        <f t="shared" si="5"/>
        <v>254000</v>
      </c>
      <c r="E24" s="203">
        <f t="shared" si="5"/>
        <v>254000</v>
      </c>
      <c r="F24" s="203">
        <f t="shared" si="5"/>
        <v>4989884</v>
      </c>
      <c r="G24" s="203">
        <f t="shared" si="5"/>
        <v>30808241</v>
      </c>
      <c r="H24" s="203">
        <f t="shared" si="5"/>
        <v>70344985</v>
      </c>
      <c r="I24" s="203">
        <f t="shared" si="5"/>
        <v>44526628</v>
      </c>
      <c r="J24" s="203">
        <f t="shared" si="5"/>
        <v>254000</v>
      </c>
      <c r="K24" s="203">
        <f t="shared" si="5"/>
        <v>30808241</v>
      </c>
      <c r="L24" s="203">
        <f t="shared" si="5"/>
        <v>31062241</v>
      </c>
      <c r="M24" s="204">
        <f t="shared" si="4"/>
        <v>41.1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48"/>
  <sheetViews>
    <sheetView zoomScaleNormal="130" zoomScaleSheetLayoutView="100" workbookViewId="0">
      <selection activeCell="N1" sqref="N1:N32"/>
    </sheetView>
  </sheetViews>
  <sheetFormatPr defaultColWidth="8" defaultRowHeight="12.75" x14ac:dyDescent="0.2"/>
  <cols>
    <col min="1" max="1" width="24.42578125" style="179" customWidth="1"/>
    <col min="2" max="2" width="9.28515625" style="179" bestFit="1" customWidth="1"/>
    <col min="3" max="13" width="8.5703125" style="179" customWidth="1"/>
    <col min="14" max="14" width="3.42578125" style="179" customWidth="1"/>
    <col min="15" max="256" width="8" style="179"/>
    <col min="257" max="257" width="24.42578125" style="179" customWidth="1"/>
    <col min="258" max="258" width="9.28515625" style="179" bestFit="1" customWidth="1"/>
    <col min="259" max="269" width="8.5703125" style="179" customWidth="1"/>
    <col min="270" max="270" width="3.42578125" style="179" customWidth="1"/>
    <col min="271" max="512" width="8" style="179"/>
    <col min="513" max="513" width="24.42578125" style="179" customWidth="1"/>
    <col min="514" max="514" width="9.28515625" style="179" bestFit="1" customWidth="1"/>
    <col min="515" max="525" width="8.5703125" style="179" customWidth="1"/>
    <col min="526" max="526" width="3.42578125" style="179" customWidth="1"/>
    <col min="527" max="768" width="8" style="179"/>
    <col min="769" max="769" width="24.42578125" style="179" customWidth="1"/>
    <col min="770" max="770" width="9.28515625" style="179" bestFit="1" customWidth="1"/>
    <col min="771" max="781" width="8.5703125" style="179" customWidth="1"/>
    <col min="782" max="782" width="3.42578125" style="179" customWidth="1"/>
    <col min="783" max="1024" width="8" style="179"/>
    <col min="1025" max="1025" width="24.42578125" style="179" customWidth="1"/>
    <col min="1026" max="1026" width="9.28515625" style="179" bestFit="1" customWidth="1"/>
    <col min="1027" max="1037" width="8.5703125" style="179" customWidth="1"/>
    <col min="1038" max="1038" width="3.42578125" style="179" customWidth="1"/>
    <col min="1039" max="1280" width="8" style="179"/>
    <col min="1281" max="1281" width="24.42578125" style="179" customWidth="1"/>
    <col min="1282" max="1282" width="9.28515625" style="179" bestFit="1" customWidth="1"/>
    <col min="1283" max="1293" width="8.5703125" style="179" customWidth="1"/>
    <col min="1294" max="1294" width="3.42578125" style="179" customWidth="1"/>
    <col min="1295" max="1536" width="8" style="179"/>
    <col min="1537" max="1537" width="24.42578125" style="179" customWidth="1"/>
    <col min="1538" max="1538" width="9.28515625" style="179" bestFit="1" customWidth="1"/>
    <col min="1539" max="1549" width="8.5703125" style="179" customWidth="1"/>
    <col min="1550" max="1550" width="3.42578125" style="179" customWidth="1"/>
    <col min="1551" max="1792" width="8" style="179"/>
    <col min="1793" max="1793" width="24.42578125" style="179" customWidth="1"/>
    <col min="1794" max="1794" width="9.28515625" style="179" bestFit="1" customWidth="1"/>
    <col min="1795" max="1805" width="8.5703125" style="179" customWidth="1"/>
    <col min="1806" max="1806" width="3.42578125" style="179" customWidth="1"/>
    <col min="1807" max="2048" width="8" style="179"/>
    <col min="2049" max="2049" width="24.42578125" style="179" customWidth="1"/>
    <col min="2050" max="2050" width="9.28515625" style="179" bestFit="1" customWidth="1"/>
    <col min="2051" max="2061" width="8.5703125" style="179" customWidth="1"/>
    <col min="2062" max="2062" width="3.42578125" style="179" customWidth="1"/>
    <col min="2063" max="2304" width="8" style="179"/>
    <col min="2305" max="2305" width="24.42578125" style="179" customWidth="1"/>
    <col min="2306" max="2306" width="9.28515625" style="179" bestFit="1" customWidth="1"/>
    <col min="2307" max="2317" width="8.5703125" style="179" customWidth="1"/>
    <col min="2318" max="2318" width="3.42578125" style="179" customWidth="1"/>
    <col min="2319" max="2560" width="8" style="179"/>
    <col min="2561" max="2561" width="24.42578125" style="179" customWidth="1"/>
    <col min="2562" max="2562" width="9.28515625" style="179" bestFit="1" customWidth="1"/>
    <col min="2563" max="2573" width="8.5703125" style="179" customWidth="1"/>
    <col min="2574" max="2574" width="3.42578125" style="179" customWidth="1"/>
    <col min="2575" max="2816" width="8" style="179"/>
    <col min="2817" max="2817" width="24.42578125" style="179" customWidth="1"/>
    <col min="2818" max="2818" width="9.28515625" style="179" bestFit="1" customWidth="1"/>
    <col min="2819" max="2829" width="8.5703125" style="179" customWidth="1"/>
    <col min="2830" max="2830" width="3.42578125" style="179" customWidth="1"/>
    <col min="2831" max="3072" width="8" style="179"/>
    <col min="3073" max="3073" width="24.42578125" style="179" customWidth="1"/>
    <col min="3074" max="3074" width="9.28515625" style="179" bestFit="1" customWidth="1"/>
    <col min="3075" max="3085" width="8.5703125" style="179" customWidth="1"/>
    <col min="3086" max="3086" width="3.42578125" style="179" customWidth="1"/>
    <col min="3087" max="3328" width="8" style="179"/>
    <col min="3329" max="3329" width="24.42578125" style="179" customWidth="1"/>
    <col min="3330" max="3330" width="9.28515625" style="179" bestFit="1" customWidth="1"/>
    <col min="3331" max="3341" width="8.5703125" style="179" customWidth="1"/>
    <col min="3342" max="3342" width="3.42578125" style="179" customWidth="1"/>
    <col min="3343" max="3584" width="8" style="179"/>
    <col min="3585" max="3585" width="24.42578125" style="179" customWidth="1"/>
    <col min="3586" max="3586" width="9.28515625" style="179" bestFit="1" customWidth="1"/>
    <col min="3587" max="3597" width="8.5703125" style="179" customWidth="1"/>
    <col min="3598" max="3598" width="3.42578125" style="179" customWidth="1"/>
    <col min="3599" max="3840" width="8" style="179"/>
    <col min="3841" max="3841" width="24.42578125" style="179" customWidth="1"/>
    <col min="3842" max="3842" width="9.28515625" style="179" bestFit="1" customWidth="1"/>
    <col min="3843" max="3853" width="8.5703125" style="179" customWidth="1"/>
    <col min="3854" max="3854" width="3.42578125" style="179" customWidth="1"/>
    <col min="3855" max="4096" width="8" style="179"/>
    <col min="4097" max="4097" width="24.42578125" style="179" customWidth="1"/>
    <col min="4098" max="4098" width="9.28515625" style="179" bestFit="1" customWidth="1"/>
    <col min="4099" max="4109" width="8.5703125" style="179" customWidth="1"/>
    <col min="4110" max="4110" width="3.42578125" style="179" customWidth="1"/>
    <col min="4111" max="4352" width="8" style="179"/>
    <col min="4353" max="4353" width="24.42578125" style="179" customWidth="1"/>
    <col min="4354" max="4354" width="9.28515625" style="179" bestFit="1" customWidth="1"/>
    <col min="4355" max="4365" width="8.5703125" style="179" customWidth="1"/>
    <col min="4366" max="4366" width="3.42578125" style="179" customWidth="1"/>
    <col min="4367" max="4608" width="8" style="179"/>
    <col min="4609" max="4609" width="24.42578125" style="179" customWidth="1"/>
    <col min="4610" max="4610" width="9.28515625" style="179" bestFit="1" customWidth="1"/>
    <col min="4611" max="4621" width="8.5703125" style="179" customWidth="1"/>
    <col min="4622" max="4622" width="3.42578125" style="179" customWidth="1"/>
    <col min="4623" max="4864" width="8" style="179"/>
    <col min="4865" max="4865" width="24.42578125" style="179" customWidth="1"/>
    <col min="4866" max="4866" width="9.28515625" style="179" bestFit="1" customWidth="1"/>
    <col min="4867" max="4877" width="8.5703125" style="179" customWidth="1"/>
    <col min="4878" max="4878" width="3.42578125" style="179" customWidth="1"/>
    <col min="4879" max="5120" width="8" style="179"/>
    <col min="5121" max="5121" width="24.42578125" style="179" customWidth="1"/>
    <col min="5122" max="5122" width="9.28515625" style="179" bestFit="1" customWidth="1"/>
    <col min="5123" max="5133" width="8.5703125" style="179" customWidth="1"/>
    <col min="5134" max="5134" width="3.42578125" style="179" customWidth="1"/>
    <col min="5135" max="5376" width="8" style="179"/>
    <col min="5377" max="5377" width="24.42578125" style="179" customWidth="1"/>
    <col min="5378" max="5378" width="9.28515625" style="179" bestFit="1" customWidth="1"/>
    <col min="5379" max="5389" width="8.5703125" style="179" customWidth="1"/>
    <col min="5390" max="5390" width="3.42578125" style="179" customWidth="1"/>
    <col min="5391" max="5632" width="8" style="179"/>
    <col min="5633" max="5633" width="24.42578125" style="179" customWidth="1"/>
    <col min="5634" max="5634" width="9.28515625" style="179" bestFit="1" customWidth="1"/>
    <col min="5635" max="5645" width="8.5703125" style="179" customWidth="1"/>
    <col min="5646" max="5646" width="3.42578125" style="179" customWidth="1"/>
    <col min="5647" max="5888" width="8" style="179"/>
    <col min="5889" max="5889" width="24.42578125" style="179" customWidth="1"/>
    <col min="5890" max="5890" width="9.28515625" style="179" bestFit="1" customWidth="1"/>
    <col min="5891" max="5901" width="8.5703125" style="179" customWidth="1"/>
    <col min="5902" max="5902" width="3.42578125" style="179" customWidth="1"/>
    <col min="5903" max="6144" width="8" style="179"/>
    <col min="6145" max="6145" width="24.42578125" style="179" customWidth="1"/>
    <col min="6146" max="6146" width="9.28515625" style="179" bestFit="1" customWidth="1"/>
    <col min="6147" max="6157" width="8.5703125" style="179" customWidth="1"/>
    <col min="6158" max="6158" width="3.42578125" style="179" customWidth="1"/>
    <col min="6159" max="6400" width="8" style="179"/>
    <col min="6401" max="6401" width="24.42578125" style="179" customWidth="1"/>
    <col min="6402" max="6402" width="9.28515625" style="179" bestFit="1" customWidth="1"/>
    <col min="6403" max="6413" width="8.5703125" style="179" customWidth="1"/>
    <col min="6414" max="6414" width="3.42578125" style="179" customWidth="1"/>
    <col min="6415" max="6656" width="8" style="179"/>
    <col min="6657" max="6657" width="24.42578125" style="179" customWidth="1"/>
    <col min="6658" max="6658" width="9.28515625" style="179" bestFit="1" customWidth="1"/>
    <col min="6659" max="6669" width="8.5703125" style="179" customWidth="1"/>
    <col min="6670" max="6670" width="3.42578125" style="179" customWidth="1"/>
    <col min="6671" max="6912" width="8" style="179"/>
    <col min="6913" max="6913" width="24.42578125" style="179" customWidth="1"/>
    <col min="6914" max="6914" width="9.28515625" style="179" bestFit="1" customWidth="1"/>
    <col min="6915" max="6925" width="8.5703125" style="179" customWidth="1"/>
    <col min="6926" max="6926" width="3.42578125" style="179" customWidth="1"/>
    <col min="6927" max="7168" width="8" style="179"/>
    <col min="7169" max="7169" width="24.42578125" style="179" customWidth="1"/>
    <col min="7170" max="7170" width="9.28515625" style="179" bestFit="1" customWidth="1"/>
    <col min="7171" max="7181" width="8.5703125" style="179" customWidth="1"/>
    <col min="7182" max="7182" width="3.42578125" style="179" customWidth="1"/>
    <col min="7183" max="7424" width="8" style="179"/>
    <col min="7425" max="7425" width="24.42578125" style="179" customWidth="1"/>
    <col min="7426" max="7426" width="9.28515625" style="179" bestFit="1" customWidth="1"/>
    <col min="7427" max="7437" width="8.5703125" style="179" customWidth="1"/>
    <col min="7438" max="7438" width="3.42578125" style="179" customWidth="1"/>
    <col min="7439" max="7680" width="8" style="179"/>
    <col min="7681" max="7681" width="24.42578125" style="179" customWidth="1"/>
    <col min="7682" max="7682" width="9.28515625" style="179" bestFit="1" customWidth="1"/>
    <col min="7683" max="7693" width="8.5703125" style="179" customWidth="1"/>
    <col min="7694" max="7694" width="3.42578125" style="179" customWidth="1"/>
    <col min="7695" max="7936" width="8" style="179"/>
    <col min="7937" max="7937" width="24.42578125" style="179" customWidth="1"/>
    <col min="7938" max="7938" width="9.28515625" style="179" bestFit="1" customWidth="1"/>
    <col min="7939" max="7949" width="8.5703125" style="179" customWidth="1"/>
    <col min="7950" max="7950" width="3.42578125" style="179" customWidth="1"/>
    <col min="7951" max="8192" width="8" style="179"/>
    <col min="8193" max="8193" width="24.42578125" style="179" customWidth="1"/>
    <col min="8194" max="8194" width="9.28515625" style="179" bestFit="1" customWidth="1"/>
    <col min="8195" max="8205" width="8.5703125" style="179" customWidth="1"/>
    <col min="8206" max="8206" width="3.42578125" style="179" customWidth="1"/>
    <col min="8207" max="8448" width="8" style="179"/>
    <col min="8449" max="8449" width="24.42578125" style="179" customWidth="1"/>
    <col min="8450" max="8450" width="9.28515625" style="179" bestFit="1" customWidth="1"/>
    <col min="8451" max="8461" width="8.5703125" style="179" customWidth="1"/>
    <col min="8462" max="8462" width="3.42578125" style="179" customWidth="1"/>
    <col min="8463" max="8704" width="8" style="179"/>
    <col min="8705" max="8705" width="24.42578125" style="179" customWidth="1"/>
    <col min="8706" max="8706" width="9.28515625" style="179" bestFit="1" customWidth="1"/>
    <col min="8707" max="8717" width="8.5703125" style="179" customWidth="1"/>
    <col min="8718" max="8718" width="3.42578125" style="179" customWidth="1"/>
    <col min="8719" max="8960" width="8" style="179"/>
    <col min="8961" max="8961" width="24.42578125" style="179" customWidth="1"/>
    <col min="8962" max="8962" width="9.28515625" style="179" bestFit="1" customWidth="1"/>
    <col min="8963" max="8973" width="8.5703125" style="179" customWidth="1"/>
    <col min="8974" max="8974" width="3.42578125" style="179" customWidth="1"/>
    <col min="8975" max="9216" width="8" style="179"/>
    <col min="9217" max="9217" width="24.42578125" style="179" customWidth="1"/>
    <col min="9218" max="9218" width="9.28515625" style="179" bestFit="1" customWidth="1"/>
    <col min="9219" max="9229" width="8.5703125" style="179" customWidth="1"/>
    <col min="9230" max="9230" width="3.42578125" style="179" customWidth="1"/>
    <col min="9231" max="9472" width="8" style="179"/>
    <col min="9473" max="9473" width="24.42578125" style="179" customWidth="1"/>
    <col min="9474" max="9474" width="9.28515625" style="179" bestFit="1" customWidth="1"/>
    <col min="9475" max="9485" width="8.5703125" style="179" customWidth="1"/>
    <col min="9486" max="9486" width="3.42578125" style="179" customWidth="1"/>
    <col min="9487" max="9728" width="8" style="179"/>
    <col min="9729" max="9729" width="24.42578125" style="179" customWidth="1"/>
    <col min="9730" max="9730" width="9.28515625" style="179" bestFit="1" customWidth="1"/>
    <col min="9731" max="9741" width="8.5703125" style="179" customWidth="1"/>
    <col min="9742" max="9742" width="3.42578125" style="179" customWidth="1"/>
    <col min="9743" max="9984" width="8" style="179"/>
    <col min="9985" max="9985" width="24.42578125" style="179" customWidth="1"/>
    <col min="9986" max="9986" width="9.28515625" style="179" bestFit="1" customWidth="1"/>
    <col min="9987" max="9997" width="8.5703125" style="179" customWidth="1"/>
    <col min="9998" max="9998" width="3.42578125" style="179" customWidth="1"/>
    <col min="9999" max="10240" width="8" style="179"/>
    <col min="10241" max="10241" width="24.42578125" style="179" customWidth="1"/>
    <col min="10242" max="10242" width="9.28515625" style="179" bestFit="1" customWidth="1"/>
    <col min="10243" max="10253" width="8.5703125" style="179" customWidth="1"/>
    <col min="10254" max="10254" width="3.42578125" style="179" customWidth="1"/>
    <col min="10255" max="10496" width="8" style="179"/>
    <col min="10497" max="10497" width="24.42578125" style="179" customWidth="1"/>
    <col min="10498" max="10498" width="9.28515625" style="179" bestFit="1" customWidth="1"/>
    <col min="10499" max="10509" width="8.5703125" style="179" customWidth="1"/>
    <col min="10510" max="10510" width="3.42578125" style="179" customWidth="1"/>
    <col min="10511" max="10752" width="8" style="179"/>
    <col min="10753" max="10753" width="24.42578125" style="179" customWidth="1"/>
    <col min="10754" max="10754" width="9.28515625" style="179" bestFit="1" customWidth="1"/>
    <col min="10755" max="10765" width="8.5703125" style="179" customWidth="1"/>
    <col min="10766" max="10766" width="3.42578125" style="179" customWidth="1"/>
    <col min="10767" max="11008" width="8" style="179"/>
    <col min="11009" max="11009" width="24.42578125" style="179" customWidth="1"/>
    <col min="11010" max="11010" width="9.28515625" style="179" bestFit="1" customWidth="1"/>
    <col min="11011" max="11021" width="8.5703125" style="179" customWidth="1"/>
    <col min="11022" max="11022" width="3.42578125" style="179" customWidth="1"/>
    <col min="11023" max="11264" width="8" style="179"/>
    <col min="11265" max="11265" width="24.42578125" style="179" customWidth="1"/>
    <col min="11266" max="11266" width="9.28515625" style="179" bestFit="1" customWidth="1"/>
    <col min="11267" max="11277" width="8.5703125" style="179" customWidth="1"/>
    <col min="11278" max="11278" width="3.42578125" style="179" customWidth="1"/>
    <col min="11279" max="11520" width="8" style="179"/>
    <col min="11521" max="11521" width="24.42578125" style="179" customWidth="1"/>
    <col min="11522" max="11522" width="9.28515625" style="179" bestFit="1" customWidth="1"/>
    <col min="11523" max="11533" width="8.5703125" style="179" customWidth="1"/>
    <col min="11534" max="11534" width="3.42578125" style="179" customWidth="1"/>
    <col min="11535" max="11776" width="8" style="179"/>
    <col min="11777" max="11777" width="24.42578125" style="179" customWidth="1"/>
    <col min="11778" max="11778" width="9.28515625" style="179" bestFit="1" customWidth="1"/>
    <col min="11779" max="11789" width="8.5703125" style="179" customWidth="1"/>
    <col min="11790" max="11790" width="3.42578125" style="179" customWidth="1"/>
    <col min="11791" max="12032" width="8" style="179"/>
    <col min="12033" max="12033" width="24.42578125" style="179" customWidth="1"/>
    <col min="12034" max="12034" width="9.28515625" style="179" bestFit="1" customWidth="1"/>
    <col min="12035" max="12045" width="8.5703125" style="179" customWidth="1"/>
    <col min="12046" max="12046" width="3.42578125" style="179" customWidth="1"/>
    <col min="12047" max="12288" width="8" style="179"/>
    <col min="12289" max="12289" width="24.42578125" style="179" customWidth="1"/>
    <col min="12290" max="12290" width="9.28515625" style="179" bestFit="1" customWidth="1"/>
    <col min="12291" max="12301" width="8.5703125" style="179" customWidth="1"/>
    <col min="12302" max="12302" width="3.42578125" style="179" customWidth="1"/>
    <col min="12303" max="12544" width="8" style="179"/>
    <col min="12545" max="12545" width="24.42578125" style="179" customWidth="1"/>
    <col min="12546" max="12546" width="9.28515625" style="179" bestFit="1" customWidth="1"/>
    <col min="12547" max="12557" width="8.5703125" style="179" customWidth="1"/>
    <col min="12558" max="12558" width="3.42578125" style="179" customWidth="1"/>
    <col min="12559" max="12800" width="8" style="179"/>
    <col min="12801" max="12801" width="24.42578125" style="179" customWidth="1"/>
    <col min="12802" max="12802" width="9.28515625" style="179" bestFit="1" customWidth="1"/>
    <col min="12803" max="12813" width="8.5703125" style="179" customWidth="1"/>
    <col min="12814" max="12814" width="3.42578125" style="179" customWidth="1"/>
    <col min="12815" max="13056" width="8" style="179"/>
    <col min="13057" max="13057" width="24.42578125" style="179" customWidth="1"/>
    <col min="13058" max="13058" width="9.28515625" style="179" bestFit="1" customWidth="1"/>
    <col min="13059" max="13069" width="8.5703125" style="179" customWidth="1"/>
    <col min="13070" max="13070" width="3.42578125" style="179" customWidth="1"/>
    <col min="13071" max="13312" width="8" style="179"/>
    <col min="13313" max="13313" width="24.42578125" style="179" customWidth="1"/>
    <col min="13314" max="13314" width="9.28515625" style="179" bestFit="1" customWidth="1"/>
    <col min="13315" max="13325" width="8.5703125" style="179" customWidth="1"/>
    <col min="13326" max="13326" width="3.42578125" style="179" customWidth="1"/>
    <col min="13327" max="13568" width="8" style="179"/>
    <col min="13569" max="13569" width="24.42578125" style="179" customWidth="1"/>
    <col min="13570" max="13570" width="9.28515625" style="179" bestFit="1" customWidth="1"/>
    <col min="13571" max="13581" width="8.5703125" style="179" customWidth="1"/>
    <col min="13582" max="13582" width="3.42578125" style="179" customWidth="1"/>
    <col min="13583" max="13824" width="8" style="179"/>
    <col min="13825" max="13825" width="24.42578125" style="179" customWidth="1"/>
    <col min="13826" max="13826" width="9.28515625" style="179" bestFit="1" customWidth="1"/>
    <col min="13827" max="13837" width="8.5703125" style="179" customWidth="1"/>
    <col min="13838" max="13838" width="3.42578125" style="179" customWidth="1"/>
    <col min="13839" max="14080" width="8" style="179"/>
    <col min="14081" max="14081" width="24.42578125" style="179" customWidth="1"/>
    <col min="14082" max="14082" width="9.28515625" style="179" bestFit="1" customWidth="1"/>
    <col min="14083" max="14093" width="8.5703125" style="179" customWidth="1"/>
    <col min="14094" max="14094" width="3.42578125" style="179" customWidth="1"/>
    <col min="14095" max="14336" width="8" style="179"/>
    <col min="14337" max="14337" width="24.42578125" style="179" customWidth="1"/>
    <col min="14338" max="14338" width="9.28515625" style="179" bestFit="1" customWidth="1"/>
    <col min="14339" max="14349" width="8.5703125" style="179" customWidth="1"/>
    <col min="14350" max="14350" width="3.42578125" style="179" customWidth="1"/>
    <col min="14351" max="14592" width="8" style="179"/>
    <col min="14593" max="14593" width="24.42578125" style="179" customWidth="1"/>
    <col min="14594" max="14594" width="9.28515625" style="179" bestFit="1" customWidth="1"/>
    <col min="14595" max="14605" width="8.5703125" style="179" customWidth="1"/>
    <col min="14606" max="14606" width="3.42578125" style="179" customWidth="1"/>
    <col min="14607" max="14848" width="8" style="179"/>
    <col min="14849" max="14849" width="24.42578125" style="179" customWidth="1"/>
    <col min="14850" max="14850" width="9.28515625" style="179" bestFit="1" customWidth="1"/>
    <col min="14851" max="14861" width="8.5703125" style="179" customWidth="1"/>
    <col min="14862" max="14862" width="3.42578125" style="179" customWidth="1"/>
    <col min="14863" max="15104" width="8" style="179"/>
    <col min="15105" max="15105" width="24.42578125" style="179" customWidth="1"/>
    <col min="15106" max="15106" width="9.28515625" style="179" bestFit="1" customWidth="1"/>
    <col min="15107" max="15117" width="8.5703125" style="179" customWidth="1"/>
    <col min="15118" max="15118" width="3.42578125" style="179" customWidth="1"/>
    <col min="15119" max="15360" width="8" style="179"/>
    <col min="15361" max="15361" width="24.42578125" style="179" customWidth="1"/>
    <col min="15362" max="15362" width="9.28515625" style="179" bestFit="1" customWidth="1"/>
    <col min="15363" max="15373" width="8.5703125" style="179" customWidth="1"/>
    <col min="15374" max="15374" width="3.42578125" style="179" customWidth="1"/>
    <col min="15375" max="15616" width="8" style="179"/>
    <col min="15617" max="15617" width="24.42578125" style="179" customWidth="1"/>
    <col min="15618" max="15618" width="9.28515625" style="179" bestFit="1" customWidth="1"/>
    <col min="15619" max="15629" width="8.5703125" style="179" customWidth="1"/>
    <col min="15630" max="15630" width="3.42578125" style="179" customWidth="1"/>
    <col min="15631" max="15872" width="8" style="179"/>
    <col min="15873" max="15873" width="24.42578125" style="179" customWidth="1"/>
    <col min="15874" max="15874" width="9.28515625" style="179" bestFit="1" customWidth="1"/>
    <col min="15875" max="15885" width="8.5703125" style="179" customWidth="1"/>
    <col min="15886" max="15886" width="3.42578125" style="179" customWidth="1"/>
    <col min="15887" max="16128" width="8" style="179"/>
    <col min="16129" max="16129" width="24.42578125" style="179" customWidth="1"/>
    <col min="16130" max="16130" width="9.28515625" style="179" bestFit="1" customWidth="1"/>
    <col min="16131" max="16141" width="8.5703125" style="179" customWidth="1"/>
    <col min="16142" max="16142" width="3.42578125" style="179" customWidth="1"/>
    <col min="16143" max="16384" width="8" style="179"/>
  </cols>
  <sheetData>
    <row r="1" spans="1:14" ht="39.75" customHeight="1" x14ac:dyDescent="0.2">
      <c r="A1" s="961" t="s">
        <v>908</v>
      </c>
      <c r="B1" s="961"/>
      <c r="C1" s="961"/>
      <c r="D1" s="962" t="s">
        <v>911</v>
      </c>
      <c r="E1" s="963"/>
      <c r="F1" s="963"/>
      <c r="G1" s="963"/>
      <c r="H1" s="963"/>
      <c r="I1" s="963"/>
      <c r="J1" s="963"/>
      <c r="K1" s="963"/>
      <c r="L1" s="963"/>
      <c r="M1" s="963"/>
      <c r="N1" s="964" t="s">
        <v>931</v>
      </c>
    </row>
    <row r="2" spans="1:14" ht="15.75" customHeight="1" thickBot="1" x14ac:dyDescent="0.25">
      <c r="A2" s="965"/>
      <c r="B2" s="965"/>
      <c r="C2" s="965"/>
      <c r="D2" s="965"/>
      <c r="E2" s="965"/>
      <c r="F2" s="965"/>
      <c r="G2" s="965"/>
      <c r="H2" s="965"/>
      <c r="I2" s="965"/>
      <c r="J2" s="965"/>
      <c r="K2" s="965"/>
      <c r="L2" s="956" t="s">
        <v>500</v>
      </c>
      <c r="M2" s="956"/>
      <c r="N2" s="964"/>
    </row>
    <row r="3" spans="1:14" ht="13.5" thickBot="1" x14ac:dyDescent="0.25">
      <c r="A3" s="966" t="s">
        <v>258</v>
      </c>
      <c r="B3" s="969" t="s">
        <v>207</v>
      </c>
      <c r="C3" s="969"/>
      <c r="D3" s="969"/>
      <c r="E3" s="969"/>
      <c r="F3" s="969"/>
      <c r="G3" s="969"/>
      <c r="H3" s="969"/>
      <c r="I3" s="969"/>
      <c r="J3" s="970" t="s">
        <v>228</v>
      </c>
      <c r="K3" s="970"/>
      <c r="L3" s="970"/>
      <c r="M3" s="970"/>
      <c r="N3" s="964"/>
    </row>
    <row r="4" spans="1:14" ht="15" customHeight="1" thickBot="1" x14ac:dyDescent="0.25">
      <c r="A4" s="967"/>
      <c r="B4" s="972" t="s">
        <v>229</v>
      </c>
      <c r="C4" s="973" t="s">
        <v>230</v>
      </c>
      <c r="D4" s="976" t="s">
        <v>208</v>
      </c>
      <c r="E4" s="976"/>
      <c r="F4" s="976"/>
      <c r="G4" s="976"/>
      <c r="H4" s="976"/>
      <c r="I4" s="976"/>
      <c r="J4" s="971"/>
      <c r="K4" s="971"/>
      <c r="L4" s="971"/>
      <c r="M4" s="971"/>
      <c r="N4" s="964"/>
    </row>
    <row r="5" spans="1:14" ht="21.75" thickBot="1" x14ac:dyDescent="0.25">
      <c r="A5" s="967"/>
      <c r="B5" s="972"/>
      <c r="C5" s="973"/>
      <c r="D5" s="832" t="s">
        <v>229</v>
      </c>
      <c r="E5" s="832" t="s">
        <v>230</v>
      </c>
      <c r="F5" s="832" t="s">
        <v>229</v>
      </c>
      <c r="G5" s="832" t="s">
        <v>230</v>
      </c>
      <c r="H5" s="832" t="s">
        <v>229</v>
      </c>
      <c r="I5" s="832" t="s">
        <v>230</v>
      </c>
      <c r="J5" s="971"/>
      <c r="K5" s="971"/>
      <c r="L5" s="971"/>
      <c r="M5" s="971"/>
      <c r="N5" s="964"/>
    </row>
    <row r="6" spans="1:14" ht="32.25" thickBot="1" x14ac:dyDescent="0.25">
      <c r="A6" s="968"/>
      <c r="B6" s="973" t="s">
        <v>209</v>
      </c>
      <c r="C6" s="973"/>
      <c r="D6" s="973" t="s">
        <v>813</v>
      </c>
      <c r="E6" s="973"/>
      <c r="F6" s="973" t="s">
        <v>772</v>
      </c>
      <c r="G6" s="973"/>
      <c r="H6" s="972" t="s">
        <v>814</v>
      </c>
      <c r="I6" s="972"/>
      <c r="J6" s="833" t="str">
        <f>+D6</f>
        <v>2017. előtt</v>
      </c>
      <c r="K6" s="832" t="str">
        <f>+F6</f>
        <v>2017. évi</v>
      </c>
      <c r="L6" s="833" t="s">
        <v>257</v>
      </c>
      <c r="M6" s="832" t="s">
        <v>815</v>
      </c>
      <c r="N6" s="964"/>
    </row>
    <row r="7" spans="1:14" ht="13.5" thickBot="1" x14ac:dyDescent="0.25">
      <c r="A7" s="181" t="s">
        <v>457</v>
      </c>
      <c r="B7" s="833" t="s">
        <v>458</v>
      </c>
      <c r="C7" s="833" t="s">
        <v>459</v>
      </c>
      <c r="D7" s="182" t="s">
        <v>460</v>
      </c>
      <c r="E7" s="832" t="s">
        <v>461</v>
      </c>
      <c r="F7" s="832" t="s">
        <v>649</v>
      </c>
      <c r="G7" s="832" t="s">
        <v>650</v>
      </c>
      <c r="H7" s="833" t="s">
        <v>651</v>
      </c>
      <c r="I7" s="182" t="s">
        <v>652</v>
      </c>
      <c r="J7" s="182" t="s">
        <v>684</v>
      </c>
      <c r="K7" s="182" t="s">
        <v>685</v>
      </c>
      <c r="L7" s="182" t="s">
        <v>686</v>
      </c>
      <c r="M7" s="183" t="s">
        <v>687</v>
      </c>
      <c r="N7" s="964"/>
    </row>
    <row r="8" spans="1:14" x14ac:dyDescent="0.2">
      <c r="A8" s="184" t="s">
        <v>210</v>
      </c>
      <c r="B8" s="185"/>
      <c r="C8" s="186"/>
      <c r="D8" s="186"/>
      <c r="E8" s="187"/>
      <c r="F8" s="186"/>
      <c r="G8" s="186"/>
      <c r="H8" s="186"/>
      <c r="I8" s="186"/>
      <c r="J8" s="186"/>
      <c r="K8" s="186"/>
      <c r="L8" s="188">
        <f t="shared" ref="L8:L14" si="0">+J8+K8</f>
        <v>0</v>
      </c>
      <c r="M8" s="189" t="str">
        <f t="shared" ref="M8:M15" si="1">IF((C8&lt;&gt;0),ROUND((L8/C8)*100,1),"")</f>
        <v/>
      </c>
      <c r="N8" s="964"/>
    </row>
    <row r="9" spans="1:14" x14ac:dyDescent="0.2">
      <c r="A9" s="190" t="s">
        <v>213</v>
      </c>
      <c r="B9" s="191"/>
      <c r="C9" s="192"/>
      <c r="D9" s="192"/>
      <c r="E9" s="192"/>
      <c r="F9" s="192"/>
      <c r="G9" s="192"/>
      <c r="H9" s="192"/>
      <c r="I9" s="192"/>
      <c r="J9" s="192"/>
      <c r="K9" s="192"/>
      <c r="L9" s="193">
        <f t="shared" si="0"/>
        <v>0</v>
      </c>
      <c r="M9" s="194" t="str">
        <f t="shared" si="1"/>
        <v/>
      </c>
      <c r="N9" s="964"/>
    </row>
    <row r="10" spans="1:14" x14ac:dyDescent="0.2">
      <c r="A10" s="195" t="s">
        <v>214</v>
      </c>
      <c r="B10" s="196">
        <v>15959160</v>
      </c>
      <c r="C10" s="197">
        <v>15959160</v>
      </c>
      <c r="D10" s="197"/>
      <c r="E10" s="197"/>
      <c r="F10" s="197"/>
      <c r="G10" s="197"/>
      <c r="H10" s="197">
        <v>15959160</v>
      </c>
      <c r="I10" s="197"/>
      <c r="J10" s="197"/>
      <c r="K10" s="197"/>
      <c r="L10" s="193"/>
      <c r="M10" s="194"/>
      <c r="N10" s="964"/>
    </row>
    <row r="11" spans="1:14" x14ac:dyDescent="0.2">
      <c r="A11" s="195" t="s">
        <v>215</v>
      </c>
      <c r="B11" s="196"/>
      <c r="C11" s="197"/>
      <c r="D11" s="197"/>
      <c r="E11" s="197"/>
      <c r="F11" s="197"/>
      <c r="G11" s="197"/>
      <c r="H11" s="197"/>
      <c r="I11" s="197"/>
      <c r="J11" s="197"/>
      <c r="K11" s="197"/>
      <c r="L11" s="193"/>
      <c r="M11" s="194"/>
      <c r="N11" s="964"/>
    </row>
    <row r="12" spans="1:14" x14ac:dyDescent="0.2">
      <c r="A12" s="195" t="s">
        <v>216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3">
        <f t="shared" si="0"/>
        <v>0</v>
      </c>
      <c r="M12" s="194" t="str">
        <f t="shared" si="1"/>
        <v/>
      </c>
      <c r="N12" s="964"/>
    </row>
    <row r="13" spans="1:14" x14ac:dyDescent="0.2">
      <c r="A13" s="195" t="s">
        <v>217</v>
      </c>
      <c r="B13" s="196"/>
      <c r="C13" s="197"/>
      <c r="D13" s="197"/>
      <c r="E13" s="197"/>
      <c r="F13" s="197"/>
      <c r="G13" s="197"/>
      <c r="H13" s="197"/>
      <c r="I13" s="197"/>
      <c r="J13" s="197"/>
      <c r="K13" s="197"/>
      <c r="L13" s="193">
        <f t="shared" si="0"/>
        <v>0</v>
      </c>
      <c r="M13" s="194" t="str">
        <f t="shared" si="1"/>
        <v/>
      </c>
      <c r="N13" s="964"/>
    </row>
    <row r="14" spans="1:14" ht="15" customHeight="1" thickBot="1" x14ac:dyDescent="0.25">
      <c r="A14" s="198"/>
      <c r="B14" s="199"/>
      <c r="C14" s="200"/>
      <c r="D14" s="200"/>
      <c r="E14" s="200"/>
      <c r="F14" s="200"/>
      <c r="G14" s="200"/>
      <c r="H14" s="200"/>
      <c r="I14" s="200"/>
      <c r="J14" s="200"/>
      <c r="K14" s="200"/>
      <c r="L14" s="193">
        <f t="shared" si="0"/>
        <v>0</v>
      </c>
      <c r="M14" s="201" t="str">
        <f t="shared" si="1"/>
        <v/>
      </c>
      <c r="N14" s="964"/>
    </row>
    <row r="15" spans="1:14" ht="13.5" thickBot="1" x14ac:dyDescent="0.25">
      <c r="A15" s="202" t="s">
        <v>218</v>
      </c>
      <c r="B15" s="203">
        <f t="shared" ref="B15:L15" si="2">B8+SUM(B10:B14)</f>
        <v>15959160</v>
      </c>
      <c r="C15" s="203">
        <f t="shared" si="2"/>
        <v>15959160</v>
      </c>
      <c r="D15" s="203">
        <f t="shared" si="2"/>
        <v>0</v>
      </c>
      <c r="E15" s="203">
        <f t="shared" si="2"/>
        <v>0</v>
      </c>
      <c r="F15" s="203">
        <f t="shared" si="2"/>
        <v>0</v>
      </c>
      <c r="G15" s="203">
        <f t="shared" si="2"/>
        <v>0</v>
      </c>
      <c r="H15" s="203">
        <f t="shared" si="2"/>
        <v>15959160</v>
      </c>
      <c r="I15" s="203">
        <f t="shared" si="2"/>
        <v>0</v>
      </c>
      <c r="J15" s="203">
        <f t="shared" si="2"/>
        <v>0</v>
      </c>
      <c r="K15" s="203">
        <f t="shared" si="2"/>
        <v>0</v>
      </c>
      <c r="L15" s="203">
        <f t="shared" si="2"/>
        <v>0</v>
      </c>
      <c r="M15" s="204">
        <f t="shared" si="1"/>
        <v>0</v>
      </c>
      <c r="N15" s="964"/>
    </row>
    <row r="16" spans="1:14" x14ac:dyDescent="0.2">
      <c r="A16" s="205"/>
      <c r="B16" s="206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964"/>
    </row>
    <row r="17" spans="1:14" ht="13.5" thickBot="1" x14ac:dyDescent="0.25">
      <c r="A17" s="208" t="s">
        <v>219</v>
      </c>
      <c r="B17" s="209"/>
      <c r="C17" s="210"/>
      <c r="D17" s="210"/>
      <c r="E17" s="210"/>
      <c r="F17" s="210"/>
      <c r="G17" s="210"/>
      <c r="H17" s="210"/>
      <c r="I17" s="210"/>
      <c r="J17" s="210"/>
      <c r="K17" s="210"/>
      <c r="L17" s="210"/>
      <c r="M17" s="210"/>
      <c r="N17" s="964"/>
    </row>
    <row r="18" spans="1:14" x14ac:dyDescent="0.2">
      <c r="A18" s="211" t="s">
        <v>220</v>
      </c>
      <c r="B18" s="185"/>
      <c r="C18" s="186"/>
      <c r="D18" s="186"/>
      <c r="E18" s="187"/>
      <c r="F18" s="186"/>
      <c r="G18" s="186"/>
      <c r="H18" s="186"/>
      <c r="I18" s="186"/>
      <c r="J18" s="186"/>
      <c r="K18" s="186"/>
      <c r="L18" s="212">
        <f t="shared" ref="L18:L23" si="3">+J18+K18</f>
        <v>0</v>
      </c>
      <c r="M18" s="189" t="str">
        <f t="shared" ref="M18:M24" si="4">IF((C18&lt;&gt;0),ROUND((L18/C18)*100,1),"")</f>
        <v/>
      </c>
      <c r="N18" s="964"/>
    </row>
    <row r="19" spans="1:14" x14ac:dyDescent="0.2">
      <c r="A19" s="213" t="s">
        <v>221</v>
      </c>
      <c r="B19" s="191">
        <v>15000000</v>
      </c>
      <c r="C19" s="197">
        <v>15000000</v>
      </c>
      <c r="D19" s="197"/>
      <c r="E19" s="197"/>
      <c r="F19" s="197"/>
      <c r="G19" s="197"/>
      <c r="H19" s="197">
        <v>15000000</v>
      </c>
      <c r="I19" s="197"/>
      <c r="J19" s="197"/>
      <c r="K19" s="197"/>
      <c r="L19" s="214"/>
      <c r="M19" s="194"/>
      <c r="N19" s="964"/>
    </row>
    <row r="20" spans="1:14" x14ac:dyDescent="0.2">
      <c r="A20" s="213" t="s">
        <v>222</v>
      </c>
      <c r="B20" s="196">
        <v>959160</v>
      </c>
      <c r="C20" s="197">
        <v>959160</v>
      </c>
      <c r="D20" s="197"/>
      <c r="E20" s="197"/>
      <c r="F20" s="197"/>
      <c r="G20" s="197"/>
      <c r="H20" s="197">
        <v>959160</v>
      </c>
      <c r="I20" s="197"/>
      <c r="J20" s="197"/>
      <c r="K20" s="197"/>
      <c r="L20" s="214"/>
      <c r="M20" s="194"/>
      <c r="N20" s="964"/>
    </row>
    <row r="21" spans="1:14" x14ac:dyDescent="0.2">
      <c r="A21" s="213" t="s">
        <v>223</v>
      </c>
      <c r="B21" s="196"/>
      <c r="C21" s="197"/>
      <c r="D21" s="197"/>
      <c r="E21" s="197"/>
      <c r="F21" s="197"/>
      <c r="G21" s="197"/>
      <c r="H21" s="197"/>
      <c r="I21" s="197"/>
      <c r="J21" s="197"/>
      <c r="K21" s="197"/>
      <c r="L21" s="214"/>
      <c r="M21" s="194"/>
      <c r="N21" s="964"/>
    </row>
    <row r="22" spans="1:14" x14ac:dyDescent="0.2">
      <c r="A22" s="215"/>
      <c r="B22" s="196"/>
      <c r="C22" s="197"/>
      <c r="D22" s="197"/>
      <c r="E22" s="197"/>
      <c r="F22" s="197"/>
      <c r="G22" s="197"/>
      <c r="H22" s="197"/>
      <c r="I22" s="197"/>
      <c r="J22" s="197"/>
      <c r="K22" s="197"/>
      <c r="L22" s="214">
        <f t="shared" si="3"/>
        <v>0</v>
      </c>
      <c r="M22" s="194" t="str">
        <f t="shared" si="4"/>
        <v/>
      </c>
      <c r="N22" s="964"/>
    </row>
    <row r="23" spans="1:14" ht="13.5" thickBot="1" x14ac:dyDescent="0.25">
      <c r="A23" s="216"/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14">
        <f t="shared" si="3"/>
        <v>0</v>
      </c>
      <c r="M23" s="201" t="str">
        <f t="shared" si="4"/>
        <v/>
      </c>
      <c r="N23" s="964"/>
    </row>
    <row r="24" spans="1:14" ht="13.5" thickBot="1" x14ac:dyDescent="0.25">
      <c r="A24" s="217" t="s">
        <v>225</v>
      </c>
      <c r="B24" s="203">
        <f t="shared" ref="B24:L24" si="5">SUM(B18:B23)</f>
        <v>15959160</v>
      </c>
      <c r="C24" s="203">
        <f t="shared" si="5"/>
        <v>15959160</v>
      </c>
      <c r="D24" s="203">
        <f t="shared" si="5"/>
        <v>0</v>
      </c>
      <c r="E24" s="203">
        <f t="shared" si="5"/>
        <v>0</v>
      </c>
      <c r="F24" s="203">
        <f t="shared" si="5"/>
        <v>0</v>
      </c>
      <c r="G24" s="203">
        <f t="shared" si="5"/>
        <v>0</v>
      </c>
      <c r="H24" s="203">
        <f t="shared" si="5"/>
        <v>15959160</v>
      </c>
      <c r="I24" s="203">
        <f t="shared" si="5"/>
        <v>0</v>
      </c>
      <c r="J24" s="203">
        <f t="shared" si="5"/>
        <v>0</v>
      </c>
      <c r="K24" s="203">
        <f t="shared" si="5"/>
        <v>0</v>
      </c>
      <c r="L24" s="203">
        <f t="shared" si="5"/>
        <v>0</v>
      </c>
      <c r="M24" s="204">
        <f t="shared" si="4"/>
        <v>0</v>
      </c>
      <c r="N24" s="964"/>
    </row>
    <row r="25" spans="1:14" x14ac:dyDescent="0.2">
      <c r="A25" s="954" t="s">
        <v>688</v>
      </c>
      <c r="B25" s="954"/>
      <c r="C25" s="954"/>
      <c r="D25" s="954"/>
      <c r="E25" s="954"/>
      <c r="F25" s="954"/>
      <c r="G25" s="954"/>
      <c r="H25" s="954"/>
      <c r="I25" s="954"/>
      <c r="J25" s="954"/>
      <c r="K25" s="954"/>
      <c r="L25" s="954"/>
      <c r="M25" s="954"/>
      <c r="N25" s="964"/>
    </row>
    <row r="26" spans="1:14" ht="5.25" customHeight="1" x14ac:dyDescent="0.2">
      <c r="A26" s="218"/>
      <c r="B26" s="218"/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964"/>
    </row>
    <row r="27" spans="1:14" ht="15.75" x14ac:dyDescent="0.2">
      <c r="A27" s="955" t="s">
        <v>816</v>
      </c>
      <c r="B27" s="955"/>
      <c r="C27" s="955"/>
      <c r="D27" s="955"/>
      <c r="E27" s="955"/>
      <c r="F27" s="955"/>
      <c r="G27" s="955"/>
      <c r="H27" s="955"/>
      <c r="I27" s="955"/>
      <c r="J27" s="955"/>
      <c r="K27" s="955"/>
      <c r="L27" s="955"/>
      <c r="M27" s="955"/>
      <c r="N27" s="964"/>
    </row>
    <row r="28" spans="1:14" ht="12" customHeight="1" thickBot="1" x14ac:dyDescent="0.25">
      <c r="A28" s="161"/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956" t="s">
        <v>500</v>
      </c>
      <c r="M28" s="956"/>
      <c r="N28" s="964"/>
    </row>
    <row r="29" spans="1:14" ht="21.75" thickBot="1" x14ac:dyDescent="0.25">
      <c r="A29" s="957" t="s">
        <v>226</v>
      </c>
      <c r="B29" s="958"/>
      <c r="C29" s="958"/>
      <c r="D29" s="958"/>
      <c r="E29" s="958"/>
      <c r="F29" s="958"/>
      <c r="G29" s="958"/>
      <c r="H29" s="958"/>
      <c r="I29" s="958"/>
      <c r="J29" s="958"/>
      <c r="K29" s="219" t="s">
        <v>689</v>
      </c>
      <c r="L29" s="219" t="s">
        <v>690</v>
      </c>
      <c r="M29" s="219" t="s">
        <v>228</v>
      </c>
      <c r="N29" s="964"/>
    </row>
    <row r="30" spans="1:14" x14ac:dyDescent="0.2">
      <c r="A30" s="959"/>
      <c r="B30" s="960"/>
      <c r="C30" s="960"/>
      <c r="D30" s="960"/>
      <c r="E30" s="960"/>
      <c r="F30" s="960"/>
      <c r="G30" s="960"/>
      <c r="H30" s="960"/>
      <c r="I30" s="960"/>
      <c r="J30" s="960"/>
      <c r="K30" s="187"/>
      <c r="L30" s="220"/>
      <c r="M30" s="220"/>
      <c r="N30" s="964"/>
    </row>
    <row r="31" spans="1:14" ht="13.5" thickBot="1" x14ac:dyDescent="0.25">
      <c r="A31" s="952"/>
      <c r="B31" s="953"/>
      <c r="C31" s="953"/>
      <c r="D31" s="953"/>
      <c r="E31" s="953"/>
      <c r="F31" s="953"/>
      <c r="G31" s="953"/>
      <c r="H31" s="953"/>
      <c r="I31" s="953"/>
      <c r="J31" s="953"/>
      <c r="K31" s="221"/>
      <c r="L31" s="200"/>
      <c r="M31" s="200"/>
      <c r="N31" s="964"/>
    </row>
    <row r="32" spans="1:14" ht="13.5" thickBot="1" x14ac:dyDescent="0.25">
      <c r="A32" s="974" t="s">
        <v>231</v>
      </c>
      <c r="B32" s="975"/>
      <c r="C32" s="975"/>
      <c r="D32" s="975"/>
      <c r="E32" s="975"/>
      <c r="F32" s="975"/>
      <c r="G32" s="975"/>
      <c r="H32" s="975"/>
      <c r="I32" s="975"/>
      <c r="J32" s="975"/>
      <c r="K32" s="222">
        <f>SUM(K30:K31)</f>
        <v>0</v>
      </c>
      <c r="L32" s="222">
        <f>SUM(L30:L31)</f>
        <v>0</v>
      </c>
      <c r="M32" s="222">
        <f>SUM(M30:M31)</f>
        <v>0</v>
      </c>
      <c r="N32" s="964"/>
    </row>
    <row r="33" spans="1:14" x14ac:dyDescent="0.2">
      <c r="N33" s="589"/>
    </row>
    <row r="48" spans="1:14" x14ac:dyDescent="0.2">
      <c r="A48" s="223"/>
    </row>
  </sheetData>
  <mergeCells count="22">
    <mergeCell ref="A1:C1"/>
    <mergeCell ref="D1:M1"/>
    <mergeCell ref="N1:N32"/>
    <mergeCell ref="A2:K2"/>
    <mergeCell ref="L2:M2"/>
    <mergeCell ref="A3:A6"/>
    <mergeCell ref="B3:I3"/>
    <mergeCell ref="J3:M5"/>
    <mergeCell ref="B4:B5"/>
    <mergeCell ref="C4:C5"/>
    <mergeCell ref="A32:J32"/>
    <mergeCell ref="D4:I4"/>
    <mergeCell ref="B6:C6"/>
    <mergeCell ref="D6:E6"/>
    <mergeCell ref="F6:G6"/>
    <mergeCell ref="H6:I6"/>
    <mergeCell ref="A31:J31"/>
    <mergeCell ref="A25:M25"/>
    <mergeCell ref="A27:M27"/>
    <mergeCell ref="L28:M28"/>
    <mergeCell ref="A29:J29"/>
    <mergeCell ref="A30:J30"/>
  </mergeCells>
  <printOptions horizontalCentered="1"/>
  <pageMargins left="0.78740157480314965" right="0.78740157480314965" top="1.39" bottom="0.78" header="0.78740157480314965" footer="0.78740157480314965"/>
  <pageSetup paperSize="9" scale="94" orientation="landscape" r:id="rId1"/>
  <headerFooter alignWithMargins="0">
    <oddHeader>&amp;C&amp;"Times New Roman CE,Félkövér"&amp;12
Európai uniós támogatással megvalósuló projektek 
bevételei, kiadásai, hozzájárulások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34</vt:i4>
      </vt:variant>
      <vt:variant>
        <vt:lpstr>Névvel ellátott tartományok</vt:lpstr>
      </vt:variant>
      <vt:variant>
        <vt:i4>14</vt:i4>
      </vt:variant>
    </vt:vector>
  </HeadingPairs>
  <TitlesOfParts>
    <vt:vector size="48" baseType="lpstr">
      <vt:lpstr>1.sz.mell.</vt:lpstr>
      <vt:lpstr>2.1.sz.mell  </vt:lpstr>
      <vt:lpstr>2.2.sz.mell  </vt:lpstr>
      <vt:lpstr>3.1.sz.mell.</vt:lpstr>
      <vt:lpstr>3.2sz.mell.</vt:lpstr>
      <vt:lpstr>4.sz.mell.</vt:lpstr>
      <vt:lpstr>5.1sz. mell.</vt:lpstr>
      <vt:lpstr>5.2sz. mell.</vt:lpstr>
      <vt:lpstr>5.3sz. mell.</vt:lpstr>
      <vt:lpstr>5.4sz. mell.</vt:lpstr>
      <vt:lpstr>5.5sz. mell.</vt:lpstr>
      <vt:lpstr>5.6sz. mell.</vt:lpstr>
      <vt:lpstr>5.7sz. mell.</vt:lpstr>
      <vt:lpstr>6. sz. mell</vt:lpstr>
      <vt:lpstr>7.1. sz. mell</vt:lpstr>
      <vt:lpstr> 7.2.sz.mell.</vt:lpstr>
      <vt:lpstr>7.3. sz. mell.</vt:lpstr>
      <vt:lpstr>7.4. sz. mell.</vt:lpstr>
      <vt:lpstr>7.5. sz. mell.</vt:lpstr>
      <vt:lpstr>7.6. sz. mell. </vt:lpstr>
      <vt:lpstr>8. sz. mell</vt:lpstr>
      <vt:lpstr>1. tájékoztató tábla</vt:lpstr>
      <vt:lpstr>2. tájékoztató tábla</vt:lpstr>
      <vt:lpstr>3. tájékoztató tábla</vt:lpstr>
      <vt:lpstr>4. tájékoztató tábla </vt:lpstr>
      <vt:lpstr>5.1. tájékoztató tábla</vt:lpstr>
      <vt:lpstr>5.2. tájékoztató tábla</vt:lpstr>
      <vt:lpstr>5.3. tájékoztató tábla</vt:lpstr>
      <vt:lpstr>5.4. tájékoztató tábla</vt:lpstr>
      <vt:lpstr>6. tájékoztató tábla</vt:lpstr>
      <vt:lpstr>7. tájékoztató tábla</vt:lpstr>
      <vt:lpstr>8. tájékoztató tábla</vt:lpstr>
      <vt:lpstr>9. tájékoztató</vt:lpstr>
      <vt:lpstr>10. tájékoztató tábla </vt:lpstr>
      <vt:lpstr>'5.3. tájékoztató tábla'!_ftn1</vt:lpstr>
      <vt:lpstr>'5.3. tájékoztató tábla'!_ftnref1</vt:lpstr>
      <vt:lpstr>' 7.2.sz.mell.'!Nyomtatási_cím</vt:lpstr>
      <vt:lpstr>'5.1. tájékoztató tábla'!Nyomtatási_cím</vt:lpstr>
      <vt:lpstr>'6. sz. mell'!Nyomtatási_cím</vt:lpstr>
      <vt:lpstr>'7.1. sz. mell'!Nyomtatási_cím</vt:lpstr>
      <vt:lpstr>'7.3. sz. mell.'!Nyomtatási_cím</vt:lpstr>
      <vt:lpstr>'7.4. sz. mell.'!Nyomtatási_cím</vt:lpstr>
      <vt:lpstr>'7.5. sz. mell.'!Nyomtatási_cím</vt:lpstr>
      <vt:lpstr>'7.6. sz. mell. '!Nyomtatási_cím</vt:lpstr>
      <vt:lpstr>'1.sz.mell.'!Nyomtatási_terület</vt:lpstr>
      <vt:lpstr>'2.1.sz.mell  '!Nyomtatási_terület</vt:lpstr>
      <vt:lpstr>'5.1. tájékoztató tábla'!Nyomtatási_terület</vt:lpstr>
      <vt:lpstr>'9.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AZ 1997. ÉVI KÖLTSÉGVETÉSI BESZ.</dc:title>
  <dc:subject>TÁBLÁZATOK</dc:subject>
  <dc:creator>Erika</dc:creator>
  <cp:lastModifiedBy>Girus András</cp:lastModifiedBy>
  <cp:lastPrinted>2018-05-31T10:06:34Z</cp:lastPrinted>
  <dcterms:created xsi:type="dcterms:W3CDTF">2003-08-01T08:42:53Z</dcterms:created>
  <dcterms:modified xsi:type="dcterms:W3CDTF">2018-05-31T10:06:41Z</dcterms:modified>
</cp:coreProperties>
</file>