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3\Módosítás\2023.03\"/>
    </mc:Choice>
  </mc:AlternateContent>
  <xr:revisionPtr revIDLastSave="0" documentId="13_ncr:1_{702D31B8-1D67-478B-8B15-A75696C3BC79}" xr6:coauthVersionLast="47" xr6:coauthVersionMax="47" xr10:uidLastSave="{00000000-0000-0000-0000-000000000000}"/>
  <bookViews>
    <workbookView xWindow="-20520" yWindow="885" windowWidth="2064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state="hidden" r:id="rId28"/>
    <sheet name="27. sz. mell Kornisné Kp." sheetId="1471" r:id="rId29"/>
    <sheet name="28. sz. mell Kornisné Kp. " sheetId="1472" state="hidden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state="hidden" r:id="rId45"/>
    <sheet name="44. sz.m. (9.sz tájékoztató)" sheetId="1478" r:id="rId46"/>
  </sheets>
  <externalReferences>
    <externalReference r:id="rId47"/>
  </externalReferences>
  <definedNames>
    <definedName name="_xlnm.Print_Area" localSheetId="12">'11.sz.mell. Beruházás'!$A$1:$G$52</definedName>
    <definedName name="_xlnm.Print_Area" localSheetId="13">'12.sz.mell. Felújítás'!$A$1:$G$24</definedName>
    <definedName name="_xlnm.Print_Area" localSheetId="18">'17. sz. mell. PH.'!$A$1:$E$60</definedName>
    <definedName name="_xlnm.Print_Area" localSheetId="41">'40.sz.m. (5.sz. tájékoztató)'!$A$1:$E$54</definedName>
    <definedName name="_xlnm.Print_Area" localSheetId="43">'42.sz.m. (7.sz táj. feladatos)'!$A$1:$N$70</definedName>
    <definedName name="_xlnm.Print_Area" localSheetId="45">'44. sz.m. (9.sz tájékoztató)'!$A$1:$E$22</definedName>
    <definedName name="Print_Area" localSheetId="1">'1. sz.mell. '!$A$1:$C$164</definedName>
    <definedName name="Print_Area" localSheetId="12">'11.sz.mell. Beruházás'!$A$1:$G$52</definedName>
    <definedName name="Print_Area" localSheetId="13">'12.sz.mell. Felújítás'!$A$1:$G$24</definedName>
    <definedName name="Print_Area" localSheetId="15">'14. sz. mell. Önk.'!$A$1:$C$154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'!$A$1:$J$164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'!$A$1:$E$157</definedName>
    <definedName name="Print_Area" localSheetId="4">'4. sz.mell. '!$A$1:$C$166</definedName>
    <definedName name="Print_Area" localSheetId="41">'40.sz.m. (5.sz. tájékoztató)'!$A$1:$D$54</definedName>
    <definedName name="Print_Area" localSheetId="43">'42.sz.m. (7.sz táj. feladatos)'!$A$1:$N$70</definedName>
    <definedName name="Print_Area" localSheetId="45">'44. sz.m. (9.sz tájékoztató)'!$A$1:$E$22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D1" i="1478" l="1"/>
  <c r="A1" i="1458"/>
  <c r="A1" i="1457"/>
  <c r="A1" i="1456"/>
  <c r="A1" i="1455"/>
  <c r="A1" i="1452"/>
  <c r="A1" i="1451"/>
  <c r="A1" i="1450"/>
  <c r="A1" i="1476"/>
  <c r="A1" i="1475"/>
  <c r="A1" i="1473"/>
  <c r="A1" i="1471"/>
  <c r="A1" i="1466"/>
  <c r="A1" i="1465"/>
  <c r="A1" i="1463"/>
  <c r="A1" i="1462"/>
  <c r="A1" i="1433"/>
  <c r="A1" i="1431"/>
  <c r="A1" i="1430"/>
  <c r="A1" i="1429" l="1"/>
  <c r="A1" i="1428"/>
  <c r="A1" i="1427"/>
  <c r="A1" i="1480"/>
  <c r="A1" i="1420"/>
  <c r="A1" i="1419"/>
  <c r="F2" i="1362"/>
  <c r="F1" i="1361"/>
  <c r="J117" i="1357"/>
  <c r="J117" i="1358"/>
  <c r="C40" i="1476"/>
  <c r="C50" i="1476"/>
  <c r="C46" i="1476"/>
  <c r="C40" i="1475"/>
  <c r="C50" i="1475"/>
  <c r="C46" i="1475"/>
  <c r="C52" i="1466"/>
  <c r="C48" i="1466"/>
  <c r="C13" i="1466"/>
  <c r="C10" i="1466"/>
  <c r="C52" i="1465"/>
  <c r="C48" i="1465"/>
  <c r="C13" i="1465"/>
  <c r="C10" i="1465"/>
  <c r="C40" i="1463"/>
  <c r="C46" i="1463"/>
  <c r="C45" i="1463"/>
  <c r="C44" i="1463"/>
  <c r="C13" i="1463"/>
  <c r="C12" i="1463"/>
  <c r="C39" i="1462"/>
  <c r="C45" i="1462"/>
  <c r="C44" i="1462"/>
  <c r="C43" i="1462"/>
  <c r="C13" i="1462"/>
  <c r="C12" i="1462"/>
  <c r="C38" i="1431"/>
  <c r="C40" i="1431"/>
  <c r="C47" i="1433"/>
  <c r="C46" i="1433"/>
  <c r="C48" i="1431"/>
  <c r="C13" i="1431"/>
  <c r="C12" i="1431"/>
  <c r="C40" i="1430"/>
  <c r="C48" i="1430"/>
  <c r="C47" i="1430"/>
  <c r="C46" i="1430"/>
  <c r="C38" i="1430"/>
  <c r="C13" i="1430"/>
  <c r="C12" i="1430"/>
  <c r="C126" i="1429"/>
  <c r="C109" i="1429"/>
  <c r="C95" i="1429"/>
  <c r="C11" i="1429"/>
  <c r="C11" i="1428"/>
  <c r="C95" i="1428"/>
  <c r="C117" i="1428"/>
  <c r="C116" i="1428"/>
  <c r="C115" i="1428"/>
  <c r="C114" i="1428"/>
  <c r="C112" i="1428"/>
  <c r="C111" i="1428"/>
  <c r="C104" i="1428"/>
  <c r="C94" i="1428"/>
  <c r="C93" i="1428"/>
  <c r="C48" i="1428"/>
  <c r="C29" i="1428"/>
  <c r="C28" i="1428"/>
  <c r="C22" i="1428"/>
  <c r="C21" i="1428"/>
  <c r="C14" i="1428"/>
  <c r="C13" i="1428"/>
  <c r="C12" i="1428"/>
  <c r="C9" i="1428"/>
  <c r="C8" i="1428"/>
  <c r="K15" i="1458"/>
  <c r="C126" i="1427"/>
  <c r="C117" i="1427"/>
  <c r="C116" i="1427"/>
  <c r="C114" i="1427"/>
  <c r="C115" i="1427"/>
  <c r="C112" i="1427"/>
  <c r="C111" i="1427"/>
  <c r="C109" i="1427"/>
  <c r="C104" i="1427"/>
  <c r="C95" i="1427"/>
  <c r="C94" i="1427"/>
  <c r="C93" i="1427"/>
  <c r="C48" i="1427"/>
  <c r="C44" i="1427"/>
  <c r="C29" i="1427"/>
  <c r="C28" i="1427"/>
  <c r="C22" i="1427"/>
  <c r="C21" i="1427"/>
  <c r="C14" i="1427"/>
  <c r="C13" i="1427"/>
  <c r="C12" i="1427"/>
  <c r="C11" i="1427"/>
  <c r="C9" i="1427"/>
  <c r="C8" i="1427"/>
  <c r="M67" i="1458"/>
  <c r="I38" i="1458"/>
  <c r="J38" i="1458"/>
  <c r="C38" i="1458"/>
  <c r="C33" i="1458"/>
  <c r="I33" i="1458"/>
  <c r="D11" i="1458"/>
  <c r="C11" i="1458"/>
  <c r="J11" i="1458"/>
  <c r="I11" i="1458"/>
  <c r="I42" i="1458"/>
  <c r="J42" i="1458"/>
  <c r="I52" i="1458"/>
  <c r="J51" i="1458"/>
  <c r="I51" i="1458"/>
  <c r="J63" i="1458"/>
  <c r="I26" i="1458"/>
  <c r="J33" i="1458"/>
  <c r="C13" i="1458"/>
  <c r="I20" i="1458"/>
  <c r="J20" i="1458"/>
  <c r="N20" i="1458" s="1"/>
  <c r="H20" i="1458"/>
  <c r="E18" i="1478"/>
  <c r="E19" i="1478" s="1"/>
  <c r="D39" i="1457"/>
  <c r="E35" i="1456" l="1"/>
  <c r="E33" i="1456"/>
  <c r="E43" i="1456"/>
  <c r="E39" i="1456"/>
  <c r="E36" i="1456"/>
  <c r="E31" i="1456"/>
  <c r="E29" i="1456"/>
  <c r="E28" i="1456"/>
  <c r="E27" i="1456"/>
  <c r="E25" i="1456"/>
  <c r="E24" i="1456"/>
  <c r="E23" i="1456"/>
  <c r="E19" i="1456"/>
  <c r="E18" i="1456"/>
  <c r="E17" i="1456"/>
  <c r="E16" i="1456"/>
  <c r="E15" i="1456"/>
  <c r="E6" i="1456"/>
  <c r="N22" i="1455"/>
  <c r="M22" i="1455"/>
  <c r="L22" i="1455"/>
  <c r="K22" i="1455"/>
  <c r="J22" i="1455"/>
  <c r="I22" i="1455"/>
  <c r="H22" i="1455"/>
  <c r="G22" i="1455"/>
  <c r="F22" i="1455"/>
  <c r="E22" i="1455"/>
  <c r="G25" i="1455"/>
  <c r="N20" i="1455"/>
  <c r="M20" i="1455"/>
  <c r="L20" i="1455"/>
  <c r="K20" i="1455"/>
  <c r="J20" i="1455"/>
  <c r="I20" i="1455"/>
  <c r="H20" i="1455"/>
  <c r="G20" i="1455"/>
  <c r="N26" i="1455"/>
  <c r="N19" i="1455"/>
  <c r="M19" i="1455"/>
  <c r="L19" i="1455"/>
  <c r="K19" i="1455"/>
  <c r="J19" i="1455"/>
  <c r="I19" i="1455"/>
  <c r="H19" i="1455"/>
  <c r="G19" i="1455"/>
  <c r="N18" i="1455"/>
  <c r="M18" i="1455"/>
  <c r="L18" i="1455"/>
  <c r="K18" i="1455"/>
  <c r="J18" i="1455"/>
  <c r="I18" i="1455"/>
  <c r="H18" i="1455"/>
  <c r="G18" i="1455"/>
  <c r="N24" i="1455"/>
  <c r="N23" i="1455"/>
  <c r="C15" i="1455"/>
  <c r="N11" i="1455"/>
  <c r="M11" i="1455"/>
  <c r="L11" i="1455"/>
  <c r="K11" i="1455"/>
  <c r="H11" i="1455"/>
  <c r="G11" i="1455"/>
  <c r="F11" i="1455"/>
  <c r="F9" i="1455"/>
  <c r="G9" i="1455"/>
  <c r="F8" i="1455"/>
  <c r="G8" i="1455"/>
  <c r="N7" i="1455"/>
  <c r="M7" i="1455"/>
  <c r="L7" i="1455"/>
  <c r="K7" i="1455"/>
  <c r="J7" i="1455"/>
  <c r="I7" i="1455"/>
  <c r="H7" i="1455"/>
  <c r="G7" i="1455"/>
  <c r="F7" i="1455"/>
  <c r="E7" i="1455"/>
  <c r="B17" i="1451"/>
  <c r="B11" i="1451"/>
  <c r="C206" i="1480"/>
  <c r="B205" i="1480"/>
  <c r="B204" i="1480"/>
  <c r="B203" i="1480"/>
  <c r="B202" i="1480"/>
  <c r="B201" i="1480"/>
  <c r="E206" i="1480"/>
  <c r="D206" i="1480"/>
  <c r="B200" i="1480"/>
  <c r="E199" i="1480"/>
  <c r="D199" i="1480"/>
  <c r="C199" i="1480"/>
  <c r="B198" i="1480"/>
  <c r="B197" i="1480"/>
  <c r="B196" i="1480"/>
  <c r="B195" i="1480"/>
  <c r="B194" i="1480"/>
  <c r="E191" i="1480"/>
  <c r="D191" i="1480"/>
  <c r="C191" i="1480"/>
  <c r="D242" i="1480"/>
  <c r="B242" i="1480" s="1"/>
  <c r="D243" i="1480"/>
  <c r="B243" i="1480" s="1"/>
  <c r="D241" i="1480"/>
  <c r="D237" i="1480"/>
  <c r="B237" i="1480" s="1"/>
  <c r="E247" i="1480"/>
  <c r="B246" i="1480"/>
  <c r="B245" i="1480"/>
  <c r="B244" i="1480"/>
  <c r="C247" i="1480"/>
  <c r="E240" i="1480"/>
  <c r="C240" i="1480"/>
  <c r="B239" i="1480"/>
  <c r="B238" i="1480"/>
  <c r="B236" i="1480"/>
  <c r="E232" i="1480"/>
  <c r="D232" i="1480"/>
  <c r="C232" i="1480"/>
  <c r="D58" i="1480"/>
  <c r="D62" i="1480"/>
  <c r="D221" i="1480"/>
  <c r="D226" i="1480" s="1"/>
  <c r="E226" i="1480"/>
  <c r="B225" i="1480"/>
  <c r="B224" i="1480"/>
  <c r="B223" i="1480"/>
  <c r="C226" i="1480"/>
  <c r="B222" i="1480"/>
  <c r="E220" i="1480"/>
  <c r="C220" i="1480"/>
  <c r="B219" i="1480"/>
  <c r="B218" i="1480"/>
  <c r="D220" i="1480"/>
  <c r="B217" i="1480"/>
  <c r="B216" i="1480"/>
  <c r="B215" i="1480"/>
  <c r="B220" i="1480" s="1"/>
  <c r="E212" i="1480"/>
  <c r="D212" i="1480"/>
  <c r="C212" i="1480"/>
  <c r="B211" i="1480"/>
  <c r="B231" i="1480" s="1"/>
  <c r="G12" i="1420"/>
  <c r="G16" i="1420"/>
  <c r="F14" i="1420"/>
  <c r="B14" i="1420"/>
  <c r="G19" i="1420"/>
  <c r="G20" i="1420"/>
  <c r="F19" i="1419"/>
  <c r="E19" i="1419"/>
  <c r="B19" i="1419"/>
  <c r="B17" i="1419"/>
  <c r="G17" i="1419"/>
  <c r="F16" i="1419"/>
  <c r="E16" i="1419"/>
  <c r="F49" i="1419"/>
  <c r="B49" i="1419"/>
  <c r="B206" i="1480" l="1"/>
  <c r="B199" i="1480"/>
  <c r="D240" i="1480"/>
  <c r="D247" i="1480"/>
  <c r="B241" i="1480"/>
  <c r="B247" i="1480" s="1"/>
  <c r="B235" i="1480"/>
  <c r="B240" i="1480" s="1"/>
  <c r="B221" i="1480"/>
  <c r="B226" i="1480" s="1"/>
  <c r="C102" i="1360" l="1"/>
  <c r="C101" i="1360"/>
  <c r="C25" i="1360"/>
  <c r="I151" i="1359"/>
  <c r="I146" i="1359"/>
  <c r="I139" i="1359"/>
  <c r="I135" i="1359"/>
  <c r="I159" i="1359" s="1"/>
  <c r="I125" i="1359"/>
  <c r="I120" i="1359" s="1"/>
  <c r="I117" i="1359"/>
  <c r="I99" i="1359"/>
  <c r="I134" i="1359" s="1"/>
  <c r="I97" i="1359"/>
  <c r="I86" i="1359"/>
  <c r="I82" i="1359"/>
  <c r="I79" i="1359"/>
  <c r="I74" i="1359"/>
  <c r="I70" i="1359"/>
  <c r="I93" i="1359" s="1"/>
  <c r="I64" i="1359"/>
  <c r="I59" i="1359"/>
  <c r="I53" i="1359"/>
  <c r="I41" i="1359"/>
  <c r="I35" i="1359"/>
  <c r="I34" i="1359"/>
  <c r="I27" i="1359"/>
  <c r="I20" i="1359"/>
  <c r="I14" i="1359"/>
  <c r="I11" i="1359"/>
  <c r="I69" i="1359" s="1"/>
  <c r="I94" i="1359" s="1"/>
  <c r="I151" i="1358"/>
  <c r="I146" i="1358"/>
  <c r="I139" i="1358"/>
  <c r="I135" i="1358"/>
  <c r="I159" i="1358" s="1"/>
  <c r="I125" i="1358"/>
  <c r="I120" i="1358" s="1"/>
  <c r="I117" i="1358"/>
  <c r="I99" i="1358"/>
  <c r="I134" i="1358" s="1"/>
  <c r="I97" i="1358"/>
  <c r="I86" i="1358"/>
  <c r="I82" i="1358"/>
  <c r="I79" i="1358"/>
  <c r="I74" i="1358"/>
  <c r="I93" i="1358" s="1"/>
  <c r="I70" i="1358"/>
  <c r="I64" i="1358"/>
  <c r="I59" i="1358"/>
  <c r="I53" i="1358"/>
  <c r="I41" i="1358"/>
  <c r="I35" i="1358"/>
  <c r="I34" i="1358"/>
  <c r="I27" i="1358"/>
  <c r="I20" i="1358"/>
  <c r="I14" i="1358"/>
  <c r="I11" i="1358"/>
  <c r="I69" i="1358" s="1"/>
  <c r="C160" i="1357"/>
  <c r="I151" i="1357"/>
  <c r="I146" i="1357"/>
  <c r="I139" i="1357"/>
  <c r="I135" i="1357"/>
  <c r="I159" i="1357" s="1"/>
  <c r="I125" i="1357"/>
  <c r="I120" i="1357" s="1"/>
  <c r="I117" i="1357"/>
  <c r="I99" i="1357" s="1"/>
  <c r="I134" i="1357" s="1"/>
  <c r="I160" i="1357" s="1"/>
  <c r="I97" i="1357"/>
  <c r="I86" i="1357"/>
  <c r="I82" i="1357"/>
  <c r="I79" i="1357"/>
  <c r="I74" i="1357"/>
  <c r="I93" i="1357" s="1"/>
  <c r="I70" i="1357"/>
  <c r="I64" i="1357"/>
  <c r="I59" i="1357"/>
  <c r="I53" i="1357"/>
  <c r="I41" i="1357"/>
  <c r="I35" i="1357"/>
  <c r="I34" i="1357"/>
  <c r="I27" i="1357"/>
  <c r="I20" i="1357"/>
  <c r="I14" i="1357"/>
  <c r="I11" i="1357"/>
  <c r="I69" i="1357" s="1"/>
  <c r="I94" i="1357" s="1"/>
  <c r="I160" i="1359" l="1"/>
  <c r="I94" i="1358"/>
  <c r="I160" i="1358"/>
  <c r="C28" i="1473" l="1"/>
  <c r="C22" i="1473"/>
  <c r="C50" i="1473"/>
  <c r="C46" i="1473"/>
  <c r="C45" i="1473"/>
  <c r="C44" i="1473"/>
  <c r="C28" i="1471"/>
  <c r="C22" i="1471"/>
  <c r="C50" i="1471"/>
  <c r="C46" i="1471"/>
  <c r="C45" i="1471"/>
  <c r="C44" i="1471"/>
  <c r="E179" i="1480"/>
  <c r="D179" i="1480"/>
  <c r="D185" i="1480" s="1"/>
  <c r="B180" i="1480"/>
  <c r="B175" i="1480"/>
  <c r="E185" i="1480"/>
  <c r="C185" i="1480"/>
  <c r="B184" i="1480"/>
  <c r="B183" i="1480"/>
  <c r="B182" i="1480"/>
  <c r="B181" i="1480"/>
  <c r="E178" i="1480"/>
  <c r="C178" i="1480"/>
  <c r="B177" i="1480"/>
  <c r="B176" i="1480"/>
  <c r="D178" i="1480"/>
  <c r="B174" i="1480"/>
  <c r="B173" i="1480"/>
  <c r="E170" i="1480"/>
  <c r="D170" i="1480"/>
  <c r="C170" i="1480"/>
  <c r="G46" i="1419"/>
  <c r="B179" i="1480" l="1"/>
  <c r="B185" i="1480" s="1"/>
  <c r="B178" i="1480"/>
  <c r="B162" i="1480"/>
  <c r="D160" i="1480"/>
  <c r="D154" i="1480"/>
  <c r="D159" i="1480"/>
  <c r="E134" i="1480" l="1"/>
  <c r="E142" i="1480"/>
  <c r="D139" i="1480"/>
  <c r="D140" i="1480"/>
  <c r="D119" i="1480" l="1"/>
  <c r="C119" i="1480"/>
  <c r="D99" i="1480" l="1"/>
  <c r="C99" i="1480"/>
  <c r="D94" i="1480"/>
  <c r="D100" i="1480"/>
  <c r="D74" i="1480"/>
  <c r="C74" i="1480"/>
  <c r="D79" i="1480"/>
  <c r="C79" i="1480"/>
  <c r="D59" i="1480" l="1"/>
  <c r="D51" i="1480"/>
  <c r="C59" i="1480"/>
  <c r="C58" i="1480"/>
  <c r="C33" i="1480"/>
  <c r="D39" i="1480"/>
  <c r="D31" i="1480"/>
  <c r="D38" i="1480"/>
  <c r="C38" i="1480" l="1"/>
  <c r="C39" i="1480"/>
  <c r="B27" i="1480"/>
  <c r="D21" i="1480"/>
  <c r="C21" i="1480"/>
  <c r="D17" i="1480"/>
  <c r="C17" i="1480"/>
  <c r="D13" i="1480"/>
  <c r="C13" i="1480"/>
  <c r="N27" i="1455"/>
  <c r="K27" i="1455"/>
  <c r="H27" i="1455"/>
  <c r="E27" i="1455"/>
  <c r="N15" i="1455"/>
  <c r="M15" i="1455"/>
  <c r="L15" i="1455"/>
  <c r="K15" i="1455"/>
  <c r="J15" i="1455"/>
  <c r="I15" i="1455"/>
  <c r="H15" i="1455"/>
  <c r="G15" i="1455"/>
  <c r="E15" i="1455"/>
  <c r="D15" i="1455"/>
  <c r="L8" i="1455"/>
  <c r="N8" i="1455"/>
  <c r="M8" i="1455"/>
  <c r="K8" i="1455"/>
  <c r="J8" i="1455"/>
  <c r="I8" i="1455"/>
  <c r="H8" i="1455"/>
  <c r="E8" i="1455"/>
  <c r="D8" i="1455"/>
  <c r="C8" i="1455"/>
  <c r="N9" i="1455"/>
  <c r="J24" i="1455" l="1"/>
  <c r="G24" i="1455"/>
  <c r="I24" i="1455"/>
  <c r="L24" i="1455"/>
  <c r="E24" i="1455"/>
  <c r="K23" i="1455"/>
  <c r="I23" i="1455"/>
  <c r="G23" i="1455"/>
  <c r="D24" i="1455"/>
  <c r="C24" i="1455"/>
  <c r="F23" i="1455"/>
  <c r="E23" i="1455"/>
  <c r="L23" i="1455"/>
  <c r="H24" i="1455"/>
  <c r="F24" i="1455"/>
  <c r="H23" i="1455"/>
  <c r="E9" i="1455"/>
  <c r="F34" i="1459" l="1"/>
  <c r="D31" i="1459"/>
  <c r="D14" i="1459"/>
  <c r="D124" i="1357"/>
  <c r="D122" i="1357"/>
  <c r="D33" i="1357"/>
  <c r="D26" i="1357"/>
  <c r="C148" i="1452" l="1"/>
  <c r="C143" i="1452"/>
  <c r="C136" i="1452"/>
  <c r="C132" i="1452"/>
  <c r="C156" i="1452" s="1"/>
  <c r="C122" i="1452"/>
  <c r="C117" i="1452" s="1"/>
  <c r="C101" i="1452"/>
  <c r="C96" i="1452" s="1"/>
  <c r="C84" i="1452"/>
  <c r="C91" i="1452" s="1"/>
  <c r="C80" i="1452"/>
  <c r="C77" i="1452"/>
  <c r="C72" i="1452"/>
  <c r="C68" i="1452"/>
  <c r="C62" i="1452"/>
  <c r="C57" i="1452"/>
  <c r="C51" i="1452"/>
  <c r="C39" i="1452"/>
  <c r="C32" i="1452"/>
  <c r="C31" i="1452"/>
  <c r="C24" i="1452"/>
  <c r="C17" i="1452"/>
  <c r="C11" i="1452"/>
  <c r="C8" i="1452"/>
  <c r="D22" i="1455"/>
  <c r="C22" i="1455"/>
  <c r="C7" i="1455"/>
  <c r="C56" i="1473"/>
  <c r="C49" i="1473"/>
  <c r="C43" i="1473"/>
  <c r="C37" i="1473"/>
  <c r="C30" i="1473"/>
  <c r="C25" i="1473"/>
  <c r="C19" i="1473"/>
  <c r="C7" i="1473"/>
  <c r="C56" i="1472"/>
  <c r="C49" i="1472"/>
  <c r="C43" i="1472"/>
  <c r="C37" i="1472"/>
  <c r="C30" i="1472"/>
  <c r="C25" i="1472"/>
  <c r="C19" i="1472"/>
  <c r="C7" i="1472"/>
  <c r="C36" i="1472" s="1"/>
  <c r="C41" i="1472" s="1"/>
  <c r="C56" i="1471"/>
  <c r="C49" i="1471"/>
  <c r="C43" i="1471"/>
  <c r="C37" i="1471"/>
  <c r="C30" i="1471"/>
  <c r="C25" i="1471"/>
  <c r="C19" i="1471"/>
  <c r="C7" i="1471"/>
  <c r="C67" i="1452" l="1"/>
  <c r="C55" i="1472"/>
  <c r="C36" i="1473"/>
  <c r="C41" i="1473" s="1"/>
  <c r="C55" i="1473"/>
  <c r="C36" i="1471"/>
  <c r="C41" i="1471" s="1"/>
  <c r="C55" i="1471"/>
  <c r="C92" i="1452"/>
  <c r="C131" i="1452"/>
  <c r="C157" i="1452" s="1"/>
  <c r="C144" i="1429"/>
  <c r="C139" i="1429"/>
  <c r="C132" i="1429"/>
  <c r="C128" i="1429"/>
  <c r="C152" i="1429" s="1"/>
  <c r="C118" i="1429"/>
  <c r="C113" i="1429" s="1"/>
  <c r="C110" i="1429"/>
  <c r="C97" i="1429"/>
  <c r="C92" i="1429" s="1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89" i="1428" s="1"/>
  <c r="C60" i="1428"/>
  <c r="C55" i="1428"/>
  <c r="C49" i="1428"/>
  <c r="C37" i="1428"/>
  <c r="C32" i="1428"/>
  <c r="C31" i="1428" s="1"/>
  <c r="C30" i="1428" s="1"/>
  <c r="C23" i="1428"/>
  <c r="C16" i="1428"/>
  <c r="C10" i="1428"/>
  <c r="C7" i="1428" s="1"/>
  <c r="C144" i="1427"/>
  <c r="C139" i="1427"/>
  <c r="C132" i="1427"/>
  <c r="C130" i="1427"/>
  <c r="C128" i="1427" s="1"/>
  <c r="C152" i="1427" s="1"/>
  <c r="C118" i="1427"/>
  <c r="C113" i="1427" s="1"/>
  <c r="C110" i="1427"/>
  <c r="C97" i="1427"/>
  <c r="C82" i="1427"/>
  <c r="C78" i="1427"/>
  <c r="C75" i="1427"/>
  <c r="C70" i="1427"/>
  <c r="C66" i="1427"/>
  <c r="C89" i="1427" s="1"/>
  <c r="C60" i="1427"/>
  <c r="C55" i="1427"/>
  <c r="C49" i="1427"/>
  <c r="C37" i="1427"/>
  <c r="C35" i="1427"/>
  <c r="C31" i="1427"/>
  <c r="C30" i="1427" s="1"/>
  <c r="C23" i="1427"/>
  <c r="C16" i="1427"/>
  <c r="C10" i="1427"/>
  <c r="C7" i="1427" s="1"/>
  <c r="C127" i="1429" l="1"/>
  <c r="C153" i="1429" s="1"/>
  <c r="C92" i="1428"/>
  <c r="C92" i="1427"/>
  <c r="C127" i="1427" s="1"/>
  <c r="C153" i="1427" s="1"/>
  <c r="C127" i="1428"/>
  <c r="C152" i="1428"/>
  <c r="C89" i="1429"/>
  <c r="C65" i="1429"/>
  <c r="C90" i="1429" s="1"/>
  <c r="C65" i="1428"/>
  <c r="C90" i="1428" s="1"/>
  <c r="C65" i="1427"/>
  <c r="C90" i="1427" s="1"/>
  <c r="C153" i="1428" l="1"/>
  <c r="G151" i="1358"/>
  <c r="G146" i="1358"/>
  <c r="G139" i="1358"/>
  <c r="G135" i="1358"/>
  <c r="G159" i="1358" s="1"/>
  <c r="G125" i="1358"/>
  <c r="G120" i="1358" s="1"/>
  <c r="G117" i="1358"/>
  <c r="G104" i="1358"/>
  <c r="G99" i="1358" s="1"/>
  <c r="G134" i="1358" s="1"/>
  <c r="G97" i="1358"/>
  <c r="G86" i="1358"/>
  <c r="G82" i="1358"/>
  <c r="G79" i="1358"/>
  <c r="G74" i="1358"/>
  <c r="G70" i="1358"/>
  <c r="G64" i="1358"/>
  <c r="G59" i="1358"/>
  <c r="G53" i="1358"/>
  <c r="G41" i="1358"/>
  <c r="G35" i="1358"/>
  <c r="G34" i="1358" s="1"/>
  <c r="G27" i="1358"/>
  <c r="G20" i="1358"/>
  <c r="G14" i="1358"/>
  <c r="G11" i="1358" s="1"/>
  <c r="H151" i="1358"/>
  <c r="H146" i="1358"/>
  <c r="H139" i="1358"/>
  <c r="H135" i="1358"/>
  <c r="H159" i="1358" s="1"/>
  <c r="H125" i="1358"/>
  <c r="H120" i="1358"/>
  <c r="H117" i="1358"/>
  <c r="H104" i="1358"/>
  <c r="H99" i="1358" s="1"/>
  <c r="H134" i="1358" s="1"/>
  <c r="H160" i="1358" s="1"/>
  <c r="H86" i="1358"/>
  <c r="H82" i="1358"/>
  <c r="H79" i="1358"/>
  <c r="H74" i="1358"/>
  <c r="H70" i="1358"/>
  <c r="H64" i="1358"/>
  <c r="H59" i="1358"/>
  <c r="H53" i="1358"/>
  <c r="H41" i="1358"/>
  <c r="H35" i="1358"/>
  <c r="H34" i="1358" s="1"/>
  <c r="H27" i="1358"/>
  <c r="H20" i="1358"/>
  <c r="H14" i="1358"/>
  <c r="H11" i="1358" s="1"/>
  <c r="F151" i="1358"/>
  <c r="F146" i="1358"/>
  <c r="F139" i="1358"/>
  <c r="F135" i="1358"/>
  <c r="F125" i="1358"/>
  <c r="F120" i="1358" s="1"/>
  <c r="F117" i="1358"/>
  <c r="F104" i="1358"/>
  <c r="F99" i="1358" s="1"/>
  <c r="F134" i="1358" s="1"/>
  <c r="F86" i="1358"/>
  <c r="F82" i="1358"/>
  <c r="F79" i="1358"/>
  <c r="F74" i="1358"/>
  <c r="F70" i="1358"/>
  <c r="F64" i="1358"/>
  <c r="F59" i="1358"/>
  <c r="F53" i="1358"/>
  <c r="F41" i="1358"/>
  <c r="F35" i="1358"/>
  <c r="F34" i="1358" s="1"/>
  <c r="F27" i="1358"/>
  <c r="F20" i="1358"/>
  <c r="F14" i="1358"/>
  <c r="F11" i="1358" s="1"/>
  <c r="D36" i="1358"/>
  <c r="D35" i="1358" s="1"/>
  <c r="D14" i="1358"/>
  <c r="B13" i="1420"/>
  <c r="F13" i="1420"/>
  <c r="G93" i="1358" l="1"/>
  <c r="F69" i="1358"/>
  <c r="F93" i="1358"/>
  <c r="F159" i="1358"/>
  <c r="F160" i="1358" s="1"/>
  <c r="H93" i="1358"/>
  <c r="G160" i="1358"/>
  <c r="G69" i="1358"/>
  <c r="G94" i="1358" s="1"/>
  <c r="H69" i="1358"/>
  <c r="H94" i="1358" s="1"/>
  <c r="F94" i="1358" l="1"/>
  <c r="B23" i="1420"/>
  <c r="F21" i="1420"/>
  <c r="B21" i="1420"/>
  <c r="F15" i="1420"/>
  <c r="D15" i="1420"/>
  <c r="D14" i="1420" l="1"/>
  <c r="E14" i="1420"/>
  <c r="F17" i="1420" l="1"/>
  <c r="G10" i="1420"/>
  <c r="F18" i="1420"/>
  <c r="B35" i="1419"/>
  <c r="F35" i="1419"/>
  <c r="G37" i="1419"/>
  <c r="G36" i="1419"/>
  <c r="D18" i="1357"/>
  <c r="F39" i="1419" l="1"/>
  <c r="B39" i="1419"/>
  <c r="B33" i="1419"/>
  <c r="F33" i="1419"/>
  <c r="F32" i="1419"/>
  <c r="B32" i="1419"/>
  <c r="B16" i="1419"/>
  <c r="B8" i="1419"/>
  <c r="F8" i="1419"/>
  <c r="G9" i="1419"/>
  <c r="B25" i="1419"/>
  <c r="F29" i="1419" l="1"/>
  <c r="G29" i="1419" s="1"/>
  <c r="D121" i="1357"/>
  <c r="D102" i="1357"/>
  <c r="F27" i="1419"/>
  <c r="G27" i="1419" s="1"/>
  <c r="F26" i="1419"/>
  <c r="D25" i="1419"/>
  <c r="D24" i="1419"/>
  <c r="F24" i="1419"/>
  <c r="F22" i="1419"/>
  <c r="F21" i="1419"/>
  <c r="D19" i="1419"/>
  <c r="F18" i="1419"/>
  <c r="D18" i="1419"/>
  <c r="F8" i="1420"/>
  <c r="D8" i="1420"/>
  <c r="E8" i="1420"/>
  <c r="D8" i="1419"/>
  <c r="E8" i="1419"/>
  <c r="G8" i="1419" l="1"/>
  <c r="G47" i="1419" l="1"/>
  <c r="G45" i="1419"/>
  <c r="G44" i="1419"/>
  <c r="G43" i="1419"/>
  <c r="J97" i="1359"/>
  <c r="J97" i="1358"/>
  <c r="C154" i="1427" l="1"/>
  <c r="D39" i="1357" l="1"/>
  <c r="I64" i="1458"/>
  <c r="D137" i="1357"/>
  <c r="D133" i="1357"/>
  <c r="E32" i="1456"/>
  <c r="E52" i="1456"/>
  <c r="E46" i="1456"/>
  <c r="E40" i="1456"/>
  <c r="E38" i="1456"/>
  <c r="E26" i="1456"/>
  <c r="E21" i="1456"/>
  <c r="E14" i="1456"/>
  <c r="A1" i="1454"/>
  <c r="H21" i="1453"/>
  <c r="D18" i="1453"/>
  <c r="D17" i="1453"/>
  <c r="H16" i="1453"/>
  <c r="D16" i="1453"/>
  <c r="D15" i="1453"/>
  <c r="D14" i="1453"/>
  <c r="D12" i="1453"/>
  <c r="H12" i="1453"/>
  <c r="E34" i="1456" l="1"/>
  <c r="E41" i="1456"/>
  <c r="E42" i="1456" l="1"/>
  <c r="E54" i="1456" s="1"/>
  <c r="D11" i="1453"/>
  <c r="A1" i="1453"/>
  <c r="A1" i="1472"/>
  <c r="A1" i="1467"/>
  <c r="A1" i="1418"/>
  <c r="A1" i="1417"/>
  <c r="A1" i="1416"/>
  <c r="C12" i="1416"/>
  <c r="C20" i="1416" s="1"/>
  <c r="D123" i="1357"/>
  <c r="D119" i="1357"/>
  <c r="D118" i="1357"/>
  <c r="D111" i="1357" l="1"/>
  <c r="J52" i="1458" l="1"/>
  <c r="D18" i="1480"/>
  <c r="F12" i="1419"/>
  <c r="B12" i="1419"/>
  <c r="D45" i="1456" l="1"/>
  <c r="D44" i="1456"/>
  <c r="D43" i="1456"/>
  <c r="D40" i="1456"/>
  <c r="D37" i="1456"/>
  <c r="D31" i="1456"/>
  <c r="D29" i="1456"/>
  <c r="D27" i="1456"/>
  <c r="D18" i="1456"/>
  <c r="D17" i="1456"/>
  <c r="D16" i="1456"/>
  <c r="D15" i="1456"/>
  <c r="E7" i="1419"/>
  <c r="B15" i="1420"/>
  <c r="F20" i="1419"/>
  <c r="B20" i="1419"/>
  <c r="B21" i="1419"/>
  <c r="B8" i="1420" l="1"/>
  <c r="F48" i="1419"/>
  <c r="B22" i="1419"/>
  <c r="F23" i="1419"/>
  <c r="F7" i="1419" s="1"/>
  <c r="B48" i="1419" l="1"/>
  <c r="G50" i="1419"/>
  <c r="H19" i="1458"/>
  <c r="G23" i="1420"/>
  <c r="I57" i="1458" l="1"/>
  <c r="D143" i="1480" l="1"/>
  <c r="E164" i="1480"/>
  <c r="C164" i="1480"/>
  <c r="B163" i="1480"/>
  <c r="B161" i="1480"/>
  <c r="B160" i="1480"/>
  <c r="B159" i="1480"/>
  <c r="B158" i="1480"/>
  <c r="E157" i="1480"/>
  <c r="D157" i="1480"/>
  <c r="C157" i="1480"/>
  <c r="B156" i="1480"/>
  <c r="B155" i="1480"/>
  <c r="B154" i="1480"/>
  <c r="B153" i="1480"/>
  <c r="B152" i="1480"/>
  <c r="D123" i="1480"/>
  <c r="B114" i="1480"/>
  <c r="E149" i="1480"/>
  <c r="D149" i="1480"/>
  <c r="C149" i="1480"/>
  <c r="E143" i="1480"/>
  <c r="C143" i="1480"/>
  <c r="B142" i="1480"/>
  <c r="B141" i="1480"/>
  <c r="B140" i="1480"/>
  <c r="B139" i="1480"/>
  <c r="B138" i="1480"/>
  <c r="E137" i="1480"/>
  <c r="D137" i="1480"/>
  <c r="C137" i="1480"/>
  <c r="B136" i="1480"/>
  <c r="B135" i="1480"/>
  <c r="B134" i="1480"/>
  <c r="B133" i="1480"/>
  <c r="B132" i="1480"/>
  <c r="E129" i="1480"/>
  <c r="D129" i="1480"/>
  <c r="C129" i="1480"/>
  <c r="E123" i="1480"/>
  <c r="C123" i="1480"/>
  <c r="B122" i="1480"/>
  <c r="B121" i="1480"/>
  <c r="B120" i="1480"/>
  <c r="B119" i="1480"/>
  <c r="B118" i="1480"/>
  <c r="E117" i="1480"/>
  <c r="D117" i="1480"/>
  <c r="C117" i="1480"/>
  <c r="B116" i="1480"/>
  <c r="B115" i="1480"/>
  <c r="B113" i="1480"/>
  <c r="B112" i="1480"/>
  <c r="E109" i="1480"/>
  <c r="D109" i="1480"/>
  <c r="C109" i="1480"/>
  <c r="G22" i="1420"/>
  <c r="G21" i="1420"/>
  <c r="B18" i="1420"/>
  <c r="G26" i="1419"/>
  <c r="G28" i="1419"/>
  <c r="G30" i="1419"/>
  <c r="G18" i="1420" l="1"/>
  <c r="B157" i="1480"/>
  <c r="B137" i="1480"/>
  <c r="B164" i="1480"/>
  <c r="D164" i="1480"/>
  <c r="B143" i="1480"/>
  <c r="B123" i="1480"/>
  <c r="B117" i="1480"/>
  <c r="C19" i="1357" l="1"/>
  <c r="I60" i="1458" l="1"/>
  <c r="N30" i="1458"/>
  <c r="H30" i="1458"/>
  <c r="D32" i="1457"/>
  <c r="D36" i="1456"/>
  <c r="D35" i="1456"/>
  <c r="D26" i="1456"/>
  <c r="D98" i="1480" l="1"/>
  <c r="B98" i="1480" s="1"/>
  <c r="B92" i="1480"/>
  <c r="B96" i="1480"/>
  <c r="B94" i="1480"/>
  <c r="B99" i="1480"/>
  <c r="E103" i="1480"/>
  <c r="C103" i="1480"/>
  <c r="B102" i="1480"/>
  <c r="B101" i="1480"/>
  <c r="B100" i="1480"/>
  <c r="E97" i="1480"/>
  <c r="C97" i="1480"/>
  <c r="B95" i="1480"/>
  <c r="B93" i="1480"/>
  <c r="E89" i="1480"/>
  <c r="D89" i="1480"/>
  <c r="C89" i="1480"/>
  <c r="G22" i="1419"/>
  <c r="G25" i="1419"/>
  <c r="B97" i="1480" l="1"/>
  <c r="B103" i="1480"/>
  <c r="D97" i="1480"/>
  <c r="D103" i="1480"/>
  <c r="I21" i="1458" l="1"/>
  <c r="N41" i="1458"/>
  <c r="H41" i="1458"/>
  <c r="E7" i="1420" l="1"/>
  <c r="E24" i="1420" s="1"/>
  <c r="C19" i="1465" l="1"/>
  <c r="D125" i="1359" l="1"/>
  <c r="E125" i="1359"/>
  <c r="F125" i="1359"/>
  <c r="G125" i="1359"/>
  <c r="H125" i="1359"/>
  <c r="C129" i="1357"/>
  <c r="C56" i="1463" l="1"/>
  <c r="C55" i="1462"/>
  <c r="C59" i="1466" l="1"/>
  <c r="C59" i="1465"/>
  <c r="A1" i="1459" l="1"/>
  <c r="A1" i="1477"/>
  <c r="A1" i="1474"/>
  <c r="A1" i="1464"/>
  <c r="A1" i="1432"/>
  <c r="A1" i="1399" l="1"/>
  <c r="E22" i="1478" l="1"/>
  <c r="D39" i="1456" l="1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H22" i="1453" l="1"/>
  <c r="G22" i="1453"/>
  <c r="F22" i="1453"/>
  <c r="E22" i="1453"/>
  <c r="I21" i="1453"/>
  <c r="I17" i="1453"/>
  <c r="D22" i="1453"/>
  <c r="I15" i="1450" l="1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F16" i="1450" l="1"/>
  <c r="H16" i="1450"/>
  <c r="I16" i="1450"/>
  <c r="E16" i="1450"/>
  <c r="G16" i="1450"/>
  <c r="C18" i="1358" l="1"/>
  <c r="C154" i="1428"/>
  <c r="D77" i="1480"/>
  <c r="B75" i="1480"/>
  <c r="B76" i="1480"/>
  <c r="D36" i="1480"/>
  <c r="D42" i="1480"/>
  <c r="B40" i="1480"/>
  <c r="B61" i="1480"/>
  <c r="E69" i="1480"/>
  <c r="D69" i="1480"/>
  <c r="C69" i="1480"/>
  <c r="E48" i="1480"/>
  <c r="D48" i="1480"/>
  <c r="C48" i="1480"/>
  <c r="E28" i="1480"/>
  <c r="D28" i="1480"/>
  <c r="C28" i="1480"/>
  <c r="C8" i="1480"/>
  <c r="E8" i="1480"/>
  <c r="D8" i="1480"/>
  <c r="D22" i="1480"/>
  <c r="C18" i="1480"/>
  <c r="B18" i="1480" s="1"/>
  <c r="B21" i="1480"/>
  <c r="C19" i="1480"/>
  <c r="B19" i="1480" s="1"/>
  <c r="B17" i="1480"/>
  <c r="E83" i="1480"/>
  <c r="D83" i="1480"/>
  <c r="C83" i="1480"/>
  <c r="B82" i="1480"/>
  <c r="B81" i="1480"/>
  <c r="B80" i="1480"/>
  <c r="B79" i="1480"/>
  <c r="B78" i="1480"/>
  <c r="E77" i="1480"/>
  <c r="C77" i="1480"/>
  <c r="B74" i="1480"/>
  <c r="B73" i="1480"/>
  <c r="B72" i="1480"/>
  <c r="E63" i="1480"/>
  <c r="D63" i="1480"/>
  <c r="C63" i="1480"/>
  <c r="B62" i="1480"/>
  <c r="B60" i="1480"/>
  <c r="B59" i="1480"/>
  <c r="B58" i="1480"/>
  <c r="B57" i="1480"/>
  <c r="E56" i="1480"/>
  <c r="D56" i="1480"/>
  <c r="C56" i="1480"/>
  <c r="B55" i="1480"/>
  <c r="B54" i="1480"/>
  <c r="B53" i="1480"/>
  <c r="B52" i="1480"/>
  <c r="B51" i="1480"/>
  <c r="E42" i="1480"/>
  <c r="B41" i="1480"/>
  <c r="B39" i="1480"/>
  <c r="B38" i="1480"/>
  <c r="B37" i="1480"/>
  <c r="E36" i="1480"/>
  <c r="C36" i="1480"/>
  <c r="B35" i="1480"/>
  <c r="B34" i="1480"/>
  <c r="B33" i="1480"/>
  <c r="B32" i="1480"/>
  <c r="B31" i="1480"/>
  <c r="B47" i="1480"/>
  <c r="E22" i="1480"/>
  <c r="B20" i="1480"/>
  <c r="E16" i="1480"/>
  <c r="D16" i="1480"/>
  <c r="C16" i="1480"/>
  <c r="B15" i="1480"/>
  <c r="B14" i="1480"/>
  <c r="B13" i="1480"/>
  <c r="B12" i="1480"/>
  <c r="B11" i="1480"/>
  <c r="G17" i="1420"/>
  <c r="D12" i="1419"/>
  <c r="D7" i="1419" s="1"/>
  <c r="B68" i="1480" l="1"/>
  <c r="B88" i="1480" s="1"/>
  <c r="B108" i="1480" s="1"/>
  <c r="B128" i="1480" s="1"/>
  <c r="B148" i="1480" s="1"/>
  <c r="B169" i="1480" s="1"/>
  <c r="B190" i="1480" s="1"/>
  <c r="C42" i="1480"/>
  <c r="C22" i="1480"/>
  <c r="B16" i="1480"/>
  <c r="B77" i="1480"/>
  <c r="B22" i="1480"/>
  <c r="B36" i="1480"/>
  <c r="B42" i="1480"/>
  <c r="B56" i="1480"/>
  <c r="B63" i="1480"/>
  <c r="B83" i="1480"/>
  <c r="B18" i="1450" l="1"/>
  <c r="K18" i="1450"/>
  <c r="G15" i="1420" l="1"/>
  <c r="G11" i="1420"/>
  <c r="G9" i="1420"/>
  <c r="G8" i="1420" l="1"/>
  <c r="B18" i="1419"/>
  <c r="B7" i="1419" s="1"/>
  <c r="G24" i="1419" l="1"/>
  <c r="G23" i="1419" l="1"/>
  <c r="G21" i="1419"/>
  <c r="G15" i="1419"/>
  <c r="G13" i="1419"/>
  <c r="G11" i="1419"/>
  <c r="G10" i="1419"/>
  <c r="C16" i="1418"/>
  <c r="F20" i="1416"/>
  <c r="G20" i="1416"/>
  <c r="H19" i="1416"/>
  <c r="G41" i="1419" l="1"/>
  <c r="E5" i="1362"/>
  <c r="C102" i="1358"/>
  <c r="H151" i="1359"/>
  <c r="G151" i="1359"/>
  <c r="F151" i="1359"/>
  <c r="E151" i="1359"/>
  <c r="D151" i="1359"/>
  <c r="H146" i="1359"/>
  <c r="G146" i="1359"/>
  <c r="F146" i="1359"/>
  <c r="E146" i="1359"/>
  <c r="D146" i="1359"/>
  <c r="H139" i="1359"/>
  <c r="G139" i="1359"/>
  <c r="F139" i="1359"/>
  <c r="E139" i="1359"/>
  <c r="D139" i="1359"/>
  <c r="H135" i="1359"/>
  <c r="G135" i="1359"/>
  <c r="F135" i="1359"/>
  <c r="E135" i="1359"/>
  <c r="D135" i="1359"/>
  <c r="H120" i="1359"/>
  <c r="G120" i="1359"/>
  <c r="F120" i="1359"/>
  <c r="E120" i="1359"/>
  <c r="D120" i="1359"/>
  <c r="H117" i="1359"/>
  <c r="G117" i="1359"/>
  <c r="F117" i="1359"/>
  <c r="E117" i="1359"/>
  <c r="D117" i="1359"/>
  <c r="H104" i="1359"/>
  <c r="G104" i="1359"/>
  <c r="F104" i="1359"/>
  <c r="E104" i="1359"/>
  <c r="D104" i="1359"/>
  <c r="H97" i="1359"/>
  <c r="G97" i="1359"/>
  <c r="F97" i="1359"/>
  <c r="E97" i="1359"/>
  <c r="D97" i="1359"/>
  <c r="H86" i="1359"/>
  <c r="G86" i="1359"/>
  <c r="F86" i="1359"/>
  <c r="E86" i="1359"/>
  <c r="D86" i="1359"/>
  <c r="H82" i="1359"/>
  <c r="G82" i="1359"/>
  <c r="F82" i="1359"/>
  <c r="E82" i="1359"/>
  <c r="D82" i="1359"/>
  <c r="H79" i="1359"/>
  <c r="G79" i="1359"/>
  <c r="F79" i="1359"/>
  <c r="E79" i="1359"/>
  <c r="D79" i="1359"/>
  <c r="H74" i="1359"/>
  <c r="G74" i="1359"/>
  <c r="F74" i="1359"/>
  <c r="E74" i="1359"/>
  <c r="D74" i="1359"/>
  <c r="H70" i="1359"/>
  <c r="G70" i="1359"/>
  <c r="F70" i="1359"/>
  <c r="E70" i="1359"/>
  <c r="D70" i="1359"/>
  <c r="H64" i="1359"/>
  <c r="G64" i="1359"/>
  <c r="F64" i="1359"/>
  <c r="E64" i="1359"/>
  <c r="D64" i="1359"/>
  <c r="H59" i="1359"/>
  <c r="G59" i="1359"/>
  <c r="F59" i="1359"/>
  <c r="E59" i="1359"/>
  <c r="D59" i="1359"/>
  <c r="H53" i="1359"/>
  <c r="G53" i="1359"/>
  <c r="F53" i="1359"/>
  <c r="E53" i="1359"/>
  <c r="D53" i="1359"/>
  <c r="H41" i="1359"/>
  <c r="G41" i="1359"/>
  <c r="F41" i="1359"/>
  <c r="E41" i="1359"/>
  <c r="D41" i="1359"/>
  <c r="H35" i="1359"/>
  <c r="G35" i="1359"/>
  <c r="G34" i="1359" s="1"/>
  <c r="F35" i="1359"/>
  <c r="F34" i="1359" s="1"/>
  <c r="E35" i="1359"/>
  <c r="E34" i="1359" s="1"/>
  <c r="D35" i="1359"/>
  <c r="D34" i="1359" s="1"/>
  <c r="H34" i="1359"/>
  <c r="H27" i="1359"/>
  <c r="G27" i="1359"/>
  <c r="F27" i="1359"/>
  <c r="E27" i="1359"/>
  <c r="D27" i="1359"/>
  <c r="H20" i="1359"/>
  <c r="G20" i="1359"/>
  <c r="F20" i="1359"/>
  <c r="E20" i="1359"/>
  <c r="D20" i="1359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E151" i="1358"/>
  <c r="D151" i="1358"/>
  <c r="E146" i="1358"/>
  <c r="D146" i="1358"/>
  <c r="E139" i="1358"/>
  <c r="D139" i="1358"/>
  <c r="E135" i="1358"/>
  <c r="D135" i="1358"/>
  <c r="E125" i="1358"/>
  <c r="E120" i="1358" s="1"/>
  <c r="D125" i="1358"/>
  <c r="D120" i="1358" s="1"/>
  <c r="E117" i="1358"/>
  <c r="D117" i="1358"/>
  <c r="E104" i="1358"/>
  <c r="D104" i="1358"/>
  <c r="H97" i="1358"/>
  <c r="F97" i="1358"/>
  <c r="E97" i="1358"/>
  <c r="D97" i="1358"/>
  <c r="E86" i="1358"/>
  <c r="D86" i="1358"/>
  <c r="E82" i="1358"/>
  <c r="D82" i="1358"/>
  <c r="E79" i="1358"/>
  <c r="D79" i="1358"/>
  <c r="E74" i="1358"/>
  <c r="D74" i="1358"/>
  <c r="E70" i="1358"/>
  <c r="D70" i="1358"/>
  <c r="E64" i="1358"/>
  <c r="D64" i="1358"/>
  <c r="E59" i="1358"/>
  <c r="D59" i="1358"/>
  <c r="E53" i="1358"/>
  <c r="D53" i="1358"/>
  <c r="D41" i="1358"/>
  <c r="E35" i="1358"/>
  <c r="E34" i="1358" s="1"/>
  <c r="E27" i="1358"/>
  <c r="D27" i="1358"/>
  <c r="E20" i="1358"/>
  <c r="D20" i="1358"/>
  <c r="E14" i="1358"/>
  <c r="E11" i="1358" s="1"/>
  <c r="D11" i="1358"/>
  <c r="C100" i="1357"/>
  <c r="E97" i="1357"/>
  <c r="F97" i="1357"/>
  <c r="G97" i="1357"/>
  <c r="H97" i="1357"/>
  <c r="J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159" i="1359" l="1"/>
  <c r="D93" i="1358"/>
  <c r="E159" i="1359"/>
  <c r="F159" i="1359"/>
  <c r="G159" i="1359"/>
  <c r="E69" i="1359"/>
  <c r="F69" i="1359"/>
  <c r="G69" i="1359"/>
  <c r="E93" i="1358"/>
  <c r="H159" i="1359"/>
  <c r="D159" i="1358"/>
  <c r="D93" i="1359"/>
  <c r="H93" i="1359"/>
  <c r="H94" i="1359" s="1"/>
  <c r="E159" i="1358"/>
  <c r="F93" i="1359"/>
  <c r="G93" i="1359"/>
  <c r="D99" i="1358"/>
  <c r="D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4" i="1358"/>
  <c r="D69" i="1358" s="1"/>
  <c r="D94" i="1358" s="1"/>
  <c r="E41" i="1358"/>
  <c r="E69" i="1358" s="1"/>
  <c r="F99" i="1357"/>
  <c r="F134" i="1357" s="1"/>
  <c r="G93" i="1357"/>
  <c r="H99" i="1357"/>
  <c r="H134" i="1357" s="1"/>
  <c r="H159" i="1357"/>
  <c r="E99" i="1358"/>
  <c r="E134" i="1358" s="1"/>
  <c r="G159" i="1357"/>
  <c r="H93" i="1357"/>
  <c r="F159" i="1357"/>
  <c r="E93" i="1359"/>
  <c r="E94" i="1359" s="1"/>
  <c r="D99" i="1359"/>
  <c r="D134" i="1359" s="1"/>
  <c r="D160" i="1359" s="1"/>
  <c r="D69" i="1359"/>
  <c r="H69" i="1357"/>
  <c r="G69" i="1357"/>
  <c r="F93" i="1357"/>
  <c r="F69" i="1357"/>
  <c r="H62" i="1458"/>
  <c r="H25" i="1458"/>
  <c r="G94" i="1359" l="1"/>
  <c r="D160" i="1358"/>
  <c r="H160" i="1359"/>
  <c r="F94" i="1359"/>
  <c r="G160" i="1357"/>
  <c r="G94" i="1357"/>
  <c r="H94" i="1357"/>
  <c r="H160" i="1357"/>
  <c r="N25" i="1458"/>
  <c r="F160" i="1357"/>
  <c r="E94" i="1358"/>
  <c r="E160" i="1358"/>
  <c r="D94" i="1359"/>
  <c r="F94" i="1357"/>
  <c r="N62" i="1458"/>
  <c r="N26" i="1458" l="1"/>
  <c r="H26" i="1458"/>
  <c r="D20" i="1416" l="1"/>
  <c r="E20" i="1416"/>
  <c r="J17" i="1458" l="1"/>
  <c r="G20" i="1419" l="1"/>
  <c r="G13" i="1420" l="1"/>
  <c r="G14" i="1420"/>
  <c r="G14" i="1419"/>
  <c r="N19" i="1458" l="1"/>
  <c r="N48" i="1458"/>
  <c r="H48" i="1458"/>
  <c r="F7" i="1420" l="1"/>
  <c r="F24" i="1420" s="1"/>
  <c r="G19" i="1419"/>
  <c r="C19" i="1362"/>
  <c r="B7" i="1420" l="1"/>
  <c r="B24" i="1420" s="1"/>
  <c r="D52" i="1456"/>
  <c r="D46" i="1456"/>
  <c r="D34" i="1456" l="1"/>
  <c r="G18" i="1419" l="1"/>
  <c r="H57" i="1458"/>
  <c r="H58" i="1458"/>
  <c r="H59" i="1458"/>
  <c r="H60" i="1458"/>
  <c r="H61" i="1458"/>
  <c r="A1" i="1360" l="1"/>
  <c r="A1" i="1359"/>
  <c r="A1" i="1358"/>
  <c r="A1" i="1357"/>
  <c r="N64" i="1458"/>
  <c r="N63" i="1458"/>
  <c r="N61" i="1458"/>
  <c r="N60" i="1458"/>
  <c r="N59" i="1458"/>
  <c r="N58" i="1458"/>
  <c r="N57" i="1458"/>
  <c r="N56" i="1458" l="1"/>
  <c r="H56" i="1458"/>
  <c r="N49" i="1458"/>
  <c r="H49" i="1458"/>
  <c r="I20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J14" i="1450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E42" i="1471"/>
  <c r="F42" i="1471" s="1"/>
  <c r="E40" i="1471"/>
  <c r="F40" i="1471" s="1"/>
  <c r="E39" i="1471"/>
  <c r="F39" i="1471" s="1"/>
  <c r="E38" i="1471"/>
  <c r="F38" i="1471" s="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E29" i="1471"/>
  <c r="F29" i="1471" s="1"/>
  <c r="E28" i="1471"/>
  <c r="F28" i="1471" s="1"/>
  <c r="E27" i="1471"/>
  <c r="F27" i="1471" s="1"/>
  <c r="E26" i="1471"/>
  <c r="F26" i="1471" s="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9" i="1419"/>
  <c r="C35" i="1462" l="1"/>
  <c r="B12" i="1450" s="1"/>
  <c r="K12" i="1450"/>
  <c r="J16" i="1450"/>
  <c r="F48" i="1465"/>
  <c r="K13" i="1450"/>
  <c r="E19" i="1475"/>
  <c r="F19" i="1475" s="1"/>
  <c r="E7" i="1475"/>
  <c r="F7" i="1475" s="1"/>
  <c r="E36" i="1462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E25" i="1471"/>
  <c r="F25" i="1471" s="1"/>
  <c r="E37" i="1471"/>
  <c r="F37" i="1471" s="1"/>
  <c r="E49" i="1471"/>
  <c r="F49" i="1471" s="1"/>
  <c r="C36" i="1475"/>
  <c r="F45" i="1475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E43" i="1471"/>
  <c r="F43" i="1471" s="1"/>
  <c r="C42" i="1462"/>
  <c r="C54" i="1462" s="1"/>
  <c r="C36" i="1466"/>
  <c r="C57" i="1467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12" i="1450" l="1"/>
  <c r="D12" i="1450" s="1"/>
  <c r="C41" i="1475"/>
  <c r="B15" i="1450"/>
  <c r="C15" i="1450" s="1"/>
  <c r="D15" i="1450" s="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E40" i="1462"/>
  <c r="F43" i="1475"/>
  <c r="C55" i="1476"/>
  <c r="E55" i="1475" s="1"/>
  <c r="F55" i="1475" s="1"/>
  <c r="C41" i="1476"/>
  <c r="E41" i="1475" s="1"/>
  <c r="E54" i="1462"/>
  <c r="F54" i="1462" s="1"/>
  <c r="F36" i="1475"/>
  <c r="E55" i="1471"/>
  <c r="F55" i="1471" s="1"/>
  <c r="E41" i="1471"/>
  <c r="F42" i="1462"/>
  <c r="C41" i="1466"/>
  <c r="E41" i="1465" s="1"/>
  <c r="E36" i="1465"/>
  <c r="F36" i="1465" s="1"/>
  <c r="C40" i="1462"/>
  <c r="F41" i="1465" l="1"/>
  <c r="F41" i="1471"/>
  <c r="F41" i="1475"/>
  <c r="F40" i="1462"/>
  <c r="K69" i="1458"/>
  <c r="N14" i="1458"/>
  <c r="H14" i="1458"/>
  <c r="D57" i="1452" l="1"/>
  <c r="D62" i="1452"/>
  <c r="D11" i="1452"/>
  <c r="D8" i="1452" s="1"/>
  <c r="D122" i="1452"/>
  <c r="F36" i="1452"/>
  <c r="B12" i="1451" l="1"/>
  <c r="B23" i="1451" s="1"/>
  <c r="D30" i="1427" l="1"/>
  <c r="D7" i="1420"/>
  <c r="D24" i="1420" s="1"/>
  <c r="G7" i="1420" l="1"/>
  <c r="G12" i="1419"/>
  <c r="D14" i="1357"/>
  <c r="D14" i="1456"/>
  <c r="D41" i="1456"/>
  <c r="D38" i="1456"/>
  <c r="D42" i="1456" l="1"/>
  <c r="D54" i="1456" s="1"/>
  <c r="D125" i="1357" l="1"/>
  <c r="N50" i="1458" l="1"/>
  <c r="H50" i="1458"/>
  <c r="N39" i="1458"/>
  <c r="H39" i="1458"/>
  <c r="G39" i="1419"/>
  <c r="G34" i="1419"/>
  <c r="G33" i="1419"/>
  <c r="G32" i="1419" l="1"/>
  <c r="E52" i="1419" l="1"/>
  <c r="G16" i="1419"/>
  <c r="D41" i="1357" l="1"/>
  <c r="N54" i="1458" l="1"/>
  <c r="H54" i="1458"/>
  <c r="I19" i="1453"/>
  <c r="G7" i="1419"/>
  <c r="H18" i="1416"/>
  <c r="F42" i="1419" l="1"/>
  <c r="B42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2" i="1459"/>
  <c r="E36" i="1459" s="1"/>
  <c r="E38" i="1459" s="1"/>
  <c r="F32" i="1459"/>
  <c r="F36" i="1459" s="1"/>
  <c r="F38" i="1459" s="1"/>
  <c r="D32" i="1459"/>
  <c r="D36" i="1459" s="1"/>
  <c r="D38" i="1459" s="1"/>
  <c r="C32" i="1459"/>
  <c r="C36" i="1459" s="1"/>
  <c r="C38" i="1459" s="1"/>
  <c r="F29" i="1459"/>
  <c r="E29" i="1459"/>
  <c r="D29" i="1459"/>
  <c r="C29" i="1459"/>
  <c r="F28" i="1459"/>
  <c r="F13" i="1459"/>
  <c r="E13" i="1459"/>
  <c r="D13" i="1459"/>
  <c r="D12" i="1459" s="1"/>
  <c r="C13" i="1459"/>
  <c r="C12" i="1459"/>
  <c r="C23" i="1459" s="1"/>
  <c r="C25" i="1459" s="1"/>
  <c r="N69" i="1458"/>
  <c r="M68" i="1458"/>
  <c r="M70" i="1458" s="1"/>
  <c r="L68" i="1458"/>
  <c r="L70" i="1458" s="1"/>
  <c r="K68" i="1458"/>
  <c r="F68" i="1458"/>
  <c r="F70" i="1458" s="1"/>
  <c r="N67" i="1458"/>
  <c r="H67" i="1458"/>
  <c r="N66" i="1458"/>
  <c r="H64" i="1458"/>
  <c r="H63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29" i="1458"/>
  <c r="H29" i="1458"/>
  <c r="N28" i="1458"/>
  <c r="H28" i="1458"/>
  <c r="J68" i="1458"/>
  <c r="J70" i="1458" s="1"/>
  <c r="H24" i="1458"/>
  <c r="N23" i="1458"/>
  <c r="H23" i="1458"/>
  <c r="N22" i="1458"/>
  <c r="H22" i="1458"/>
  <c r="H21" i="1458"/>
  <c r="N18" i="1458"/>
  <c r="H18" i="1458"/>
  <c r="N17" i="1458"/>
  <c r="H17" i="1458"/>
  <c r="N15" i="1458"/>
  <c r="G68" i="1458"/>
  <c r="G70" i="1458" s="1"/>
  <c r="H13" i="1458"/>
  <c r="N12" i="1458"/>
  <c r="H12" i="1458"/>
  <c r="N11" i="1458"/>
  <c r="D68" i="1458"/>
  <c r="D70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18" i="1453"/>
  <c r="I16" i="1453"/>
  <c r="I13" i="1453"/>
  <c r="I15" i="1453"/>
  <c r="I14" i="1453"/>
  <c r="I12" i="1453"/>
  <c r="I11" i="1453"/>
  <c r="H148" i="1452"/>
  <c r="G148" i="1452"/>
  <c r="F148" i="1452"/>
  <c r="D148" i="1452"/>
  <c r="F145" i="1452"/>
  <c r="F143" i="1452" s="1"/>
  <c r="H143" i="1452"/>
  <c r="G143" i="1452"/>
  <c r="D143" i="1452"/>
  <c r="H136" i="1452"/>
  <c r="G136" i="1452"/>
  <c r="F136" i="1452"/>
  <c r="D136" i="1452"/>
  <c r="F133" i="1452"/>
  <c r="F132" i="1452" s="1"/>
  <c r="H132" i="1452"/>
  <c r="G132" i="1452"/>
  <c r="D132" i="1452"/>
  <c r="F130" i="1452"/>
  <c r="F122" i="1452" s="1"/>
  <c r="G122" i="1452"/>
  <c r="D117" i="1452"/>
  <c r="F121" i="1452"/>
  <c r="F120" i="1452"/>
  <c r="F119" i="1452"/>
  <c r="H118" i="1452"/>
  <c r="H117" i="1452" s="1"/>
  <c r="G118" i="1452"/>
  <c r="F118" i="1452"/>
  <c r="F116" i="1452"/>
  <c r="F114" i="1452" s="1"/>
  <c r="G114" i="1452"/>
  <c r="F113" i="1452"/>
  <c r="F108" i="1452"/>
  <c r="G101" i="1452"/>
  <c r="D101" i="1452"/>
  <c r="D96" i="1452" s="1"/>
  <c r="F100" i="1452"/>
  <c r="H99" i="1452"/>
  <c r="G99" i="1452"/>
  <c r="F99" i="1452"/>
  <c r="H98" i="1452"/>
  <c r="G98" i="1452"/>
  <c r="F98" i="1452"/>
  <c r="H97" i="1452"/>
  <c r="G97" i="1452"/>
  <c r="F97" i="1452"/>
  <c r="E94" i="1452"/>
  <c r="D94" i="1452"/>
  <c r="C94" i="1452"/>
  <c r="H84" i="1452"/>
  <c r="G84" i="1452"/>
  <c r="F84" i="1452"/>
  <c r="D84" i="1452"/>
  <c r="H80" i="1452"/>
  <c r="G80" i="1452"/>
  <c r="F80" i="1452"/>
  <c r="D80" i="1452"/>
  <c r="H78" i="1452"/>
  <c r="H77" i="1452" s="1"/>
  <c r="G78" i="1452"/>
  <c r="G77" i="1452" s="1"/>
  <c r="F78" i="1452"/>
  <c r="F77" i="1452" s="1"/>
  <c r="D77" i="1452"/>
  <c r="H72" i="1452"/>
  <c r="G72" i="1452"/>
  <c r="F72" i="1452"/>
  <c r="D72" i="1452"/>
  <c r="F69" i="1452"/>
  <c r="F68" i="1452" s="1"/>
  <c r="H68" i="1452"/>
  <c r="G68" i="1452"/>
  <c r="D68" i="1452"/>
  <c r="H62" i="1452"/>
  <c r="G62" i="1452"/>
  <c r="F62" i="1452"/>
  <c r="F60" i="1452"/>
  <c r="F59" i="1452"/>
  <c r="H57" i="1452"/>
  <c r="G57" i="1452"/>
  <c r="G54" i="1452"/>
  <c r="G51" i="1452" s="1"/>
  <c r="F53" i="1452"/>
  <c r="F51" i="1452" s="1"/>
  <c r="H51" i="1452"/>
  <c r="D51" i="1452"/>
  <c r="G50" i="1452"/>
  <c r="F50" i="1452"/>
  <c r="F49" i="1452"/>
  <c r="H46" i="1452"/>
  <c r="H45" i="1452"/>
  <c r="G45" i="1452"/>
  <c r="F45" i="1452"/>
  <c r="H44" i="1452"/>
  <c r="F43" i="1452"/>
  <c r="H42" i="1452"/>
  <c r="G42" i="1452"/>
  <c r="F42" i="1452"/>
  <c r="H41" i="1452"/>
  <c r="G41" i="1452"/>
  <c r="F41" i="1452"/>
  <c r="F40" i="1452"/>
  <c r="D39" i="1452"/>
  <c r="F38" i="1452"/>
  <c r="F34" i="1452"/>
  <c r="F33" i="1452"/>
  <c r="H32" i="1452"/>
  <c r="H31" i="1452" s="1"/>
  <c r="G32" i="1452"/>
  <c r="G31" i="1452" s="1"/>
  <c r="D32" i="1452"/>
  <c r="D31" i="1452" s="1"/>
  <c r="F30" i="1452"/>
  <c r="F29" i="1452"/>
  <c r="F24" i="1452" s="1"/>
  <c r="H24" i="1452"/>
  <c r="G24" i="1452"/>
  <c r="D24" i="1452"/>
  <c r="F23" i="1452"/>
  <c r="F22" i="1452"/>
  <c r="F17" i="1452" s="1"/>
  <c r="H17" i="1452"/>
  <c r="G17" i="1452"/>
  <c r="D17" i="1452"/>
  <c r="F15" i="1452"/>
  <c r="F14" i="1452"/>
  <c r="F11" i="1452"/>
  <c r="H8" i="1452"/>
  <c r="G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2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2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2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8" i="1419"/>
  <c r="D42" i="1419"/>
  <c r="G42" i="1419" s="1"/>
  <c r="F38" i="1419"/>
  <c r="D38" i="1419"/>
  <c r="B38" i="1419"/>
  <c r="D35" i="1419"/>
  <c r="F31" i="1419"/>
  <c r="B31" i="1419"/>
  <c r="C13" i="1417"/>
  <c r="H16" i="1416"/>
  <c r="H15" i="1416"/>
  <c r="H14" i="1416"/>
  <c r="H11" i="1416"/>
  <c r="H13" i="1416"/>
  <c r="H12" i="1416"/>
  <c r="H10" i="1416"/>
  <c r="H9" i="1416"/>
  <c r="H8" i="1416"/>
  <c r="F12" i="1459" l="1"/>
  <c r="F23" i="1459" s="1"/>
  <c r="F25" i="1459" s="1"/>
  <c r="F39" i="1459" s="1"/>
  <c r="E23" i="1459"/>
  <c r="E25" i="1459" s="1"/>
  <c r="E12" i="1459"/>
  <c r="I22" i="1453"/>
  <c r="D23" i="1459"/>
  <c r="D25" i="1459" s="1"/>
  <c r="D39" i="1459" s="1"/>
  <c r="F8" i="1452"/>
  <c r="E50" i="1430"/>
  <c r="F51" i="1419"/>
  <c r="B51" i="1419"/>
  <c r="D51" i="1419"/>
  <c r="D52" i="1419" s="1"/>
  <c r="G117" i="1452"/>
  <c r="F117" i="1452"/>
  <c r="G38" i="1419"/>
  <c r="G48" i="1419"/>
  <c r="G31" i="1419"/>
  <c r="G35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G39" i="1452"/>
  <c r="G67" i="1452" s="1"/>
  <c r="E12" i="1427"/>
  <c r="E104" i="1427"/>
  <c r="D31" i="1427"/>
  <c r="F31" i="1427" s="1"/>
  <c r="F57" i="1427"/>
  <c r="F78" i="1427"/>
  <c r="D38" i="1430"/>
  <c r="E38" i="1430" s="1"/>
  <c r="O24" i="1455"/>
  <c r="I68" i="1458"/>
  <c r="I70" i="1458" s="1"/>
  <c r="F8" i="1427"/>
  <c r="D72" i="1458"/>
  <c r="D71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32" i="1452"/>
  <c r="F31" i="1452" s="1"/>
  <c r="F39" i="1452"/>
  <c r="H96" i="1452"/>
  <c r="H131" i="1452" s="1"/>
  <c r="G96" i="1452"/>
  <c r="G156" i="1452"/>
  <c r="G16" i="1455"/>
  <c r="O8" i="1455"/>
  <c r="O10" i="1455"/>
  <c r="I16" i="1455"/>
  <c r="O13" i="1455"/>
  <c r="O22" i="1455"/>
  <c r="E39" i="1459"/>
  <c r="F101" i="1452"/>
  <c r="F96" i="1452" s="1"/>
  <c r="F82" i="1427"/>
  <c r="E72" i="1458"/>
  <c r="E64" i="1427"/>
  <c r="E59" i="1430"/>
  <c r="H156" i="1452"/>
  <c r="F98" i="1427"/>
  <c r="F117" i="1427"/>
  <c r="G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7" i="1416"/>
  <c r="H20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2" i="1458"/>
  <c r="G71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C37" i="1430"/>
  <c r="C57" i="1432"/>
  <c r="C36" i="1433"/>
  <c r="C41" i="1433" s="1"/>
  <c r="H39" i="1452"/>
  <c r="H67" i="1452" s="1"/>
  <c r="F57" i="1452"/>
  <c r="F91" i="1452"/>
  <c r="H91" i="1452"/>
  <c r="N13" i="1458"/>
  <c r="H15" i="1458"/>
  <c r="D67" i="1452"/>
  <c r="D131" i="1452"/>
  <c r="F156" i="1452"/>
  <c r="D156" i="1452"/>
  <c r="E16" i="1455"/>
  <c r="D28" i="1455"/>
  <c r="I28" i="1455"/>
  <c r="O19" i="1455"/>
  <c r="O23" i="1455"/>
  <c r="N24" i="1458"/>
  <c r="N44" i="1458"/>
  <c r="K70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1" i="1458"/>
  <c r="L71" i="1458"/>
  <c r="O15" i="1455"/>
  <c r="O18" i="1455"/>
  <c r="N33" i="1458"/>
  <c r="C28" i="1455"/>
  <c r="M71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8" i="1458"/>
  <c r="C70" i="1458" s="1"/>
  <c r="H9" i="1458"/>
  <c r="H11" i="1458"/>
  <c r="N21" i="1458"/>
  <c r="E68" i="1458"/>
  <c r="E70" i="1458" s="1"/>
  <c r="H66" i="1458"/>
  <c r="F131" i="1452" l="1"/>
  <c r="F157" i="1452" s="1"/>
  <c r="G131" i="1452"/>
  <c r="G157" i="1452" s="1"/>
  <c r="E76" i="1427"/>
  <c r="N68" i="1458"/>
  <c r="N70" i="1458" s="1"/>
  <c r="G51" i="1419"/>
  <c r="E109" i="1427"/>
  <c r="F29" i="1455"/>
  <c r="F23" i="1427"/>
  <c r="D45" i="1430"/>
  <c r="E45" i="1430" s="1"/>
  <c r="E71" i="1458"/>
  <c r="E144" i="1427"/>
  <c r="E141" i="1427"/>
  <c r="E48" i="1427"/>
  <c r="D97" i="1427"/>
  <c r="F97" i="1427" s="1"/>
  <c r="D89" i="1427"/>
  <c r="F39" i="1427"/>
  <c r="F30" i="1427"/>
  <c r="F67" i="1452"/>
  <c r="F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2" i="1419"/>
  <c r="D113" i="1427"/>
  <c r="E75" i="1427"/>
  <c r="E11" i="1427"/>
  <c r="H92" i="1452"/>
  <c r="H157" i="1452"/>
  <c r="I29" i="1455"/>
  <c r="D41" i="1430"/>
  <c r="E58" i="1427"/>
  <c r="E29" i="1455"/>
  <c r="D92" i="1452"/>
  <c r="G92" i="1452"/>
  <c r="D157" i="1452"/>
  <c r="D29" i="1455"/>
  <c r="F52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8" i="1458"/>
  <c r="H70" i="1458" s="1"/>
  <c r="O28" i="1455"/>
  <c r="C29" i="1455"/>
  <c r="C57" i="1430"/>
  <c r="E37" i="1427"/>
  <c r="F37" i="1427"/>
  <c r="I72" i="1458"/>
  <c r="C72" i="1458"/>
  <c r="H72" i="1458" s="1"/>
  <c r="C11" i="1450" l="1"/>
  <c r="C16" i="1450" s="1"/>
  <c r="K72" i="1458" s="1"/>
  <c r="K71" i="1458" s="1"/>
  <c r="K16" i="1450"/>
  <c r="K19" i="1450" s="1"/>
  <c r="D11" i="1450"/>
  <c r="D16" i="1450" s="1"/>
  <c r="O29" i="1455"/>
  <c r="G52" i="1419"/>
  <c r="F89" i="1427"/>
  <c r="E89" i="1427"/>
  <c r="E97" i="1427"/>
  <c r="D90" i="1427"/>
  <c r="D65" i="1427"/>
  <c r="E65" i="1427" s="1"/>
  <c r="F10" i="1427"/>
  <c r="E10" i="1427"/>
  <c r="E57" i="1430"/>
  <c r="E41" i="1430"/>
  <c r="I71" i="1458"/>
  <c r="E152" i="1427"/>
  <c r="F152" i="1427"/>
  <c r="C71" i="1458"/>
  <c r="H71" i="1458"/>
  <c r="E92" i="1427"/>
  <c r="F92" i="1427"/>
  <c r="J72" i="1458"/>
  <c r="J71" i="1458" s="1"/>
  <c r="E113" i="1427"/>
  <c r="F113" i="1427"/>
  <c r="O68" i="1458"/>
  <c r="F65" i="1427" l="1"/>
  <c r="F127" i="1427"/>
  <c r="E127" i="1427"/>
  <c r="F90" i="1427"/>
  <c r="E90" i="1427"/>
  <c r="N72" i="1458"/>
  <c r="N71" i="1458" s="1"/>
  <c r="D153" i="1427"/>
  <c r="E153" i="1427" l="1"/>
  <c r="F153" i="1427"/>
  <c r="C46" i="1357" l="1"/>
  <c r="C16" i="1359" l="1"/>
  <c r="C15" i="1359"/>
  <c r="C15" i="1358"/>
  <c r="C16" i="1358"/>
  <c r="L15" i="1357" l="1"/>
  <c r="L16" i="1357"/>
  <c r="E14" i="1357"/>
  <c r="C16" i="1357"/>
  <c r="E13" i="1452" s="1"/>
  <c r="M16" i="1357" l="1"/>
  <c r="C15" i="1357"/>
  <c r="E12" i="1452" s="1"/>
  <c r="M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E134" i="1452" s="1"/>
  <c r="C136" i="1357"/>
  <c r="E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E34" i="1452" s="1"/>
  <c r="C39" i="1357"/>
  <c r="E37" i="1452" s="1"/>
  <c r="C38" i="1357"/>
  <c r="E35" i="1452" s="1"/>
  <c r="C36" i="1357"/>
  <c r="E33" i="1452" s="1"/>
  <c r="L119" i="1357" l="1"/>
  <c r="L118" i="1357"/>
  <c r="L115" i="1357"/>
  <c r="L113" i="1357"/>
  <c r="L111" i="1357"/>
  <c r="L109" i="1357"/>
  <c r="L107" i="1357"/>
  <c r="L105" i="1357"/>
  <c r="L116" i="1357"/>
  <c r="L114" i="1357"/>
  <c r="L112" i="1357"/>
  <c r="L110" i="1357"/>
  <c r="L108" i="1357"/>
  <c r="L106" i="1357"/>
  <c r="C125" i="1358"/>
  <c r="C133" i="1358"/>
  <c r="D35" i="1357"/>
  <c r="D34" i="1357" s="1"/>
  <c r="C104" i="1358" l="1"/>
  <c r="C126" i="1357"/>
  <c r="E123" i="1452" s="1"/>
  <c r="C127" i="1357"/>
  <c r="E124" i="1452" s="1"/>
  <c r="C128" i="1357"/>
  <c r="E125" i="1452" s="1"/>
  <c r="E126" i="1452"/>
  <c r="C130" i="1357"/>
  <c r="E127" i="1452" s="1"/>
  <c r="C131" i="1357"/>
  <c r="E128" i="1452" s="1"/>
  <c r="C132" i="1357"/>
  <c r="E129" i="1452" s="1"/>
  <c r="C133" i="1357"/>
  <c r="E130" i="1452" s="1"/>
  <c r="E125" i="1357"/>
  <c r="C125" i="1357" s="1"/>
  <c r="E11" i="1362" s="1"/>
  <c r="P25" i="1455" l="1"/>
  <c r="Q25" i="1455" s="1"/>
  <c r="E122" i="1452"/>
  <c r="E104" i="1357"/>
  <c r="D104" i="1357"/>
  <c r="C103" i="1357"/>
  <c r="E102" i="1452"/>
  <c r="C106" i="1357"/>
  <c r="E103" i="1452" s="1"/>
  <c r="C107" i="1357"/>
  <c r="E104" i="1452" s="1"/>
  <c r="C108" i="1357"/>
  <c r="E105" i="1452" s="1"/>
  <c r="C109" i="1357"/>
  <c r="E106" i="1452" s="1"/>
  <c r="C110" i="1357"/>
  <c r="E107" i="1452" s="1"/>
  <c r="C111" i="1357"/>
  <c r="E108" i="1452" s="1"/>
  <c r="C112" i="1357"/>
  <c r="E109" i="1452" s="1"/>
  <c r="C113" i="1357"/>
  <c r="E110" i="1452" s="1"/>
  <c r="C114" i="1357"/>
  <c r="E111" i="1452" s="1"/>
  <c r="C115" i="1357"/>
  <c r="E112" i="1452" s="1"/>
  <c r="C116" i="1357"/>
  <c r="C117" i="1357"/>
  <c r="B25" i="1451" s="1"/>
  <c r="B26" i="1451" s="1"/>
  <c r="C118" i="1357"/>
  <c r="E115" i="1452" s="1"/>
  <c r="C119" i="1357"/>
  <c r="E116" i="1452" s="1"/>
  <c r="P21" i="1455" l="1"/>
  <c r="Q21" i="1455" s="1"/>
  <c r="E11" i="1361"/>
  <c r="P26" i="1455"/>
  <c r="Q26" i="1455" s="1"/>
  <c r="E114" i="1452"/>
  <c r="E9" i="1361"/>
  <c r="C104" i="1357"/>
  <c r="C102" i="1357"/>
  <c r="P22" i="1455" l="1"/>
  <c r="Q22" i="1455" s="1"/>
  <c r="E101" i="1452"/>
  <c r="P20" i="1455"/>
  <c r="Q20" i="1455" s="1"/>
  <c r="E99" i="1452"/>
  <c r="E10" i="1361"/>
  <c r="E8" i="1361"/>
  <c r="C126" i="1360"/>
  <c r="C118" i="1360"/>
  <c r="L117" i="1357" s="1"/>
  <c r="C105" i="1360"/>
  <c r="L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E9" i="1452" s="1"/>
  <c r="C35" i="1357" l="1"/>
  <c r="E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L133" i="1357" s="1"/>
  <c r="C132" i="1359"/>
  <c r="L132" i="1357" s="1"/>
  <c r="C131" i="1359"/>
  <c r="L131" i="1357" s="1"/>
  <c r="C130" i="1359"/>
  <c r="L130" i="1357" s="1"/>
  <c r="C129" i="1359"/>
  <c r="L129" i="1357" s="1"/>
  <c r="C128" i="1359"/>
  <c r="L128" i="1357" s="1"/>
  <c r="C127" i="1359"/>
  <c r="L127" i="1357" s="1"/>
  <c r="C126" i="1359"/>
  <c r="C124" i="1359"/>
  <c r="L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L33" i="1357" s="1"/>
  <c r="C32" i="1359"/>
  <c r="L32" i="1357" s="1"/>
  <c r="C31" i="1359"/>
  <c r="L31" i="1357" s="1"/>
  <c r="C30" i="1359"/>
  <c r="L30" i="1357" s="1"/>
  <c r="C29" i="1359"/>
  <c r="L29" i="1357" s="1"/>
  <c r="C28" i="1359"/>
  <c r="L28" i="1357" s="1"/>
  <c r="C26" i="1359"/>
  <c r="L26" i="1357" s="1"/>
  <c r="C25" i="1359"/>
  <c r="L25" i="1357" s="1"/>
  <c r="C24" i="1359"/>
  <c r="C23" i="1359"/>
  <c r="C22" i="1359"/>
  <c r="C21" i="1359"/>
  <c r="C19" i="1359"/>
  <c r="C18" i="1359"/>
  <c r="L18" i="1357" s="1"/>
  <c r="C17" i="1359"/>
  <c r="L17" i="1357" s="1"/>
  <c r="C14" i="1359"/>
  <c r="L14" i="1357" s="1"/>
  <c r="C13" i="1359"/>
  <c r="L13" i="1357" s="1"/>
  <c r="C12" i="1359"/>
  <c r="L12" i="1357" s="1"/>
  <c r="M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L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E155" i="1452" s="1"/>
  <c r="C157" i="1357"/>
  <c r="E154" i="1452" s="1"/>
  <c r="C156" i="1357"/>
  <c r="E153" i="1452" s="1"/>
  <c r="C155" i="1357"/>
  <c r="E152" i="1452" s="1"/>
  <c r="C154" i="1357"/>
  <c r="E151" i="1452" s="1"/>
  <c r="C153" i="1357"/>
  <c r="E150" i="1452" s="1"/>
  <c r="C152" i="1357"/>
  <c r="E149" i="1452" s="1"/>
  <c r="E151" i="1357"/>
  <c r="D151" i="1357"/>
  <c r="C150" i="1357"/>
  <c r="E147" i="1452" s="1"/>
  <c r="C149" i="1357"/>
  <c r="E146" i="1452" s="1"/>
  <c r="C148" i="1357"/>
  <c r="E145" i="1452" s="1"/>
  <c r="C147" i="1357"/>
  <c r="E144" i="1452" s="1"/>
  <c r="E146" i="1357"/>
  <c r="D146" i="1357"/>
  <c r="C145" i="1357"/>
  <c r="E142" i="1452" s="1"/>
  <c r="C144" i="1357"/>
  <c r="E141" i="1452" s="1"/>
  <c r="C143" i="1357"/>
  <c r="E140" i="1452" s="1"/>
  <c r="C142" i="1357"/>
  <c r="E139" i="1452" s="1"/>
  <c r="C141" i="1357"/>
  <c r="E138" i="1452" s="1"/>
  <c r="C140" i="1357"/>
  <c r="E137" i="1452" s="1"/>
  <c r="E139" i="1357"/>
  <c r="D139" i="1357"/>
  <c r="C138" i="1357"/>
  <c r="E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E90" i="1452" s="1"/>
  <c r="C91" i="1357"/>
  <c r="E89" i="1452" s="1"/>
  <c r="C90" i="1357"/>
  <c r="E88" i="1452" s="1"/>
  <c r="C89" i="1357"/>
  <c r="E87" i="1452" s="1"/>
  <c r="C88" i="1357"/>
  <c r="E86" i="1452" s="1"/>
  <c r="C87" i="1357"/>
  <c r="E85" i="1452" s="1"/>
  <c r="E86" i="1357"/>
  <c r="D86" i="1357"/>
  <c r="C85" i="1357"/>
  <c r="E83" i="1452" s="1"/>
  <c r="C84" i="1357"/>
  <c r="E82" i="1452" s="1"/>
  <c r="C83" i="1357"/>
  <c r="E81" i="1452" s="1"/>
  <c r="E82" i="1357"/>
  <c r="D82" i="1357"/>
  <c r="C81" i="1357"/>
  <c r="E79" i="1452" s="1"/>
  <c r="C80" i="1357"/>
  <c r="E79" i="1357"/>
  <c r="D79" i="1357"/>
  <c r="C78" i="1357"/>
  <c r="E76" i="1452" s="1"/>
  <c r="C77" i="1357"/>
  <c r="E75" i="1452" s="1"/>
  <c r="C76" i="1357"/>
  <c r="E74" i="1452" s="1"/>
  <c r="C75" i="1357"/>
  <c r="E73" i="1452" s="1"/>
  <c r="E74" i="1357"/>
  <c r="D74" i="1357"/>
  <c r="C73" i="1357"/>
  <c r="E71" i="1452" s="1"/>
  <c r="C72" i="1357"/>
  <c r="E70" i="1452" s="1"/>
  <c r="C71" i="1357"/>
  <c r="E70" i="1357"/>
  <c r="D70" i="1357"/>
  <c r="C68" i="1357"/>
  <c r="E66" i="1452" s="1"/>
  <c r="C67" i="1357"/>
  <c r="E65" i="1452" s="1"/>
  <c r="C66" i="1357"/>
  <c r="E64" i="1452" s="1"/>
  <c r="C65" i="1357"/>
  <c r="E63" i="1452" s="1"/>
  <c r="E64" i="1357"/>
  <c r="D64" i="1357"/>
  <c r="C63" i="1357"/>
  <c r="E61" i="1452" s="1"/>
  <c r="C62" i="1357"/>
  <c r="E60" i="1452" s="1"/>
  <c r="C60" i="1357"/>
  <c r="E58" i="1452" s="1"/>
  <c r="E59" i="1357"/>
  <c r="C58" i="1357"/>
  <c r="E56" i="1452" s="1"/>
  <c r="C57" i="1357"/>
  <c r="E55" i="1452" s="1"/>
  <c r="C56" i="1357"/>
  <c r="E54" i="1452" s="1"/>
  <c r="C55" i="1357"/>
  <c r="E53" i="1452" s="1"/>
  <c r="C54" i="1357"/>
  <c r="E52" i="1452" s="1"/>
  <c r="E53" i="1357"/>
  <c r="D53" i="1357"/>
  <c r="C52" i="1357"/>
  <c r="E50" i="1452" s="1"/>
  <c r="C51" i="1357"/>
  <c r="E49" i="1452" s="1"/>
  <c r="C50" i="1357"/>
  <c r="E48" i="1452" s="1"/>
  <c r="C49" i="1357"/>
  <c r="E47" i="1452" s="1"/>
  <c r="C48" i="1357"/>
  <c r="E46" i="1452" s="1"/>
  <c r="C47" i="1357"/>
  <c r="E45" i="1452" s="1"/>
  <c r="E44" i="1452"/>
  <c r="C45" i="1357"/>
  <c r="E43" i="1452" s="1"/>
  <c r="C44" i="1357"/>
  <c r="E42" i="1452" s="1"/>
  <c r="C43" i="1357"/>
  <c r="E41" i="1452" s="1"/>
  <c r="C42" i="1357"/>
  <c r="E40" i="1452" s="1"/>
  <c r="C40" i="1357"/>
  <c r="E38" i="1452" s="1"/>
  <c r="C33" i="1357"/>
  <c r="C8" i="1362" s="1"/>
  <c r="C32" i="1357"/>
  <c r="E29" i="1452" s="1"/>
  <c r="C31" i="1357"/>
  <c r="E28" i="1452" s="1"/>
  <c r="C30" i="1357"/>
  <c r="E27" i="1452" s="1"/>
  <c r="C29" i="1357"/>
  <c r="E26" i="1452" s="1"/>
  <c r="C28" i="1357"/>
  <c r="E25" i="1452" s="1"/>
  <c r="E27" i="1357"/>
  <c r="D27" i="1357"/>
  <c r="C26" i="1357"/>
  <c r="E23" i="1452" s="1"/>
  <c r="C25" i="1357"/>
  <c r="E22" i="1452" s="1"/>
  <c r="C24" i="1357"/>
  <c r="E21" i="1452" s="1"/>
  <c r="C23" i="1357"/>
  <c r="E20" i="1452" s="1"/>
  <c r="C22" i="1357"/>
  <c r="E19" i="1452" s="1"/>
  <c r="C21" i="1357"/>
  <c r="E18" i="1452" s="1"/>
  <c r="E20" i="1357"/>
  <c r="D20" i="1357"/>
  <c r="E16" i="1452"/>
  <c r="C18" i="1357"/>
  <c r="E15" i="1452" s="1"/>
  <c r="C17" i="1357"/>
  <c r="E14" i="1452" s="1"/>
  <c r="C14" i="1357"/>
  <c r="E11" i="1452" s="1"/>
  <c r="C13" i="1357"/>
  <c r="E10" i="1452" s="1"/>
  <c r="E11" i="1357"/>
  <c r="D11" i="1357"/>
  <c r="L126" i="1357" l="1"/>
  <c r="C125" i="1359"/>
  <c r="L57" i="1357"/>
  <c r="L65" i="1357"/>
  <c r="M65" i="1357" s="1"/>
  <c r="E18" i="1362"/>
  <c r="E32" i="1362" s="1"/>
  <c r="E69" i="1452"/>
  <c r="C26" i="1362"/>
  <c r="C25" i="1362" s="1"/>
  <c r="C31" i="1362" s="1"/>
  <c r="E119" i="1452"/>
  <c r="E8" i="1362"/>
  <c r="E121" i="1452"/>
  <c r="E10" i="1362"/>
  <c r="L42" i="1357"/>
  <c r="M42" i="1357" s="1"/>
  <c r="L46" i="1357"/>
  <c r="M46" i="1357" s="1"/>
  <c r="L50" i="1357"/>
  <c r="M50" i="1357" s="1"/>
  <c r="L60" i="1357"/>
  <c r="M60" i="1357" s="1"/>
  <c r="L71" i="1357"/>
  <c r="M71" i="1357" s="1"/>
  <c r="L78" i="1357"/>
  <c r="M78" i="1357" s="1"/>
  <c r="L81" i="1357"/>
  <c r="M81" i="1357" s="1"/>
  <c r="L84" i="1357"/>
  <c r="M84" i="1357" s="1"/>
  <c r="L87" i="1357"/>
  <c r="M87" i="1357" s="1"/>
  <c r="L91" i="1357"/>
  <c r="M91" i="1357" s="1"/>
  <c r="L136" i="1357"/>
  <c r="M136" i="1357" s="1"/>
  <c r="L138" i="1357"/>
  <c r="M138" i="1357" s="1"/>
  <c r="L141" i="1357"/>
  <c r="M141" i="1357" s="1"/>
  <c r="L143" i="1357"/>
  <c r="M143" i="1357" s="1"/>
  <c r="L145" i="1357"/>
  <c r="M145" i="1357" s="1"/>
  <c r="L148" i="1357"/>
  <c r="M148" i="1357" s="1"/>
  <c r="L150" i="1357"/>
  <c r="M150" i="1357" s="1"/>
  <c r="L153" i="1357"/>
  <c r="M153" i="1357" s="1"/>
  <c r="L155" i="1357"/>
  <c r="M155" i="1357" s="1"/>
  <c r="L157" i="1357"/>
  <c r="M157" i="1357" s="1"/>
  <c r="L44" i="1357"/>
  <c r="M44" i="1357" s="1"/>
  <c r="L48" i="1357"/>
  <c r="M48" i="1357" s="1"/>
  <c r="L52" i="1357"/>
  <c r="M52" i="1357" s="1"/>
  <c r="L55" i="1357"/>
  <c r="M55" i="1357" s="1"/>
  <c r="L73" i="1357"/>
  <c r="M73" i="1357" s="1"/>
  <c r="L76" i="1357"/>
  <c r="M76" i="1357" s="1"/>
  <c r="L89" i="1357"/>
  <c r="M89" i="1357" s="1"/>
  <c r="L137" i="1357"/>
  <c r="M137" i="1357" s="1"/>
  <c r="L140" i="1357"/>
  <c r="M140" i="1357" s="1"/>
  <c r="L142" i="1357"/>
  <c r="M142" i="1357" s="1"/>
  <c r="L144" i="1357"/>
  <c r="M144" i="1357" s="1"/>
  <c r="L147" i="1357"/>
  <c r="M147" i="1357" s="1"/>
  <c r="L149" i="1357"/>
  <c r="M149" i="1357" s="1"/>
  <c r="L152" i="1357"/>
  <c r="M152" i="1357" s="1"/>
  <c r="L154" i="1357"/>
  <c r="M154" i="1357" s="1"/>
  <c r="L156" i="1357"/>
  <c r="M156" i="1357" s="1"/>
  <c r="L158" i="1357"/>
  <c r="M158" i="1357" s="1"/>
  <c r="E30" i="1452"/>
  <c r="E78" i="1452"/>
  <c r="C20" i="1361"/>
  <c r="C19" i="1361" s="1"/>
  <c r="C41" i="1357"/>
  <c r="L19" i="1357"/>
  <c r="M19" i="1357" s="1"/>
  <c r="L22" i="1357"/>
  <c r="M22" i="1357" s="1"/>
  <c r="L24" i="1357"/>
  <c r="M24" i="1357" s="1"/>
  <c r="L35" i="1357"/>
  <c r="M35" i="1357" s="1"/>
  <c r="L37" i="1357"/>
  <c r="M37" i="1357" s="1"/>
  <c r="L40" i="1357"/>
  <c r="M40" i="1357" s="1"/>
  <c r="L21" i="1357"/>
  <c r="M21" i="1357" s="1"/>
  <c r="L23" i="1357"/>
  <c r="M23" i="1357" s="1"/>
  <c r="L36" i="1357"/>
  <c r="M36" i="1357" s="1"/>
  <c r="L38" i="1357"/>
  <c r="M38" i="1357" s="1"/>
  <c r="L39" i="1357"/>
  <c r="M39" i="1357" s="1"/>
  <c r="L101" i="1357"/>
  <c r="M101" i="1357" s="1"/>
  <c r="L123" i="1357"/>
  <c r="M123" i="1357" s="1"/>
  <c r="L102" i="1357"/>
  <c r="M102" i="1357" s="1"/>
  <c r="L100" i="1357"/>
  <c r="M100" i="1357" s="1"/>
  <c r="P23" i="1455"/>
  <c r="Q23" i="1455" s="1"/>
  <c r="E118" i="1452"/>
  <c r="F53" i="1419"/>
  <c r="F54" i="1419" s="1"/>
  <c r="E120" i="1452"/>
  <c r="P24" i="1455"/>
  <c r="Q24" i="1455" s="1"/>
  <c r="F25" i="1420"/>
  <c r="F26" i="1420" s="1"/>
  <c r="P19" i="1455"/>
  <c r="Q19" i="1455" s="1"/>
  <c r="E98" i="1452"/>
  <c r="P18" i="1455"/>
  <c r="E97" i="1452"/>
  <c r="L43" i="1357"/>
  <c r="M43" i="1357" s="1"/>
  <c r="L68" i="1357"/>
  <c r="M68" i="1357" s="1"/>
  <c r="L122" i="1357"/>
  <c r="M122" i="1357" s="1"/>
  <c r="C27" i="1361"/>
  <c r="E28" i="1361"/>
  <c r="E29" i="1361" s="1"/>
  <c r="D14" i="1413" s="1"/>
  <c r="L45" i="1357"/>
  <c r="M45" i="1357" s="1"/>
  <c r="L49" i="1357"/>
  <c r="M49" i="1357" s="1"/>
  <c r="L51" i="1357"/>
  <c r="M51" i="1357" s="1"/>
  <c r="L54" i="1357"/>
  <c r="M54" i="1357" s="1"/>
  <c r="L56" i="1357"/>
  <c r="M56" i="1357" s="1"/>
  <c r="L58" i="1357"/>
  <c r="M58" i="1357" s="1"/>
  <c r="L61" i="1357"/>
  <c r="L63" i="1357"/>
  <c r="M63" i="1357" s="1"/>
  <c r="L66" i="1357"/>
  <c r="M66" i="1357" s="1"/>
  <c r="L72" i="1357"/>
  <c r="M72" i="1357" s="1"/>
  <c r="L75" i="1357"/>
  <c r="M75" i="1357" s="1"/>
  <c r="L77" i="1357"/>
  <c r="M77" i="1357" s="1"/>
  <c r="L80" i="1357"/>
  <c r="M80" i="1357" s="1"/>
  <c r="L83" i="1357"/>
  <c r="M83" i="1357" s="1"/>
  <c r="L85" i="1357"/>
  <c r="M85" i="1357" s="1"/>
  <c r="L88" i="1357"/>
  <c r="M88" i="1357" s="1"/>
  <c r="L90" i="1357"/>
  <c r="M90" i="1357" s="1"/>
  <c r="L92" i="1357"/>
  <c r="M92" i="1357" s="1"/>
  <c r="L62" i="1357"/>
  <c r="M62" i="1357" s="1"/>
  <c r="L67" i="1357"/>
  <c r="M67" i="1357" s="1"/>
  <c r="L121" i="1357"/>
  <c r="M121" i="1357" s="1"/>
  <c r="L47" i="1357"/>
  <c r="M47" i="1357" s="1"/>
  <c r="C8" i="1361"/>
  <c r="E7" i="1361"/>
  <c r="C12" i="1361"/>
  <c r="C25" i="1361"/>
  <c r="C24" i="1361" s="1"/>
  <c r="E6" i="1361"/>
  <c r="C86" i="1357"/>
  <c r="E84" i="1452" s="1"/>
  <c r="C139" i="1357"/>
  <c r="E136" i="1452" s="1"/>
  <c r="M57" i="1357"/>
  <c r="E93" i="1357"/>
  <c r="C70" i="1359"/>
  <c r="C86" i="1359"/>
  <c r="C160" i="1360"/>
  <c r="C27" i="1357"/>
  <c r="C7" i="1362" s="1"/>
  <c r="C74" i="1357"/>
  <c r="E72" i="1452" s="1"/>
  <c r="C120" i="1359"/>
  <c r="C151" i="1359"/>
  <c r="C64" i="1357"/>
  <c r="C10" i="1362" s="1"/>
  <c r="C151" i="1357"/>
  <c r="E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E132" i="1452" s="1"/>
  <c r="C20" i="1357"/>
  <c r="C7" i="1361" s="1"/>
  <c r="C11" i="1357"/>
  <c r="E159" i="1357"/>
  <c r="C82" i="1358"/>
  <c r="C120" i="1358"/>
  <c r="C151" i="1358"/>
  <c r="C93" i="1360"/>
  <c r="C146" i="1357"/>
  <c r="E143" i="1452" s="1"/>
  <c r="C59" i="1358"/>
  <c r="C82" i="1357"/>
  <c r="E80" i="1452" s="1"/>
  <c r="C20" i="1358"/>
  <c r="C53" i="1358"/>
  <c r="C74" i="1358"/>
  <c r="C139" i="1358"/>
  <c r="C146" i="1358"/>
  <c r="C59" i="1359"/>
  <c r="C139" i="1359"/>
  <c r="M13" i="1357"/>
  <c r="M14" i="1357"/>
  <c r="D134" i="1357"/>
  <c r="C79" i="1357"/>
  <c r="E77" i="1452" s="1"/>
  <c r="C53" i="1357"/>
  <c r="C9" i="1362" s="1"/>
  <c r="E69" i="1357"/>
  <c r="E134" i="1357"/>
  <c r="C120" i="1357"/>
  <c r="E117" i="1452" s="1"/>
  <c r="C135" i="1360"/>
  <c r="M17" i="1357"/>
  <c r="M18" i="1357"/>
  <c r="M25" i="1357"/>
  <c r="M32" i="1357"/>
  <c r="M33" i="1357"/>
  <c r="M103" i="1357"/>
  <c r="M104" i="1357"/>
  <c r="M105" i="1357"/>
  <c r="M116" i="1357"/>
  <c r="M117" i="1357"/>
  <c r="M133" i="1357"/>
  <c r="C34" i="1359"/>
  <c r="C34" i="1358"/>
  <c r="C34" i="1357"/>
  <c r="C79" i="1358"/>
  <c r="C99" i="1357"/>
  <c r="E96" i="1452" s="1"/>
  <c r="C70" i="1357"/>
  <c r="E68" i="1452" s="1"/>
  <c r="M26" i="1357"/>
  <c r="M28" i="1357"/>
  <c r="M29" i="1357"/>
  <c r="M30" i="1357"/>
  <c r="M31" i="1357"/>
  <c r="M106" i="1357"/>
  <c r="M107" i="1357"/>
  <c r="M108" i="1357"/>
  <c r="M109" i="1357"/>
  <c r="M110" i="1357"/>
  <c r="M111" i="1357"/>
  <c r="M112" i="1357"/>
  <c r="M113" i="1357"/>
  <c r="M114" i="1357"/>
  <c r="M115" i="1357"/>
  <c r="M118" i="1357"/>
  <c r="M119" i="1357"/>
  <c r="M124" i="1357"/>
  <c r="M126" i="1357"/>
  <c r="M127" i="1357"/>
  <c r="M128" i="1357"/>
  <c r="M129" i="1357"/>
  <c r="M130" i="1357"/>
  <c r="M131" i="1357"/>
  <c r="M132" i="1357"/>
  <c r="C69" i="1360"/>
  <c r="C11" i="1359"/>
  <c r="C135" i="1359"/>
  <c r="C99" i="1359"/>
  <c r="C135" i="1358"/>
  <c r="C70" i="1358"/>
  <c r="C61" i="1357"/>
  <c r="E59" i="1452" s="1"/>
  <c r="D59" i="1357"/>
  <c r="L135" i="1357" l="1"/>
  <c r="M135" i="1357" s="1"/>
  <c r="C34" i="1362"/>
  <c r="E34" i="1362"/>
  <c r="C18" i="1362"/>
  <c r="L59" i="1357"/>
  <c r="L70" i="1357"/>
  <c r="M70" i="1357" s="1"/>
  <c r="L74" i="1357"/>
  <c r="M74" i="1357" s="1"/>
  <c r="L151" i="1357"/>
  <c r="M151" i="1357" s="1"/>
  <c r="L53" i="1357"/>
  <c r="M53" i="1357" s="1"/>
  <c r="C166" i="1360"/>
  <c r="L64" i="1357"/>
  <c r="M64" i="1357" s="1"/>
  <c r="L86" i="1357"/>
  <c r="M86" i="1357" s="1"/>
  <c r="P10" i="1455"/>
  <c r="Q10" i="1455" s="1"/>
  <c r="E31" i="1452"/>
  <c r="P9" i="1455"/>
  <c r="Q9" i="1455" s="1"/>
  <c r="E24" i="1452"/>
  <c r="E39" i="1452"/>
  <c r="P11" i="1455"/>
  <c r="Q11" i="1455" s="1"/>
  <c r="P12" i="1455"/>
  <c r="Q12" i="1455" s="1"/>
  <c r="E51" i="1452"/>
  <c r="P7" i="1455"/>
  <c r="Q7" i="1455" s="1"/>
  <c r="E8" i="1452"/>
  <c r="P14" i="1455"/>
  <c r="Q14" i="1455" s="1"/>
  <c r="E62" i="1452"/>
  <c r="Q18" i="1455"/>
  <c r="P8" i="1455"/>
  <c r="E17" i="1452"/>
  <c r="L82" i="1357"/>
  <c r="M82" i="1357" s="1"/>
  <c r="L20" i="1357"/>
  <c r="M20" i="1357" s="1"/>
  <c r="L79" i="1357"/>
  <c r="M79" i="1357" s="1"/>
  <c r="L34" i="1357"/>
  <c r="M34" i="1357" s="1"/>
  <c r="L125" i="1357"/>
  <c r="M125" i="1357" s="1"/>
  <c r="L139" i="1357"/>
  <c r="M139" i="1357" s="1"/>
  <c r="L120" i="1357"/>
  <c r="M120" i="1357" s="1"/>
  <c r="L146" i="1357"/>
  <c r="M146" i="1357" s="1"/>
  <c r="E18" i="1361"/>
  <c r="E30" i="1361" s="1"/>
  <c r="C6" i="1361"/>
  <c r="C9" i="1361"/>
  <c r="C10" i="1361"/>
  <c r="C29" i="1361"/>
  <c r="D7" i="1413" s="1"/>
  <c r="C69" i="1359"/>
  <c r="C27" i="1358"/>
  <c r="L27" i="1357" s="1"/>
  <c r="M27" i="1357" s="1"/>
  <c r="C41" i="1358"/>
  <c r="L41" i="1357" s="1"/>
  <c r="M41" i="1357" s="1"/>
  <c r="C59" i="1357"/>
  <c r="C93" i="1357"/>
  <c r="E160" i="1357"/>
  <c r="C93" i="1359"/>
  <c r="M61" i="1357"/>
  <c r="C134" i="1359"/>
  <c r="E94" i="1357"/>
  <c r="C159" i="1358"/>
  <c r="C159" i="1357"/>
  <c r="C93" i="1358"/>
  <c r="D160" i="1357"/>
  <c r="C159" i="1359"/>
  <c r="C134" i="1357"/>
  <c r="E131" i="1452" s="1"/>
  <c r="C161" i="1360"/>
  <c r="C94" i="1360"/>
  <c r="C165" i="1360"/>
  <c r="C11" i="1358"/>
  <c r="D69" i="1357"/>
  <c r="C33" i="1362" l="1"/>
  <c r="E33" i="1362"/>
  <c r="C32" i="1362"/>
  <c r="C160" i="1359"/>
  <c r="L93" i="1357"/>
  <c r="M93" i="1357" s="1"/>
  <c r="P27" i="1455"/>
  <c r="E156" i="1452"/>
  <c r="P15" i="1455"/>
  <c r="Q15" i="1455" s="1"/>
  <c r="E91" i="1452"/>
  <c r="E57" i="1452"/>
  <c r="P13" i="1455"/>
  <c r="Q13" i="1455" s="1"/>
  <c r="Q8" i="1455"/>
  <c r="L159" i="1357"/>
  <c r="M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M59" i="1357"/>
  <c r="C164" i="1357"/>
  <c r="D13" i="1413"/>
  <c r="D15" i="1413"/>
  <c r="C164" i="1358"/>
  <c r="C164" i="1359"/>
  <c r="L11" i="1357"/>
  <c r="M11" i="1357" s="1"/>
  <c r="C99" i="1358"/>
  <c r="L99" i="1357" s="1"/>
  <c r="C69" i="1358"/>
  <c r="L69" i="1357" s="1"/>
  <c r="C69" i="1357"/>
  <c r="E67" i="1452" s="1"/>
  <c r="D94" i="1357"/>
  <c r="E157" i="1452" l="1"/>
  <c r="K20" i="1450"/>
  <c r="K21" i="1450" s="1"/>
  <c r="E35" i="1362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L94" i="1357" s="1"/>
  <c r="M99" i="1357"/>
  <c r="C94" i="1357"/>
  <c r="C160" i="1358"/>
  <c r="C134" i="1358"/>
  <c r="L134" i="1357" s="1"/>
  <c r="C163" i="1357"/>
  <c r="M69" i="1357"/>
  <c r="E92" i="1452" l="1"/>
  <c r="B20" i="1450"/>
  <c r="B21" i="1450" s="1"/>
  <c r="E6" i="1413"/>
  <c r="D8" i="1413"/>
  <c r="E33" i="1361"/>
  <c r="C33" i="1361"/>
  <c r="M94" i="1357"/>
  <c r="B8" i="1413"/>
  <c r="C163" i="1358"/>
  <c r="M134" i="1357"/>
  <c r="E8" i="1413" l="1"/>
  <c r="L160" i="1357"/>
  <c r="M160" i="1357" s="1"/>
</calcChain>
</file>

<file path=xl/sharedStrings.xml><?xml version="1.0" encoding="utf-8"?>
<sst xmlns="http://schemas.openxmlformats.org/spreadsheetml/2006/main" count="6009" uniqueCount="1080">
  <si>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</si>
  <si>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</si>
  <si>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</si>
  <si>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</si>
  <si>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</si>
  <si>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</si>
  <si>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</si>
  <si>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</si>
  <si>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</si>
  <si>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</si>
  <si>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</si>
  <si>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</si>
  <si>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</si>
  <si>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</si>
  <si>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</si>
  <si>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</si>
  <si>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</si>
  <si>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</si>
  <si>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</si>
  <si>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</si>
  <si>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</si>
  <si>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</si>
  <si>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</si>
  <si>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</si>
  <si>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</si>
  <si>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</si>
  <si>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</si>
  <si>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</si>
  <si>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</si>
  <si>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</si>
  <si>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</si>
  <si>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</si>
  <si>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</si>
  <si>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</si>
  <si>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</si>
  <si>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</si>
  <si>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</si>
  <si>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</si>
  <si>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</si>
  <si>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</si>
  <si>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</si>
  <si>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</si>
  <si>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</si>
  <si>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</si>
  <si>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</si>
  <si>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</si>
  <si>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</si>
  <si>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</si>
  <si>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</si>
  <si>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</si>
  <si>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</si>
  <si>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</si>
  <si>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</si>
  <si>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</si>
  <si>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</si>
  <si>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</si>
  <si>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</si>
  <si>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</si>
  <si>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</si>
  <si>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</si>
  <si>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</si>
  <si>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</si>
  <si>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</si>
  <si>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</si>
  <si>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</si>
  <si>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</si>
  <si>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</si>
  <si>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</si>
  <si>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</si>
  <si>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</si>
  <si>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</si>
  <si>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</si>
  <si>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</si>
  <si>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</si>
  <si>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</si>
  <si>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</si>
  <si>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</si>
  <si>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</si>
  <si>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</si>
  <si>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</si>
  <si>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</si>
  <si>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</si>
  <si>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</si>
  <si>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</si>
  <si>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</si>
  <si>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</si>
  <si>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</si>
  <si>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</si>
  <si>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</si>
  <si>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</si>
  <si>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</si>
  <si>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</si>
  <si>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</si>
  <si>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</si>
  <si>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</si>
  <si>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</si>
  <si>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</si>
  <si>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</si>
  <si>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</si>
  <si>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</si>
  <si>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</si>
  <si>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</si>
  <si>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</si>
  <si>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</si>
  <si>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</si>
  <si>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</si>
  <si>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</si>
  <si>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</si>
  <si>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</si>
  <si>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</si>
  <si>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</si>
  <si>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</si>
  <si>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</si>
  <si>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</si>
  <si>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</si>
  <si>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</si>
  <si>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</si>
  <si>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</si>
  <si>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</si>
  <si>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</si>
  <si>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</si>
  <si>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</si>
  <si>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</si>
  <si>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</si>
  <si>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</si>
  <si>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</si>
  <si>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</si>
  <si>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</si>
  <si>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</si>
  <si>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</si>
  <si>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</si>
  <si>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</si>
  <si>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</si>
  <si>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</si>
  <si>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</si>
  <si>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</si>
  <si>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</si>
  <si>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</si>
  <si>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</si>
  <si>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</si>
  <si>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</si>
  <si>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</si>
  <si>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</si>
  <si>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</si>
  <si>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</si>
  <si>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</si>
  <si>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</si>
  <si>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</si>
  <si>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</si>
  <si>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</si>
  <si>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</si>
  <si>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</si>
  <si>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</si>
  <si>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</si>
  <si>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</si>
  <si>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</si>
  <si>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</si>
  <si>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</si>
  <si>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</si>
  <si>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</si>
  <si>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</si>
  <si>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</si>
  <si>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</si>
  <si>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</si>
  <si>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</si>
  <si>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</si>
  <si>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</si>
  <si>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</si>
  <si>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</si>
  <si>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</si>
  <si>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</si>
  <si>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</si>
  <si>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</si>
  <si>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</si>
  <si>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</si>
  <si>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</si>
  <si>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</si>
  <si>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</si>
  <si>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</si>
  <si>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</si>
  <si>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</si>
  <si>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</si>
  <si>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</si>
  <si>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</si>
  <si>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</si>
  <si>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</si>
  <si>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</si>
  <si>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</si>
  <si>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</si>
  <si>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</si>
  <si>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</si>
  <si>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</si>
  <si>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</si>
  <si>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</si>
  <si>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</si>
  <si>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</si>
  <si>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</si>
  <si>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</si>
  <si>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</si>
  <si>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</si>
  <si>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</si>
  <si>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</si>
  <si>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</si>
  <si>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</si>
  <si>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</si>
  <si>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</si>
  <si>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</si>
  <si>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</si>
  <si>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</si>
  <si>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</si>
  <si>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</si>
  <si>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</si>
  <si>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</si>
  <si>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</si>
  <si>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</si>
  <si>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</si>
  <si>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</si>
  <si>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</si>
  <si>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</si>
  <si>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</si>
  <si>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</si>
  <si>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</si>
  <si>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</si>
  <si>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</si>
  <si>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</si>
  <si>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</si>
  <si>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</si>
  <si>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</si>
  <si>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</si>
  <si>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</si>
  <si>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</si>
  <si>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</si>
  <si>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</si>
  <si>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</si>
  <si>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</si>
  <si>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</si>
  <si>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</si>
  <si>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</si>
  <si>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</si>
  <si>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</si>
  <si>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</si>
  <si>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</si>
  <si>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</si>
  <si>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</si>
  <si>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</si>
  <si>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</si>
  <si>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</si>
  <si>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</si>
  <si>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</si>
  <si>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</si>
  <si>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</si>
  <si>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</si>
  <si>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</si>
  <si>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</si>
  <si>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</si>
  <si>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</si>
  <si>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</si>
  <si>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</si>
  <si>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</si>
  <si>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</si>
  <si>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</si>
  <si>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</si>
  <si>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</si>
  <si>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</si>
  <si>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</si>
  <si>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</si>
  <si>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</si>
  <si>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</si>
  <si>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</si>
  <si>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</si>
  <si>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</si>
  <si>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</si>
  <si>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</si>
  <si>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</si>
  <si>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</si>
  <si>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</si>
  <si>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</si>
  <si>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</si>
  <si>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</si>
  <si>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</si>
  <si>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</si>
  <si>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</si>
  <si>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</si>
  <si>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</si>
  <si>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</si>
  <si>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</si>
  <si>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</si>
  <si>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</si>
  <si>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</si>
  <si>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</si>
  <si>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</si>
  <si>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</si>
  <si>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</si>
  <si>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</si>
  <si>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</si>
  <si>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</si>
  <si>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</si>
  <si>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</si>
  <si>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</si>
  <si>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</si>
  <si>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</si>
  <si>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</si>
  <si>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</si>
  <si>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</si>
  <si>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</si>
  <si>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</si>
  <si>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</si>
  <si>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</si>
  <si>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</si>
  <si>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</si>
  <si>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</si>
  <si>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</si>
  <si>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</si>
  <si>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</si>
  <si>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</si>
  <si>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</si>
  <si>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</si>
  <si>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</si>
  <si>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</si>
  <si>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</si>
  <si>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</si>
  <si>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</si>
  <si>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</si>
  <si>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</si>
  <si>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</si>
  <si>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</si>
  <si>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</si>
  <si>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</si>
  <si>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</si>
  <si>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</si>
  <si>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</si>
  <si>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</si>
  <si>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</si>
  <si>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</si>
  <si>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</si>
  <si>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</si>
  <si>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</si>
  <si>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</si>
  <si>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</si>
  <si>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</si>
  <si>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</si>
  <si>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</si>
  <si>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</si>
  <si>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</si>
  <si>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</si>
  <si>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</si>
  <si>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</si>
  <si>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</si>
  <si>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</si>
  <si>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</si>
  <si>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</si>
  <si>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</si>
  <si>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</si>
  <si>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</si>
  <si>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</si>
  <si>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</si>
  <si>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</si>
  <si>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</si>
  <si>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</si>
  <si>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</si>
  <si>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</si>
  <si>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</si>
  <si>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</si>
  <si>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</si>
  <si>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</si>
  <si>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</si>
  <si>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</si>
  <si>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</si>
  <si>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</si>
  <si>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</si>
  <si>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</si>
  <si>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</si>
  <si>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</si>
  <si>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</si>
  <si>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</si>
  <si>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</si>
  <si>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</si>
  <si>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</si>
  <si>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</si>
  <si>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</si>
  <si>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</si>
  <si>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</si>
  <si>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</si>
  <si>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</si>
  <si>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</si>
  <si>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</si>
  <si>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</si>
  <si>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</si>
  <si>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</si>
  <si>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</si>
  <si>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</si>
  <si>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</si>
  <si>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</si>
  <si>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</si>
  <si>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</si>
  <si>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</si>
  <si>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</si>
  <si>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</si>
  <si>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</si>
  <si>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</si>
  <si>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</si>
  <si>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</si>
  <si>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</si>
  <si>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</si>
  <si>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</si>
  <si>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</si>
  <si>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</si>
  <si>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</si>
  <si>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</si>
  <si>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</si>
  <si>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</si>
  <si>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</si>
  <si>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</si>
  <si>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</si>
  <si>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</si>
  <si>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</si>
  <si>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</si>
  <si>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</si>
  <si>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</si>
  <si>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</si>
  <si>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</si>
  <si>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</si>
  <si>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</si>
  <si>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</si>
  <si>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</si>
  <si>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</si>
  <si>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</si>
  <si>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</si>
  <si>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</si>
  <si>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</si>
  <si>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</si>
  <si>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</si>
  <si>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</si>
  <si>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</si>
  <si>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</si>
  <si>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</si>
  <si>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</si>
  <si>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</si>
  <si>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</si>
  <si>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</si>
  <si>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</si>
  <si>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</si>
  <si>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</si>
  <si>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</si>
  <si>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</si>
  <si>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</si>
  <si>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</si>
  <si>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</si>
  <si>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</si>
  <si>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</si>
  <si>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</si>
  <si>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</si>
  <si>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</si>
  <si>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</si>
  <si>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</si>
  <si>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</si>
  <si>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</si>
  <si>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</si>
  <si>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</si>
  <si>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</si>
  <si>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</si>
  <si>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</si>
  <si>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</si>
  <si>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</si>
  <si>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</si>
  <si>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</si>
  <si>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</si>
  <si>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</si>
  <si>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</si>
  <si>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</si>
  <si>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</si>
  <si>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</si>
  <si>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</si>
  <si>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</si>
  <si>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</si>
  <si>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</si>
  <si>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</si>
  <si>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</si>
  <si>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</si>
  <si>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</si>
  <si>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</si>
  <si>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</si>
  <si>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</si>
  <si>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</si>
  <si>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</si>
  <si>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</si>
  <si>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</si>
  <si>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</si>
  <si>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</si>
  <si>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</si>
  <si>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</si>
  <si>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</si>
  <si>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</si>
  <si>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</si>
  <si>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</si>
  <si>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</si>
  <si>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Talajterhelési díj bevétele</t>
  </si>
  <si>
    <t>Varázsceruza óvoda tetőfelújítási munkálatainak finanszírozása céljára felvett hitel 2016</t>
  </si>
  <si>
    <t>Magiszter Alapítványi iskola tetőfelújítása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</si>
  <si>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</si>
  <si>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</si>
  <si>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</si>
  <si>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</si>
  <si>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</si>
  <si>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</si>
  <si>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</si>
  <si>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</si>
  <si>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</si>
  <si>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</si>
  <si>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</si>
  <si>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</si>
  <si>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</si>
  <si>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</si>
  <si>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</si>
  <si>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</si>
  <si>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</si>
  <si>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</si>
  <si>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</si>
  <si>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</si>
  <si>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</si>
  <si>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</si>
  <si>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</si>
  <si>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</si>
  <si>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</si>
  <si>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</si>
  <si>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</si>
  <si>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</si>
  <si>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</si>
  <si>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</si>
  <si>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</si>
  <si>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</si>
  <si>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</si>
  <si>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</si>
  <si>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</si>
  <si>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</si>
  <si>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</si>
  <si>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</si>
  <si>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</si>
  <si>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</si>
  <si>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</si>
  <si>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</si>
  <si>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</si>
  <si>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</si>
  <si>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</si>
  <si>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</si>
  <si>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</si>
  <si>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</si>
  <si>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</si>
  <si>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</si>
  <si>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</si>
  <si>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</si>
  <si>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</si>
  <si>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</si>
  <si>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</si>
  <si>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</si>
  <si>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</si>
  <si>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</si>
  <si>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</si>
  <si>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</si>
  <si>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</si>
  <si>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</si>
  <si>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</si>
  <si>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</si>
  <si>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</si>
  <si>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</si>
  <si>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</si>
  <si>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</si>
  <si>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</si>
  <si>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</si>
  <si>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</si>
  <si>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</si>
  <si>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</si>
  <si>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</si>
  <si>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</si>
  <si>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</si>
  <si>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</si>
  <si>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</si>
  <si>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</si>
  <si>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</si>
  <si>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</si>
  <si>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</si>
  <si>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</si>
  <si>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</si>
  <si>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</si>
  <si>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</si>
  <si>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</si>
  <si>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</si>
  <si>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</si>
  <si>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</si>
  <si>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</si>
  <si>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</si>
  <si>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</si>
  <si>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</si>
  <si>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</si>
  <si>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</si>
  <si>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</si>
  <si>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</si>
  <si>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</si>
  <si>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</si>
  <si>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</si>
  <si>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</si>
  <si>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</si>
  <si>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</si>
  <si>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</si>
  <si>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</si>
  <si>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</si>
  <si>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</si>
  <si>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</si>
  <si>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</si>
  <si>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</si>
  <si>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</si>
  <si>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</si>
  <si>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</si>
  <si>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</si>
  <si>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</si>
  <si>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</si>
  <si>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</si>
  <si>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</si>
  <si>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</si>
  <si>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</si>
  <si>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</si>
  <si>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</si>
  <si>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</si>
  <si>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</si>
  <si>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</si>
  <si>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</si>
  <si>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</si>
  <si>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</si>
  <si>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</si>
  <si>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</si>
  <si>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</si>
  <si>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</si>
  <si>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</si>
  <si>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</si>
  <si>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</si>
  <si>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</si>
  <si>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</si>
  <si>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</si>
  <si>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</si>
  <si>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</si>
  <si>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</si>
  <si>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Iparterület kialakítása Tiszavasváriban</t>
  </si>
  <si>
    <t>Önkormányzat összesen: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</si>
  <si>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</si>
  <si>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</si>
  <si>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</si>
  <si>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</si>
  <si>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</si>
  <si>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</si>
  <si>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</si>
  <si>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</si>
  <si>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</si>
  <si>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</si>
  <si>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</si>
  <si>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</si>
  <si>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</si>
  <si>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</si>
  <si>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</si>
  <si>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</si>
  <si>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</si>
  <si>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</si>
  <si>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</si>
  <si>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</si>
  <si>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</si>
  <si>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</si>
  <si>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</si>
  <si>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</si>
  <si>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</si>
  <si>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</si>
  <si>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</si>
  <si>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</si>
  <si>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</si>
  <si>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</si>
  <si>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</si>
  <si>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</si>
  <si>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</si>
  <si>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</si>
  <si>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</si>
  <si>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</si>
  <si>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</si>
  <si>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</si>
  <si>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</si>
  <si>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</si>
  <si>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</si>
  <si>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</si>
  <si>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</si>
  <si>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</si>
  <si>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</si>
  <si>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</si>
  <si>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</si>
  <si>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Lakáseladás tervezett bevétele</t>
  </si>
  <si>
    <t>Működési célú finanszírozási kiadások
(hiteltörlesztés, értékpapír vásárlás, stb.)*</t>
  </si>
  <si>
    <t>TSE TAO hitel 2017.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</si>
  <si>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</si>
  <si>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</si>
  <si>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</si>
  <si>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</si>
  <si>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</si>
  <si>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</si>
  <si>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</si>
  <si>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</si>
  <si>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</si>
  <si>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</si>
  <si>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</si>
  <si>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</si>
  <si>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</si>
  <si>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</si>
  <si>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</si>
  <si>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</si>
  <si>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</si>
  <si>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</si>
  <si>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</si>
  <si>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</si>
  <si>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</si>
  <si>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</si>
  <si>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</si>
  <si>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</si>
  <si>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</si>
  <si>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</si>
  <si>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</si>
  <si>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7=(2-4-5-6)</t>
  </si>
  <si>
    <t>072111</t>
  </si>
  <si>
    <t>Háziorvosi alapellátás</t>
  </si>
  <si>
    <t>081030</t>
  </si>
  <si>
    <t>Sportlétesítmények, edzőtáborok működtetése és fejlesztése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</si>
  <si>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</si>
  <si>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</si>
  <si>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</si>
  <si>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</si>
  <si>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</si>
  <si>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</si>
  <si>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</si>
  <si>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</si>
  <si>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</si>
  <si>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</si>
  <si>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</si>
  <si>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</si>
  <si>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</si>
  <si>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</si>
  <si>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</si>
  <si>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</si>
  <si>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</si>
  <si>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</si>
  <si>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</si>
  <si>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</si>
  <si>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</si>
  <si>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</si>
  <si>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</si>
  <si>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</si>
  <si>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</si>
  <si>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</si>
  <si>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</si>
  <si>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</si>
  <si>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</si>
  <si>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</si>
  <si>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</si>
  <si>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</si>
  <si>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</si>
  <si>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</si>
  <si>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</si>
  <si>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</si>
  <si>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</si>
  <si>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</si>
  <si>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</si>
  <si>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</si>
  <si>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</si>
  <si>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</si>
  <si>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</si>
  <si>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</si>
  <si>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</si>
  <si>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</si>
  <si>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</si>
  <si>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</si>
  <si>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</si>
  <si>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</si>
  <si>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</si>
  <si>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</si>
  <si>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</si>
  <si>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</si>
  <si>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</si>
  <si>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</si>
  <si>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</si>
  <si>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</si>
  <si>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</si>
  <si>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</si>
  <si>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</si>
  <si>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</si>
  <si>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</si>
  <si>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</si>
  <si>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</si>
  <si>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</si>
  <si>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</si>
  <si>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</si>
  <si>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</si>
  <si>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</si>
  <si>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</si>
  <si>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</si>
  <si>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</si>
  <si>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</si>
  <si>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</si>
  <si>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</si>
  <si>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</si>
  <si>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</si>
  <si>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</si>
  <si>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</si>
  <si>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</si>
  <si>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</si>
  <si>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</si>
  <si>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</si>
  <si>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</si>
  <si>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</si>
  <si>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</si>
  <si>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</si>
  <si>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</si>
  <si>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</si>
  <si>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</si>
  <si>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</si>
  <si>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Civil alap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</si>
  <si>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</si>
  <si>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</si>
  <si>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</si>
  <si>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</si>
  <si>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</si>
  <si>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</si>
  <si>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</si>
  <si>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</si>
  <si>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</si>
  <si>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</si>
  <si>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</si>
  <si>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</si>
  <si>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</si>
  <si>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</si>
  <si>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</si>
  <si>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</si>
  <si>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</si>
  <si>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</si>
  <si>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</si>
  <si>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</si>
  <si>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</si>
  <si>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</si>
  <si>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</si>
  <si>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</si>
  <si>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</si>
  <si>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</si>
  <si>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</si>
  <si>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</si>
  <si>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</si>
  <si>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</si>
  <si>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</si>
  <si>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</si>
  <si>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</si>
  <si>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</si>
  <si>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</si>
  <si>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</si>
  <si>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</si>
  <si>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</si>
  <si>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</si>
  <si>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</si>
  <si>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</si>
  <si>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</si>
  <si>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</si>
  <si>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</si>
  <si>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</si>
  <si>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</si>
  <si>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</si>
  <si>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</si>
  <si>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</si>
  <si>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</si>
  <si>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</si>
  <si>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</si>
  <si>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</si>
  <si>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</si>
  <si>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</si>
  <si>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</si>
  <si>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</si>
  <si>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</si>
  <si>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</si>
  <si>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</si>
  <si>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</si>
  <si>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</si>
  <si>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</si>
  <si>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</si>
  <si>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</si>
  <si>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</si>
  <si>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</si>
  <si>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</si>
  <si>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</si>
  <si>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</si>
  <si>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</si>
  <si>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</si>
  <si>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</si>
  <si>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</si>
  <si>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</si>
  <si>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</si>
  <si>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</si>
  <si>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</si>
  <si>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</si>
  <si>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</si>
  <si>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</si>
  <si>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</si>
  <si>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</si>
  <si>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</si>
  <si>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</si>
  <si>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</si>
  <si>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</si>
  <si>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A gyermekek, fiatalok és családok életminőségét javító programok</t>
  </si>
  <si>
    <t>Óvoda</t>
  </si>
  <si>
    <t>EKIK</t>
  </si>
  <si>
    <t>Bölcsőde</t>
  </si>
  <si>
    <t>Kornisné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</si>
  <si>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</si>
  <si>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</si>
  <si>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Külterületi helyi közutak fejlesztése VP6-7.2.1.1-21 tervdokumentáció</t>
  </si>
  <si>
    <t>Tervdokumentációk készítettése, megalapozó tanulmányok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</si>
  <si>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</si>
  <si>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</si>
  <si>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</si>
  <si>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</si>
  <si>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</si>
  <si>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</si>
  <si>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</si>
  <si>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</si>
  <si>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</si>
  <si>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</si>
  <si>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</si>
  <si>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</si>
  <si>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</si>
  <si>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</si>
  <si>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</si>
  <si>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</si>
  <si>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</si>
  <si>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</si>
  <si>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</si>
  <si>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</si>
  <si>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>Általános tartalék:</t>
  </si>
  <si>
    <t>Tiszavasvári SE TAO pályázat önerő</t>
  </si>
  <si>
    <t>2025. évi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</si>
  <si>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</si>
  <si>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</si>
  <si>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</si>
  <si>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</si>
  <si>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</si>
  <si>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</si>
  <si>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</si>
  <si>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</si>
  <si>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</si>
  <si>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</si>
  <si>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</si>
  <si>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</si>
  <si>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</si>
  <si>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</si>
  <si>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</si>
  <si>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</si>
  <si>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</si>
  <si>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</si>
  <si>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</si>
  <si>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</si>
  <si>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</si>
  <si>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</si>
  <si>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</si>
  <si>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</si>
  <si>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</si>
  <si>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</si>
  <si>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</si>
  <si>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</si>
  <si>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</si>
  <si>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- Önkormányzat nyári diákmunka</t>
  </si>
  <si>
    <t>052020</t>
  </si>
  <si>
    <t>Szennyvíz gyűjtése, tisztítása, elhelyezése</t>
  </si>
  <si>
    <t>Élhető településközpont kialakítása Tiszavasváriban</t>
  </si>
  <si>
    <t>Tiszavasvári Varázsceruza Óvoda infrastrukturális fejlesztése</t>
  </si>
  <si>
    <t>Energetikai fejlesztések Tiszavasvári intézményeiben</t>
  </si>
  <si>
    <t>Pályázati tartalék</t>
  </si>
  <si>
    <t>Önkormányzati finanszírozás</t>
  </si>
  <si>
    <t>Kornisné kazán</t>
  </si>
  <si>
    <t>Ellenőrzés:</t>
  </si>
  <si>
    <t>2023. évi előirányzat</t>
  </si>
  <si>
    <t>2023.évi előirányzat</t>
  </si>
  <si>
    <t>2023. évi előirányzat BEVÉTELEK</t>
  </si>
  <si>
    <t>2023. évi előirányzat KIADÁSOK</t>
  </si>
  <si>
    <t>Tiszavasvári Város Önkormányzata 2023. évi adósságot keletkeztető fejlesztési céljai</t>
  </si>
  <si>
    <t>2023. évi fordított áfa előirányzata</t>
  </si>
  <si>
    <t xml:space="preserve">
2023. év utáni szükséglet
</t>
  </si>
  <si>
    <t>2019-2023</t>
  </si>
  <si>
    <t>Mezőőrség 2023. évi eszközbeszerzés</t>
  </si>
  <si>
    <t>2018-2023</t>
  </si>
  <si>
    <t>2023. év utáni szükséglet
(7=2-4-5-6)</t>
  </si>
  <si>
    <t xml:space="preserve">2023. évi költségvetése </t>
  </si>
  <si>
    <t xml:space="preserve">2023. évi költségvetésében rendelkezésre álló tartalékok </t>
  </si>
  <si>
    <t xml:space="preserve">"
Tiszavasvári Város Önkormányzata
2023. ÉVI KÖLTSÉGVETÉSÉNEK ÖSSZEVONT MÉRLEGE     
</t>
  </si>
  <si>
    <t>2023. előtti kifizetés</t>
  </si>
  <si>
    <t>Folyószámla-hitel 2023. (100.000.000 Ft)</t>
  </si>
  <si>
    <t>Előirányzat-felhasználási terv 2023. évre</t>
  </si>
  <si>
    <t>2023. évi tervezett támogatás összesen</t>
  </si>
  <si>
    <t>K I M U T A T Á S
a 2023. évben céljelleggel juttatandó támogatásokról</t>
  </si>
  <si>
    <t>Az önkormányzat 2023. évi költségvetésének</t>
  </si>
  <si>
    <t>2023. év bevételei</t>
  </si>
  <si>
    <t>2023. év kiadásai</t>
  </si>
  <si>
    <t>Tiszavasvári Város Önkormányzata
2023. ÉVI KÖLTSÉGVETÉSI ÉVET KÖVETŐ 3 ÉV TERVEZETT BEVÉTELEI, KIADÁSAI</t>
  </si>
  <si>
    <t>2023.</t>
  </si>
  <si>
    <t>2022.12.31. -i hitelállomány</t>
  </si>
  <si>
    <t>2021. évi tény</t>
  </si>
  <si>
    <t>2022. évi várható adat</t>
  </si>
  <si>
    <t>2025 után</t>
  </si>
  <si>
    <t>2.3.3.</t>
  </si>
  <si>
    <t>Települési önkormányzatok kulturális feladatainak bérjellegű támogatása</t>
  </si>
  <si>
    <t>48.</t>
  </si>
  <si>
    <t>2022. évi támogatás összesen</t>
  </si>
  <si>
    <t>Tiszavasvári Köztestületi Tűzoltóság</t>
  </si>
  <si>
    <t>Tiszavasvári Városi Polgárőrség</t>
  </si>
  <si>
    <t xml:space="preserve">Tiszavasvári Sportegyesület </t>
  </si>
  <si>
    <t>Tiszavasvári Városi Fúvószenekar</t>
  </si>
  <si>
    <t>Tiszavasvári Olimpiai Baráti Kör Egyesület</t>
  </si>
  <si>
    <t>"Gimnazistákért" Alapítvány</t>
  </si>
  <si>
    <t>"Kicsi vagyok én..." Alapítvány a Bölcsődés Gyermekekért</t>
  </si>
  <si>
    <t>Alkaloida Lombik Horgász Egyesület</t>
  </si>
  <si>
    <t>Hankó László Zenei Alapítvány</t>
  </si>
  <si>
    <t>Kabay János Alapítvány</t>
  </si>
  <si>
    <t>Kör-karéj Bűdszentmihályi Hagyományőrző Műhely</t>
  </si>
  <si>
    <t>Lukács Ferenc Önkéntes Tűzoltó Egyesület</t>
  </si>
  <si>
    <t>Magyar Madártani és Természetvédelmi Egyesület</t>
  </si>
  <si>
    <t>Magyar Vöröskereszt Tiszavasvári Területi Szervezete</t>
  </si>
  <si>
    <t>Magyar-Roma-Maxima Tiszavasvári Egyesület</t>
  </si>
  <si>
    <t>Őszikék idősek és egyedülállók egyesülete:</t>
  </si>
  <si>
    <t>Tiszavasvári Mazsorett Egyesület</t>
  </si>
  <si>
    <t>Tiszavasvári Nagycsaládosok Egyesülete:</t>
  </si>
  <si>
    <t>Tiszavasvári Sport Klub</t>
  </si>
  <si>
    <t xml:space="preserve">Vasvári Pál Társaság: </t>
  </si>
  <si>
    <t>2.1.9.</t>
  </si>
  <si>
    <t>A 10 000 lakos feletti önkormányzatok energiaáremelkedés miatti támogatása</t>
  </si>
  <si>
    <t>2022. IV. félévi Képviselői felajánlások</t>
  </si>
  <si>
    <t>Felhasználás
2022. XII.31-ig</t>
  </si>
  <si>
    <t>Immateriális javak beszerzése</t>
  </si>
  <si>
    <t>2023</t>
  </si>
  <si>
    <t>Tiszavasvári Komplex felzárkózási program szakmai rész 2022</t>
  </si>
  <si>
    <t>2022-2023</t>
  </si>
  <si>
    <t>2022-2025</t>
  </si>
  <si>
    <t>Fizikoterápia eszközbeszerzés</t>
  </si>
  <si>
    <t>Közterület felügyelet</t>
  </si>
  <si>
    <t>Informatikai eszközök, szoftverek beszerzése</t>
  </si>
  <si>
    <t>Egyéb tárgyi eszközök beszerzése (Könyvtár)</t>
  </si>
  <si>
    <t>Környezetvédelmi alapból történő felújítás: Paula liget</t>
  </si>
  <si>
    <t>2022-2024</t>
  </si>
  <si>
    <t>Bérlakás felújítás (Vasvári P. u. 6.; Bercsényi u.; Károly R. u.)</t>
  </si>
  <si>
    <t>NEMLEGES</t>
  </si>
  <si>
    <t>Komplex felzárkóztató programok Tiszavasvári Külső-Szentmihály városrészen, TOP-5.2.1-15-SB1-2016-00011 maradvány</t>
  </si>
  <si>
    <t>Víziközmű vagyonnal kapcsolatos záró pénzkészlet</t>
  </si>
  <si>
    <t>Környezetvédelmi alap 37.556.267 Ft - tervezett kiadás: 18.415.000 Ft</t>
  </si>
  <si>
    <t>2026. évi</t>
  </si>
  <si>
    <t>A 2022 és 2023. évi általános működés és ágazati feladatok támogatásának alakulása jogcímenként</t>
  </si>
  <si>
    <t>Egyéb tárgyi eszközök beszerzése ESZA+ projekt keretében</t>
  </si>
  <si>
    <t>módosíítás 2023. április</t>
  </si>
  <si>
    <t>Egyéb tárgyi eszközök beszerzése (Találkozások háza)</t>
  </si>
  <si>
    <t>Iparterület továbbfejlesztése Tiszavasváriban</t>
  </si>
  <si>
    <t>2023-2025</t>
  </si>
  <si>
    <t>Belterületi utak fejlesztése Tiszavasváriban</t>
  </si>
  <si>
    <t>Infrastrukturális fejlesztések megvalósítása Tiszavasváriban - Kabai 21-23 fel nem újított rész</t>
  </si>
  <si>
    <t>Bérlakás felújítás (Kossuth u. 6. függőfolyosó)</t>
  </si>
  <si>
    <r>
      <t>EU-s projekt neve, azonosítója:</t>
    </r>
    <r>
      <rPr>
        <sz val="11"/>
        <rFont val="Times New Roman"/>
        <family val="1"/>
        <charset val="238"/>
      </rPr>
      <t xml:space="preserve"> Iparterület továbbfejlesztése Tiszavasváriban, TOP_PLUSZ-1.1.1-21-SB1-2022-00010</t>
    </r>
  </si>
  <si>
    <t>Egyéb forrás (levonható ÁFA)</t>
  </si>
  <si>
    <r>
      <t xml:space="preserve">EU-s projekt neve, azonosítója: </t>
    </r>
    <r>
      <rPr>
        <sz val="11"/>
        <rFont val="Times New Roman CE"/>
        <charset val="238"/>
      </rPr>
      <t>Bölcsődei nevelés fejlesztése - RRF-1.1.2-2023-00101</t>
    </r>
  </si>
  <si>
    <r>
      <t xml:space="preserve">EU-s projekt neve, azonosítója: </t>
    </r>
    <r>
      <rPr>
        <sz val="11"/>
        <rFont val="Times New Roman CE"/>
        <charset val="238"/>
      </rPr>
      <t xml:space="preserve">Élhető településközpont kialakítása Tiszavasváriban - TOP_PLUSZ-1.2.1-21-SB1-2023-00006 </t>
    </r>
  </si>
  <si>
    <r>
      <t xml:space="preserve">EU-s projekt neve, azonosítója: </t>
    </r>
    <r>
      <rPr>
        <sz val="11"/>
        <rFont val="Times New Roman CE"/>
        <charset val="238"/>
      </rPr>
      <t>Tiszavasvári Varázsceruza Óvoda infrastrukturális fejlesztése  - TOP-1.4.1-15-SB1-2016-00032</t>
    </r>
  </si>
  <si>
    <r>
      <t xml:space="preserve">EU-s projekt neve, azonosítója: </t>
    </r>
    <r>
      <rPr>
        <sz val="11"/>
        <rFont val="Times New Roman CE"/>
        <charset val="238"/>
      </rPr>
      <t xml:space="preserve">Energetikai fejlesztések Tiszavasvári intézményeiben  - TOP_PLUSZ-2.1.1-21-SB1-2023-00035 </t>
    </r>
  </si>
  <si>
    <r>
      <t xml:space="preserve">EU-s projekt neve, azonosítója: </t>
    </r>
    <r>
      <rPr>
        <sz val="11"/>
        <rFont val="Times New Roman CE"/>
        <charset val="238"/>
      </rPr>
      <t>Szociális célú városrehabilitációt segítő programok Tiszavasváriban  - TOP_PLUSZ-3.1.2-21-SB1-2022-00012 (megvalósító: Kornisné Központ)</t>
    </r>
  </si>
  <si>
    <r>
      <t xml:space="preserve">EU-s projekt neve, azonosítója: </t>
    </r>
    <r>
      <rPr>
        <sz val="11"/>
        <rFont val="Times New Roman CE"/>
        <charset val="238"/>
      </rPr>
      <t>Szociális célú városrehabilitációt segítő programok Tiszavasváriban  - TOP_PLUSZ-3.1.2-21-SB1-2022-00012 (megvalósító: Önkormányzat)</t>
    </r>
  </si>
  <si>
    <r>
      <t>EU-s projekt neve, azonosítója:</t>
    </r>
    <r>
      <rPr>
        <b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Belterületi utak fejlesztése Tiszavasváriban - TOP_PLUSZ-1.2.3-21-SB1-2022-00040</t>
    </r>
  </si>
  <si>
    <t>A települési önkormányzatok kulturális feladatainak támogatása 1.5.=(42.+43.+44.+45.+46.)</t>
  </si>
  <si>
    <t>49.</t>
  </si>
  <si>
    <t>Összesen: 49.=(9.+16.+37.+41.+47.+48.)</t>
  </si>
  <si>
    <t>2.3.2.</t>
  </si>
  <si>
    <t>Települési önkormányzatok kulturális feladatainak kiegészítő támogatása</t>
  </si>
  <si>
    <t>Tiva-Szolg fizikoterápiás szolgáltatás</t>
  </si>
  <si>
    <t>Összesen: 33.=1.+…+32.</t>
  </si>
  <si>
    <t xml:space="preserve">      - GINOP 2 fő</t>
  </si>
  <si>
    <t>Éves tervezett GINOP létszám (fő)</t>
  </si>
  <si>
    <t>045110</t>
  </si>
  <si>
    <t>Közúti közlekedés igazgatása és támogatása</t>
  </si>
  <si>
    <t>..</t>
  </si>
  <si>
    <t>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</si>
</sst>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4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  <font>
      <b/>
      <sz val="1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0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07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5" fillId="0" borderId="44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0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2" fillId="0" borderId="0" xfId="0" applyFont="1"/>
    <xf numFmtId="0" fontId="101" fillId="0" borderId="0" xfId="0" applyFont="1"/>
    <xf numFmtId="0" fontId="103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4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0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7" fillId="0" borderId="0" xfId="21" applyFont="1"/>
    <xf numFmtId="0" fontId="23" fillId="0" borderId="75" xfId="21" applyFont="1" applyBorder="1" applyAlignment="1">
      <alignment horizontal="center" vertical="center"/>
    </xf>
    <xf numFmtId="0" fontId="109" fillId="0" borderId="2" xfId="48" applyFont="1" applyBorder="1" applyAlignment="1" applyProtection="1">
      <alignment vertical="center" wrapText="1"/>
      <protection locked="0"/>
    </xf>
    <xf numFmtId="167" fontId="109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3" fillId="0" borderId="14" xfId="18" applyFont="1" applyBorder="1" applyAlignment="1">
      <alignment horizontal="left" vertical="center" wrapText="1"/>
    </xf>
    <xf numFmtId="0" fontId="113" fillId="0" borderId="35" xfId="55" applyFont="1" applyBorder="1" applyAlignment="1">
      <alignment horizontal="left" vertical="center" wrapText="1"/>
    </xf>
    <xf numFmtId="0" fontId="112" fillId="0" borderId="4" xfId="18" applyFont="1" applyBorder="1" applyAlignment="1">
      <alignment horizontal="left" vertical="center" wrapText="1"/>
    </xf>
    <xf numFmtId="170" fontId="113" fillId="0" borderId="19" xfId="53" applyNumberFormat="1" applyFont="1" applyFill="1" applyBorder="1" applyAlignment="1">
      <alignment horizontal="right" vertical="center"/>
    </xf>
    <xf numFmtId="0" fontId="111" fillId="0" borderId="14" xfId="18" applyFont="1" applyBorder="1" applyAlignment="1">
      <alignment horizontal="left" vertical="center" wrapText="1"/>
    </xf>
    <xf numFmtId="170" fontId="111" fillId="0" borderId="19" xfId="53" applyNumberFormat="1" applyFont="1" applyFill="1" applyBorder="1" applyAlignment="1">
      <alignment horizontal="right" vertical="center"/>
    </xf>
    <xf numFmtId="0" fontId="112" fillId="0" borderId="3" xfId="18" applyFont="1" applyBorder="1" applyAlignment="1">
      <alignment horizontal="left" vertical="center" wrapText="1"/>
    </xf>
    <xf numFmtId="170" fontId="112" fillId="0" borderId="20" xfId="53" applyNumberFormat="1" applyFont="1" applyFill="1" applyBorder="1" applyAlignment="1">
      <alignment horizontal="right" vertical="center"/>
    </xf>
    <xf numFmtId="0" fontId="112" fillId="0" borderId="2" xfId="54" applyFont="1" applyBorder="1" applyAlignment="1">
      <alignment vertical="center"/>
    </xf>
    <xf numFmtId="49" fontId="112" fillId="0" borderId="71" xfId="18" applyNumberFormat="1" applyFont="1" applyBorder="1" applyAlignment="1">
      <alignment vertical="center"/>
    </xf>
    <xf numFmtId="49" fontId="112" fillId="0" borderId="72" xfId="18" applyNumberFormat="1" applyFont="1" applyBorder="1" applyAlignment="1">
      <alignment vertical="center"/>
    </xf>
    <xf numFmtId="49" fontId="111" fillId="0" borderId="35" xfId="18" applyNumberFormat="1" applyFont="1" applyBorder="1" applyAlignment="1">
      <alignment vertical="center"/>
    </xf>
    <xf numFmtId="49" fontId="113" fillId="0" borderId="35" xfId="18" applyNumberFormat="1" applyFont="1" applyBorder="1" applyAlignment="1">
      <alignment vertical="center"/>
    </xf>
    <xf numFmtId="49" fontId="112" fillId="0" borderId="24" xfId="18" applyNumberFormat="1" applyFont="1" applyBorder="1" applyAlignment="1">
      <alignment vertical="center"/>
    </xf>
    <xf numFmtId="49" fontId="113" fillId="0" borderId="35" xfId="18" applyNumberFormat="1" applyFont="1" applyBorder="1" applyAlignment="1">
      <alignment vertical="center" wrapText="1"/>
    </xf>
    <xf numFmtId="0" fontId="112" fillId="0" borderId="25" xfId="54" applyFont="1" applyBorder="1" applyAlignment="1">
      <alignment vertical="center"/>
    </xf>
    <xf numFmtId="0" fontId="112" fillId="0" borderId="1" xfId="55" applyFont="1" applyBorder="1" applyAlignment="1">
      <alignment vertical="center"/>
    </xf>
    <xf numFmtId="0" fontId="113" fillId="0" borderId="14" xfId="55" applyFont="1" applyBorder="1" applyAlignment="1">
      <alignment horizontal="left" vertical="center" wrapText="1"/>
    </xf>
    <xf numFmtId="0" fontId="112" fillId="0" borderId="4" xfId="55" applyFont="1" applyBorder="1" applyAlignment="1">
      <alignment vertical="center"/>
    </xf>
    <xf numFmtId="0" fontId="112" fillId="0" borderId="2" xfId="55" applyFont="1" applyBorder="1" applyAlignment="1">
      <alignment vertical="center"/>
    </xf>
    <xf numFmtId="0" fontId="114" fillId="0" borderId="0" xfId="0" applyFont="1"/>
    <xf numFmtId="14" fontId="50" fillId="0" borderId="0" xfId="18" quotePrefix="1" applyNumberFormat="1"/>
    <xf numFmtId="0" fontId="50" fillId="0" borderId="0" xfId="18" quotePrefix="1"/>
    <xf numFmtId="0" fontId="114" fillId="10" borderId="0" xfId="0" applyFont="1" applyFill="1" applyAlignment="1">
      <alignment horizontal="left" vertical="top" wrapText="1"/>
    </xf>
    <xf numFmtId="0" fontId="112" fillId="0" borderId="72" xfId="55" applyFont="1" applyBorder="1" applyAlignment="1">
      <alignment vertical="center"/>
    </xf>
    <xf numFmtId="0" fontId="112" fillId="10" borderId="78" xfId="0" applyFont="1" applyFill="1" applyBorder="1" applyAlignment="1">
      <alignment vertical="center" wrapText="1"/>
    </xf>
    <xf numFmtId="0" fontId="112" fillId="10" borderId="79" xfId="0" applyFont="1" applyFill="1" applyBorder="1" applyAlignment="1">
      <alignment vertical="center" wrapText="1"/>
    </xf>
    <xf numFmtId="0" fontId="113" fillId="0" borderId="14" xfId="0" applyFont="1" applyBorder="1" applyAlignment="1">
      <alignment vertical="center"/>
    </xf>
    <xf numFmtId="0" fontId="112" fillId="0" borderId="4" xfId="0" applyFont="1" applyBorder="1" applyAlignment="1">
      <alignment vertical="center"/>
    </xf>
    <xf numFmtId="0" fontId="112" fillId="0" borderId="25" xfId="0" applyFont="1" applyBorder="1" applyAlignment="1">
      <alignment vertical="center"/>
    </xf>
    <xf numFmtId="0" fontId="113" fillId="0" borderId="14" xfId="0" applyFont="1" applyBorder="1" applyAlignment="1">
      <alignment vertical="center" wrapText="1"/>
    </xf>
    <xf numFmtId="0" fontId="111" fillId="10" borderId="14" xfId="0" applyFont="1" applyFill="1" applyBorder="1" applyAlignment="1">
      <alignment vertical="center" wrapText="1"/>
    </xf>
    <xf numFmtId="0" fontId="112" fillId="0" borderId="0" xfId="0" applyFont="1" applyAlignment="1">
      <alignment vertical="center"/>
    </xf>
    <xf numFmtId="14" fontId="112" fillId="0" borderId="0" xfId="18" quotePrefix="1" applyNumberFormat="1" applyFont="1" applyAlignment="1">
      <alignment vertical="center"/>
    </xf>
    <xf numFmtId="0" fontId="112" fillId="10" borderId="4" xfId="0" applyFont="1" applyFill="1" applyBorder="1" applyAlignment="1">
      <alignment vertical="center" wrapText="1"/>
    </xf>
    <xf numFmtId="0" fontId="111" fillId="10" borderId="80" xfId="0" applyFont="1" applyFill="1" applyBorder="1" applyAlignment="1">
      <alignment horizontal="left" vertical="center" wrapText="1"/>
    </xf>
    <xf numFmtId="170" fontId="112" fillId="0" borderId="18" xfId="53" applyNumberFormat="1" applyFont="1" applyFill="1" applyBorder="1" applyAlignment="1">
      <alignment horizontal="right" vertical="center"/>
    </xf>
    <xf numFmtId="170" fontId="112" fillId="0" borderId="26" xfId="53" applyNumberFormat="1" applyFont="1" applyFill="1" applyBorder="1" applyAlignment="1">
      <alignment horizontal="right" vertical="center"/>
    </xf>
    <xf numFmtId="170" fontId="113" fillId="0" borderId="19" xfId="53" applyNumberFormat="1" applyFont="1" applyFill="1" applyBorder="1" applyAlignment="1">
      <alignment horizontal="right" vertical="center" wrapText="1"/>
    </xf>
    <xf numFmtId="170" fontId="112" fillId="0" borderId="22" xfId="18" applyNumberFormat="1" applyFont="1" applyBorder="1" applyAlignment="1">
      <alignment horizontal="right" vertical="center"/>
    </xf>
    <xf numFmtId="170" fontId="111" fillId="0" borderId="19" xfId="18" applyNumberFormat="1" applyFont="1" applyBorder="1" applyAlignment="1">
      <alignment horizontal="right" vertical="center"/>
    </xf>
    <xf numFmtId="170" fontId="106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27" xfId="21" applyNumberFormat="1" applyFont="1" applyBorder="1" applyAlignment="1">
      <alignment horizontal="right" vertical="center" wrapText="1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44" xfId="2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5" fillId="0" borderId="8" xfId="0" applyNumberFormat="1" applyFont="1" applyBorder="1" applyAlignment="1" applyProtection="1">
      <alignment horizontal="right" vertical="center" wrapText="1"/>
      <protection locked="0"/>
    </xf>
    <xf numFmtId="49" fontId="105" fillId="0" borderId="2" xfId="0" applyNumberFormat="1" applyFont="1" applyBorder="1" applyAlignment="1" applyProtection="1">
      <alignment horizontal="center" vertical="center" wrapText="1"/>
      <protection locked="0"/>
    </xf>
    <xf numFmtId="166" fontId="105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5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5" fillId="0" borderId="4" xfId="0" applyNumberFormat="1" applyFont="1" applyBorder="1" applyAlignment="1" applyProtection="1">
      <alignment horizontal="right" vertical="center" wrapText="1"/>
      <protection locked="0"/>
    </xf>
    <xf numFmtId="49" fontId="105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2" fillId="10" borderId="2" xfId="0" applyFont="1" applyFill="1" applyBorder="1" applyAlignment="1">
      <alignment horizontal="left" vertical="center" wrapText="1"/>
    </xf>
    <xf numFmtId="170" fontId="112" fillId="0" borderId="18" xfId="18" applyNumberFormat="1" applyFont="1" applyBorder="1" applyAlignment="1">
      <alignment horizontal="right" vertical="center"/>
    </xf>
    <xf numFmtId="0" fontId="112" fillId="10" borderId="25" xfId="0" applyFont="1" applyFill="1" applyBorder="1" applyAlignment="1">
      <alignment vertical="center" wrapText="1"/>
    </xf>
    <xf numFmtId="0" fontId="112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2" fillId="0" borderId="17" xfId="18" applyNumberFormat="1" applyFont="1" applyBorder="1" applyAlignment="1">
      <alignment horizontal="right" vertical="center"/>
    </xf>
    <xf numFmtId="170" fontId="112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8" fillId="0" borderId="5" xfId="19" applyNumberFormat="1" applyFont="1" applyBorder="1"/>
    <xf numFmtId="170" fontId="108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5" fillId="0" borderId="75" xfId="28" applyFont="1" applyBorder="1" applyAlignment="1">
      <alignment vertical="center" wrapText="1"/>
    </xf>
    <xf numFmtId="0" fontId="105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5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1" fillId="0" borderId="16" xfId="18" applyFont="1" applyBorder="1" applyAlignment="1">
      <alignment horizontal="center" vertical="center"/>
    </xf>
    <xf numFmtId="170" fontId="111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5" fillId="0" borderId="18" xfId="0" applyNumberFormat="1" applyFont="1" applyBorder="1" applyAlignment="1">
      <alignment vertical="center" wrapText="1"/>
    </xf>
    <xf numFmtId="166" fontId="105" fillId="0" borderId="20" xfId="0" applyNumberFormat="1" applyFont="1" applyBorder="1" applyAlignment="1">
      <alignment vertical="center" wrapText="1"/>
    </xf>
    <xf numFmtId="0" fontId="105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5" fillId="0" borderId="17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0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09" fillId="0" borderId="23" xfId="21" applyNumberFormat="1" applyFont="1" applyBorder="1" applyAlignment="1" applyProtection="1">
      <alignment horizontal="right" vertical="center" wrapText="1" inden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0" fontId="20" fillId="0" borderId="8" xfId="20" quotePrefix="1" applyFont="1" applyBorder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0" fontId="120" fillId="0" borderId="0" xfId="0" applyFont="1" applyAlignment="1">
      <alignment vertical="center" wrapText="1"/>
    </xf>
    <xf numFmtId="170" fontId="43" fillId="0" borderId="15" xfId="19" applyNumberFormat="1" applyFont="1" applyBorder="1"/>
    <xf numFmtId="166" fontId="35" fillId="0" borderId="46" xfId="0" applyNumberFormat="1" applyFont="1" applyBorder="1" applyAlignment="1">
      <alignment horizontal="center" vertical="center" wrapText="1"/>
    </xf>
    <xf numFmtId="3" fontId="68" fillId="0" borderId="2" xfId="25" applyNumberFormat="1" applyFont="1" applyBorder="1" applyAlignment="1">
      <alignment horizontal="right"/>
    </xf>
    <xf numFmtId="166" fontId="121" fillId="0" borderId="2" xfId="0" applyNumberFormat="1" applyFont="1" applyBorder="1" applyAlignment="1" applyProtection="1">
      <alignment horizontal="right" vertical="center" wrapText="1"/>
      <protection locked="0"/>
    </xf>
    <xf numFmtId="14" fontId="112" fillId="0" borderId="0" xfId="55" quotePrefix="1" applyNumberFormat="1" applyFont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1" fillId="0" borderId="81" xfId="18" applyFont="1" applyBorder="1" applyAlignment="1">
      <alignment horizontal="center" vertical="center" wrapText="1"/>
    </xf>
    <xf numFmtId="0" fontId="112" fillId="0" borderId="55" xfId="55" applyFont="1" applyBorder="1" applyAlignment="1">
      <alignment vertical="center"/>
    </xf>
    <xf numFmtId="0" fontId="112" fillId="0" borderId="5" xfId="55" applyFont="1" applyBorder="1" applyAlignment="1">
      <alignment vertical="center"/>
    </xf>
    <xf numFmtId="0" fontId="112" fillId="0" borderId="71" xfId="55" applyFont="1" applyBorder="1" applyAlignment="1">
      <alignment vertical="center"/>
    </xf>
    <xf numFmtId="0" fontId="112" fillId="10" borderId="82" xfId="0" applyFont="1" applyFill="1" applyBorder="1" applyAlignment="1">
      <alignment vertical="center" wrapText="1"/>
    </xf>
    <xf numFmtId="0" fontId="112" fillId="10" borderId="83" xfId="0" applyFont="1" applyFill="1" applyBorder="1" applyAlignment="1">
      <alignment vertical="center" wrapText="1"/>
    </xf>
    <xf numFmtId="0" fontId="112" fillId="10" borderId="83" xfId="0" quotePrefix="1" applyFont="1" applyFill="1" applyBorder="1" applyAlignment="1">
      <alignment vertical="center" wrapText="1"/>
    </xf>
    <xf numFmtId="0" fontId="112" fillId="0" borderId="5" xfId="18" quotePrefix="1" applyFont="1" applyBorder="1" applyAlignment="1">
      <alignment vertical="center"/>
    </xf>
    <xf numFmtId="0" fontId="111" fillId="0" borderId="61" xfId="18" applyFont="1" applyBorder="1" applyAlignment="1">
      <alignment horizontal="center" vertical="center"/>
    </xf>
    <xf numFmtId="49" fontId="112" fillId="0" borderId="58" xfId="18" applyNumberFormat="1" applyFont="1" applyBorder="1" applyAlignment="1">
      <alignment vertical="center"/>
    </xf>
    <xf numFmtId="49" fontId="112" fillId="0" borderId="42" xfId="18" applyNumberFormat="1" applyFont="1" applyBorder="1" applyAlignment="1">
      <alignment vertical="center"/>
    </xf>
    <xf numFmtId="49" fontId="112" fillId="0" borderId="59" xfId="18" applyNumberFormat="1" applyFont="1" applyBorder="1" applyAlignment="1">
      <alignment vertical="center"/>
    </xf>
    <xf numFmtId="49" fontId="111" fillId="0" borderId="27" xfId="18" applyNumberFormat="1" applyFont="1" applyBorder="1" applyAlignment="1">
      <alignment vertical="center"/>
    </xf>
    <xf numFmtId="0" fontId="112" fillId="0" borderId="58" xfId="55" applyFont="1" applyBorder="1" applyAlignment="1">
      <alignment vertical="center"/>
    </xf>
    <xf numFmtId="0" fontId="112" fillId="0" borderId="42" xfId="55" applyFont="1" applyBorder="1" applyAlignment="1">
      <alignment vertical="center"/>
    </xf>
    <xf numFmtId="14" fontId="112" fillId="0" borderId="38" xfId="55" quotePrefix="1" applyNumberFormat="1" applyFont="1" applyBorder="1" applyAlignment="1">
      <alignment vertical="center"/>
    </xf>
    <xf numFmtId="0" fontId="113" fillId="0" borderId="27" xfId="55" applyFont="1" applyBorder="1" applyAlignment="1">
      <alignment horizontal="left" vertical="center" wrapText="1"/>
    </xf>
    <xf numFmtId="14" fontId="112" fillId="0" borderId="38" xfId="18" quotePrefix="1" applyNumberFormat="1" applyFont="1" applyBorder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10" borderId="84" xfId="0" applyFont="1" applyFill="1" applyBorder="1" applyAlignment="1">
      <alignment vertical="center" wrapText="1"/>
    </xf>
    <xf numFmtId="0" fontId="112" fillId="10" borderId="85" xfId="0" applyFont="1" applyFill="1" applyBorder="1" applyAlignment="1">
      <alignment vertical="center" wrapText="1"/>
    </xf>
    <xf numFmtId="49" fontId="113" fillId="0" borderId="27" xfId="18" applyNumberFormat="1" applyFont="1" applyBorder="1" applyAlignment="1">
      <alignment vertical="center" wrapText="1"/>
    </xf>
    <xf numFmtId="0" fontId="112" fillId="0" borderId="38" xfId="0" applyFont="1" applyBorder="1" applyAlignment="1">
      <alignment vertical="center"/>
    </xf>
    <xf numFmtId="0" fontId="112" fillId="10" borderId="85" xfId="0" quotePrefix="1" applyFont="1" applyFill="1" applyBorder="1" applyAlignment="1">
      <alignment vertical="center" wrapText="1"/>
    </xf>
    <xf numFmtId="0" fontId="112" fillId="0" borderId="42" xfId="18" quotePrefix="1" applyFont="1" applyBorder="1" applyAlignment="1">
      <alignment vertical="center"/>
    </xf>
    <xf numFmtId="166" fontId="6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5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88" fillId="0" borderId="44" xfId="0" applyNumberFormat="1" applyFont="1" applyBorder="1" applyAlignment="1">
      <alignment horizontal="right" vertical="center" wrapText="1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166" fontId="121" fillId="0" borderId="5" xfId="0" applyNumberFormat="1" applyFont="1" applyBorder="1" applyAlignment="1" applyProtection="1">
      <alignment horizontal="right" vertical="center" wrapText="1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166" fontId="121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49" fontId="105" fillId="0" borderId="3" xfId="0" applyNumberFormat="1" applyFont="1" applyBorder="1" applyAlignment="1" applyProtection="1">
      <alignment horizontal="center" vertical="center" wrapText="1"/>
      <protection locked="0"/>
    </xf>
    <xf numFmtId="166" fontId="105" fillId="0" borderId="3" xfId="0" applyNumberFormat="1" applyFont="1" applyBorder="1" applyAlignment="1" applyProtection="1">
      <alignment horizontal="right" vertical="center" wrapText="1"/>
      <protection locked="0"/>
    </xf>
    <xf numFmtId="166" fontId="6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2" fillId="0" borderId="0" xfId="20" applyFont="1" applyAlignment="1">
      <alignment horizontal="right"/>
    </xf>
    <xf numFmtId="167" fontId="50" fillId="0" borderId="0" xfId="20" applyNumberFormat="1"/>
    <xf numFmtId="170" fontId="112" fillId="0" borderId="40" xfId="53" applyNumberFormat="1" applyFont="1" applyFill="1" applyBorder="1" applyAlignment="1">
      <alignment horizontal="right" vertical="center"/>
    </xf>
    <xf numFmtId="170" fontId="112" fillId="0" borderId="20" xfId="18" applyNumberFormat="1" applyFont="1" applyBorder="1" applyAlignment="1">
      <alignment horizontal="right" vertical="center"/>
    </xf>
    <xf numFmtId="170" fontId="112" fillId="0" borderId="23" xfId="18" applyNumberFormat="1" applyFont="1" applyBorder="1" applyAlignment="1">
      <alignment horizontal="right" vertical="center"/>
    </xf>
    <xf numFmtId="170" fontId="112" fillId="0" borderId="26" xfId="18" applyNumberFormat="1" applyFont="1" applyBorder="1" applyAlignment="1">
      <alignment horizontal="right" vertical="center"/>
    </xf>
    <xf numFmtId="170" fontId="112" fillId="0" borderId="23" xfId="53" applyNumberFormat="1" applyFont="1" applyFill="1" applyBorder="1" applyAlignment="1">
      <alignment horizontal="right" vertical="center"/>
    </xf>
    <xf numFmtId="166" fontId="36" fillId="0" borderId="50" xfId="21" applyNumberFormat="1" applyFont="1" applyBorder="1" applyAlignment="1">
      <alignment horizontal="right" vertical="center" wrapText="1" indent="1"/>
    </xf>
    <xf numFmtId="167" fontId="36" fillId="0" borderId="23" xfId="26" applyNumberFormat="1" applyFont="1" applyFill="1" applyBorder="1" applyProtection="1">
      <protection locked="0"/>
    </xf>
    <xf numFmtId="171" fontId="55" fillId="0" borderId="2" xfId="0" applyNumberFormat="1" applyFont="1" applyBorder="1" applyAlignment="1">
      <alignment vertical="center" wrapText="1"/>
    </xf>
    <xf numFmtId="167" fontId="31" fillId="0" borderId="44" xfId="26" applyNumberFormat="1" applyFont="1" applyBorder="1"/>
    <xf numFmtId="3" fontId="35" fillId="0" borderId="40" xfId="50" applyNumberFormat="1" applyFont="1" applyBorder="1" applyAlignment="1">
      <alignment horizontal="center" vertical="center" wrapText="1"/>
    </xf>
    <xf numFmtId="0" fontId="112" fillId="10" borderId="2" xfId="0" applyFont="1" applyFill="1" applyBorder="1" applyAlignment="1">
      <alignment vertical="center" wrapText="1"/>
    </xf>
    <xf numFmtId="170" fontId="43" fillId="0" borderId="46" xfId="19" applyNumberFormat="1" applyFont="1" applyBorder="1"/>
    <xf numFmtId="166" fontId="0" fillId="0" borderId="3" xfId="0" applyNumberFormat="1" applyBorder="1" applyAlignment="1" applyProtection="1">
      <alignment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0" fillId="0" borderId="18" xfId="0" applyNumberFormat="1" applyBorder="1" applyAlignment="1">
      <alignment vertical="center" wrapText="1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166" fontId="0" fillId="0" borderId="31" xfId="28" applyNumberFormat="1" applyFont="1" applyBorder="1" applyAlignment="1" applyProtection="1">
      <alignment horizontal="left" vertical="center" wrapText="1"/>
      <protection locked="0"/>
    </xf>
    <xf numFmtId="0" fontId="105" fillId="0" borderId="47" xfId="0" applyFont="1" applyBorder="1" applyAlignment="1">
      <alignment wrapText="1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0" fontId="105" fillId="0" borderId="75" xfId="0" applyFont="1" applyBorder="1" applyAlignment="1">
      <alignment wrapText="1"/>
    </xf>
    <xf numFmtId="0" fontId="105" fillId="0" borderId="42" xfId="0" applyFont="1" applyBorder="1" applyAlignment="1">
      <alignment wrapText="1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0" fontId="105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0" xfId="0" applyNumberFormat="1" applyBorder="1" applyAlignment="1">
      <alignment vertical="center" wrapText="1"/>
    </xf>
    <xf numFmtId="166" fontId="105" fillId="0" borderId="9" xfId="0" applyNumberFormat="1" applyFont="1" applyBorder="1" applyAlignment="1" applyProtection="1">
      <alignment horizontal="right" vertical="center" wrapText="1"/>
      <protection locked="0"/>
    </xf>
    <xf numFmtId="166" fontId="98" fillId="0" borderId="63" xfId="0" applyNumberFormat="1" applyFont="1" applyBorder="1" applyAlignment="1" applyProtection="1">
      <alignment horizontal="left" vertical="center" wrapText="1"/>
      <protection locked="0"/>
    </xf>
    <xf numFmtId="166" fontId="81" fillId="0" borderId="15" xfId="0" applyNumberFormat="1" applyFont="1" applyBorder="1" applyAlignment="1" applyProtection="1">
      <alignment horizontal="right" vertical="center" wrapText="1"/>
      <protection locked="0"/>
    </xf>
    <xf numFmtId="49" fontId="81" fillId="0" borderId="16" xfId="0" applyNumberFormat="1" applyFont="1" applyBorder="1" applyAlignment="1" applyProtection="1">
      <alignment horizontal="center" vertical="center" wrapText="1"/>
      <protection locked="0"/>
    </xf>
    <xf numFmtId="166" fontId="81" fillId="0" borderId="61" xfId="0" applyNumberFormat="1" applyFont="1" applyBorder="1" applyAlignment="1" applyProtection="1">
      <alignment horizontal="right" vertical="center" wrapText="1"/>
      <protection locked="0"/>
    </xf>
    <xf numFmtId="166" fontId="37" fillId="0" borderId="60" xfId="0" applyNumberFormat="1" applyFont="1" applyBorder="1" applyAlignment="1">
      <alignment horizontal="left" vertical="center" wrapText="1"/>
    </xf>
    <xf numFmtId="166" fontId="37" fillId="0" borderId="39" xfId="0" applyNumberFormat="1" applyFont="1" applyBorder="1" applyAlignment="1">
      <alignment vertical="center" wrapText="1"/>
    </xf>
    <xf numFmtId="166" fontId="37" fillId="0" borderId="25" xfId="0" applyNumberFormat="1" applyFont="1" applyBorder="1" applyAlignment="1">
      <alignment vertical="center" wrapText="1"/>
    </xf>
    <xf numFmtId="166" fontId="37" fillId="0" borderId="26" xfId="0" applyNumberFormat="1" applyFont="1" applyBorder="1" applyAlignment="1">
      <alignment vertical="center" wrapText="1"/>
    </xf>
    <xf numFmtId="166" fontId="9" fillId="0" borderId="11" xfId="28" applyNumberFormat="1" applyFont="1" applyBorder="1" applyAlignment="1" applyProtection="1">
      <alignment horizontal="left" vertical="center" wrapText="1"/>
      <protection locked="0"/>
    </xf>
    <xf numFmtId="166" fontId="9" fillId="0" borderId="4" xfId="28" applyNumberFormat="1" applyFont="1" applyBorder="1" applyAlignment="1" applyProtection="1">
      <alignment vertical="center" wrapText="1"/>
      <protection locked="0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horizontal="left" vertical="center" wrapText="1"/>
      <protection locked="0"/>
    </xf>
    <xf numFmtId="166" fontId="9" fillId="0" borderId="2" xfId="28" applyNumberFormat="1" applyFont="1" applyBorder="1" applyAlignment="1" applyProtection="1">
      <alignment vertical="center" wrapText="1"/>
      <protection locked="0"/>
    </xf>
    <xf numFmtId="166" fontId="0" fillId="0" borderId="8" xfId="28" applyNumberFormat="1" applyFont="1" applyBorder="1" applyAlignment="1" applyProtection="1">
      <alignment horizontal="left" vertical="center" wrapText="1"/>
      <protection locked="0"/>
    </xf>
    <xf numFmtId="0" fontId="105" fillId="0" borderId="8" xfId="0" applyFont="1" applyBorder="1" applyAlignment="1">
      <alignment wrapText="1"/>
    </xf>
    <xf numFmtId="166" fontId="9" fillId="0" borderId="2" xfId="28" applyNumberFormat="1" applyFont="1" applyBorder="1" applyAlignment="1" applyProtection="1">
      <alignment horizontal="right" vertical="center" wrapText="1"/>
      <protection locked="0"/>
    </xf>
    <xf numFmtId="0" fontId="105" fillId="0" borderId="12" xfId="0" applyFont="1" applyBorder="1" applyAlignment="1">
      <alignment vertical="center" wrapText="1"/>
    </xf>
    <xf numFmtId="166" fontId="9" fillId="0" borderId="21" xfId="28" applyNumberFormat="1" applyFont="1" applyBorder="1" applyAlignment="1" applyProtection="1">
      <alignment horizontal="right" vertical="center" wrapText="1"/>
      <protection locked="0"/>
    </xf>
    <xf numFmtId="166" fontId="67" fillId="0" borderId="21" xfId="0" applyNumberFormat="1" applyFont="1" applyBorder="1" applyAlignment="1" applyProtection="1">
      <alignment horizontal="right" vertical="center" wrapText="1"/>
      <protection locked="0"/>
    </xf>
    <xf numFmtId="166" fontId="67" fillId="0" borderId="22" xfId="0" applyNumberFormat="1" applyFont="1" applyBorder="1" applyAlignment="1">
      <alignment vertical="center" wrapText="1"/>
    </xf>
    <xf numFmtId="3" fontId="35" fillId="0" borderId="51" xfId="21" applyNumberFormat="1" applyFont="1" applyBorder="1"/>
    <xf numFmtId="3" fontId="35" fillId="0" borderId="0" xfId="21" applyNumberFormat="1" applyFont="1"/>
    <xf numFmtId="3" fontId="35" fillId="0" borderId="24" xfId="21" applyNumberFormat="1" applyFont="1" applyBorder="1"/>
    <xf numFmtId="3" fontId="20" fillId="0" borderId="0" xfId="21" applyNumberFormat="1"/>
    <xf numFmtId="167" fontId="36" fillId="0" borderId="57" xfId="26" applyNumberFormat="1" applyFont="1" applyFill="1" applyBorder="1" applyProtection="1">
      <protection locked="0"/>
    </xf>
    <xf numFmtId="166" fontId="0" fillId="0" borderId="0" xfId="0" applyNumberFormat="1" applyAlignment="1">
      <alignment vertical="center"/>
    </xf>
    <xf numFmtId="0" fontId="20" fillId="0" borderId="8" xfId="20" quotePrefix="1" applyFont="1" applyBorder="1" applyAlignment="1">
      <alignment wrapText="1"/>
    </xf>
    <xf numFmtId="0" fontId="20" fillId="0" borderId="8" xfId="20" applyFont="1" applyBorder="1" applyAlignment="1">
      <alignment wrapText="1"/>
    </xf>
    <xf numFmtId="167" fontId="20" fillId="0" borderId="17" xfId="26" applyNumberFormat="1" applyFont="1" applyFill="1" applyBorder="1" applyAlignment="1">
      <alignment vertical="center"/>
    </xf>
    <xf numFmtId="167" fontId="20" fillId="0" borderId="18" xfId="26" applyNumberFormat="1" applyFont="1" applyFill="1" applyBorder="1" applyAlignment="1">
      <alignment vertical="center"/>
    </xf>
    <xf numFmtId="167" fontId="20" fillId="0" borderId="23" xfId="26" applyNumberFormat="1" applyFont="1" applyFill="1" applyBorder="1" applyAlignment="1">
      <alignment vertical="center"/>
    </xf>
    <xf numFmtId="167" fontId="31" fillId="0" borderId="27" xfId="26" applyNumberFormat="1" applyFont="1" applyBorder="1"/>
    <xf numFmtId="3" fontId="36" fillId="0" borderId="58" xfId="21" applyNumberFormat="1" applyFont="1" applyBorder="1" applyAlignment="1">
      <alignment horizontal="right" vertical="center" wrapText="1"/>
    </xf>
    <xf numFmtId="3" fontId="36" fillId="0" borderId="57" xfId="21" applyNumberFormat="1" applyFont="1" applyBorder="1" applyAlignment="1">
      <alignment horizontal="right" vertical="center" wrapText="1"/>
    </xf>
    <xf numFmtId="166" fontId="36" fillId="0" borderId="17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 indent="1"/>
    </xf>
    <xf numFmtId="166" fontId="9" fillId="0" borderId="0" xfId="21" applyNumberFormat="1" applyFont="1"/>
    <xf numFmtId="166" fontId="35" fillId="0" borderId="26" xfId="21" applyNumberFormat="1" applyFont="1" applyBorder="1" applyAlignment="1">
      <alignment horizontal="right" vertical="center" wrapText="1" indent="1"/>
    </xf>
    <xf numFmtId="166" fontId="32" fillId="0" borderId="19" xfId="0" quotePrefix="1" applyNumberFormat="1" applyFont="1" applyBorder="1" applyAlignment="1" applyProtection="1">
      <alignment horizontal="right" vertical="center" wrapText="1" indent="1"/>
      <protection locked="0"/>
    </xf>
    <xf numFmtId="166" fontId="27" fillId="0" borderId="60" xfId="36" applyNumberFormat="1" applyFont="1" applyBorder="1" applyAlignment="1">
      <alignment horizontal="center" vertical="center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49" fontId="43" fillId="0" borderId="10" xfId="36" applyNumberFormat="1" applyFont="1" applyBorder="1" applyAlignment="1">
      <alignment horizontal="left" vertical="center"/>
    </xf>
    <xf numFmtId="166" fontId="26" fillId="0" borderId="0" xfId="0" applyNumberFormat="1" applyFont="1" applyAlignment="1">
      <alignment horizontal="right" vertical="center" wrapText="1"/>
    </xf>
    <xf numFmtId="0" fontId="121" fillId="0" borderId="47" xfId="0" applyFont="1" applyBorder="1" applyAlignment="1">
      <alignment vertical="center"/>
    </xf>
    <xf numFmtId="166" fontId="121" fillId="0" borderId="8" xfId="0" applyNumberFormat="1" applyFont="1" applyBorder="1" applyAlignment="1" applyProtection="1">
      <alignment horizontal="right" vertical="center" wrapText="1"/>
      <protection locked="0"/>
    </xf>
    <xf numFmtId="49" fontId="121" fillId="0" borderId="2" xfId="0" applyNumberFormat="1" applyFont="1" applyBorder="1" applyAlignment="1" applyProtection="1">
      <alignment horizontal="center" vertical="center" wrapText="1"/>
      <protection locked="0"/>
    </xf>
    <xf numFmtId="166" fontId="74" fillId="0" borderId="42" xfId="36" applyNumberFormat="1" applyFont="1" applyBorder="1" applyAlignment="1">
      <alignment horizontal="right" vertical="center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74" fillId="0" borderId="58" xfId="36" applyNumberFormat="1" applyFont="1" applyBorder="1" applyAlignment="1">
      <alignment horizontal="right" vertical="center"/>
    </xf>
    <xf numFmtId="166" fontId="74" fillId="0" borderId="38" xfId="36" applyNumberFormat="1" applyFont="1" applyBorder="1" applyAlignment="1">
      <alignment horizontal="right" vertical="center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58" xfId="36" applyNumberFormat="1" applyFont="1" applyBorder="1" applyAlignment="1" applyProtection="1">
      <alignment horizontal="right" vertical="center" wrapText="1"/>
      <protection locked="0"/>
    </xf>
    <xf numFmtId="0" fontId="101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18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19" fillId="0" borderId="59" xfId="0" applyFont="1" applyBorder="1" applyAlignment="1">
      <alignment horizontal="center" vertical="center" wrapText="1"/>
    </xf>
    <xf numFmtId="0" fontId="119" fillId="0" borderId="59" xfId="0" applyFont="1" applyBorder="1" applyAlignment="1">
      <alignment horizontal="center" vertical="center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1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1" fillId="0" borderId="0" xfId="23" applyFont="1" applyAlignment="1">
      <alignment horizontal="center" wrapText="1"/>
    </xf>
    <xf numFmtId="0" fontId="101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1" fillId="0" borderId="35" xfId="18" applyFont="1" applyBorder="1" applyAlignment="1">
      <alignment horizontal="right" vertical="center"/>
    </xf>
    <xf numFmtId="0" fontId="111" fillId="0" borderId="33" xfId="18" applyFont="1" applyBorder="1" applyAlignment="1">
      <alignment horizontal="right" vertical="center"/>
    </xf>
    <xf numFmtId="0" fontId="116" fillId="0" borderId="0" xfId="52" applyFont="1" applyAlignment="1">
      <alignment horizontal="center" vertical="center"/>
    </xf>
    <xf numFmtId="0" fontId="9" fillId="0" borderId="0" xfId="18" applyFont="1" applyAlignment="1">
      <alignment horizontal="right"/>
    </xf>
    <xf numFmtId="3" fontId="0" fillId="0" borderId="0" xfId="21" applyNumberFormat="1" applyFont="1" applyAlignment="1">
      <alignment horizontal="right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05" fillId="0" borderId="0" xfId="19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  <xf numFmtId="0" fontId="20" fillId="0" borderId="0" xfId="21" applyAlignment="1">
      <alignment wrapText="1"/>
    </xf>
    <xf numFmtId="166" fontId="121" fillId="0" borderId="11" xfId="0" applyNumberFormat="1" applyFont="1" applyBorder="1" applyAlignment="1" applyProtection="1">
      <alignment horizontal="right" vertical="center" wrapText="1"/>
      <protection locked="0"/>
    </xf>
    <xf numFmtId="166" fontId="121" fillId="0" borderId="4" xfId="0" applyNumberFormat="1" applyFont="1" applyBorder="1" applyAlignment="1" applyProtection="1">
      <alignment horizontal="right" vertical="center" wrapText="1"/>
      <protection locked="0"/>
    </xf>
    <xf numFmtId="0" fontId="121" fillId="0" borderId="47" xfId="0" quotePrefix="1" applyFont="1" applyBorder="1" applyAlignment="1">
      <alignment vertical="center"/>
    </xf>
    <xf numFmtId="166" fontId="121" fillId="0" borderId="20" xfId="0" applyNumberFormat="1" applyFont="1" applyBorder="1" applyAlignment="1">
      <alignment vertical="center" wrapText="1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67" fillId="0" borderId="47" xfId="28" applyNumberFormat="1" applyFont="1" applyBorder="1" applyAlignment="1" applyProtection="1">
      <alignment horizontal="left" vertical="center" wrapText="1"/>
      <protection locked="0"/>
    </xf>
    <xf numFmtId="166" fontId="67" fillId="0" borderId="10" xfId="28" applyNumberFormat="1" applyFont="1" applyBorder="1" applyAlignment="1" applyProtection="1">
      <alignment horizontal="right" vertical="center" wrapText="1"/>
      <protection locked="0"/>
    </xf>
    <xf numFmtId="49" fontId="67" fillId="0" borderId="6" xfId="0" applyNumberFormat="1" applyFont="1" applyBorder="1" applyAlignment="1" applyProtection="1">
      <alignment horizontal="center" vertical="center" wrapText="1"/>
      <protection locked="0"/>
    </xf>
    <xf numFmtId="166" fontId="38" fillId="0" borderId="23" xfId="0" applyNumberFormat="1" applyFont="1" applyBorder="1" applyAlignment="1">
      <alignment vertical="center" wrapText="1"/>
    </xf>
    <xf numFmtId="0" fontId="121" fillId="0" borderId="8" xfId="0" applyFont="1" applyBorder="1" applyAlignment="1">
      <alignment wrapText="1"/>
    </xf>
    <xf numFmtId="166" fontId="67" fillId="0" borderId="2" xfId="28" applyNumberFormat="1" applyFont="1" applyBorder="1" applyAlignment="1" applyProtection="1">
      <alignment vertical="center" wrapText="1"/>
      <protection locked="0"/>
    </xf>
    <xf numFmtId="49" fontId="67" fillId="0" borderId="2" xfId="0" applyNumberFormat="1" applyFont="1" applyBorder="1" applyAlignment="1" applyProtection="1">
      <alignment horizontal="center" vertical="center" wrapText="1"/>
      <protection locked="0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166" fontId="67" fillId="0" borderId="18" xfId="0" applyNumberFormat="1" applyFont="1" applyBorder="1" applyAlignment="1">
      <alignment vertical="center" wrapText="1"/>
    </xf>
    <xf numFmtId="166" fontId="67" fillId="0" borderId="8" xfId="28" applyNumberFormat="1" applyFont="1" applyBorder="1" applyAlignment="1" applyProtection="1">
      <alignment horizontal="left" vertical="center" wrapText="1"/>
      <protection locked="0"/>
    </xf>
    <xf numFmtId="169" fontId="37" fillId="0" borderId="51" xfId="36" applyNumberFormat="1" applyFont="1" applyBorder="1" applyAlignment="1">
      <alignment horizontal="left" vertical="center" wrapText="1"/>
    </xf>
    <xf numFmtId="166" fontId="37" fillId="0" borderId="51" xfId="36" applyNumberFormat="1" applyFont="1" applyBorder="1" applyAlignment="1">
      <alignment horizontal="right" vertical="center"/>
    </xf>
    <xf numFmtId="166" fontId="37" fillId="0" borderId="51" xfId="36" applyNumberFormat="1" applyFont="1" applyBorder="1" applyAlignment="1">
      <alignment horizontal="right" vertical="center" wrapText="1"/>
    </xf>
    <xf numFmtId="166" fontId="41" fillId="0" borderId="0" xfId="36" applyNumberFormat="1" applyFont="1" applyBorder="1" applyAlignment="1" applyProtection="1">
      <alignment horizontal="center" vertical="center" wrapText="1"/>
      <protection locked="0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49" fontId="112" fillId="0" borderId="41" xfId="18" applyNumberFormat="1" applyFont="1" applyBorder="1" applyAlignment="1">
      <alignment vertical="center"/>
    </xf>
    <xf numFmtId="49" fontId="112" fillId="0" borderId="86" xfId="18" applyNumberFormat="1" applyFont="1" applyBorder="1" applyAlignment="1">
      <alignment vertical="center"/>
    </xf>
    <xf numFmtId="0" fontId="112" fillId="10" borderId="3" xfId="0" applyFont="1" applyFill="1" applyBorder="1" applyAlignment="1">
      <alignment vertical="center" wrapText="1"/>
    </xf>
    <xf numFmtId="0" fontId="109" fillId="0" borderId="42" xfId="0" applyFont="1" applyBorder="1" applyAlignment="1">
      <alignment horizontal="right" vertical="center" indent="1"/>
    </xf>
    <xf numFmtId="0" fontId="109" fillId="0" borderId="5" xfId="0" applyFont="1" applyBorder="1" applyAlignment="1" applyProtection="1">
      <alignment horizontal="left" vertical="center"/>
      <protection locked="0"/>
    </xf>
    <xf numFmtId="0" fontId="109" fillId="0" borderId="2" xfId="0" applyFont="1" applyBorder="1" applyAlignment="1" applyProtection="1">
      <alignment horizontal="left" vertical="center" indent="1"/>
      <protection locked="0"/>
    </xf>
    <xf numFmtId="170" fontId="109" fillId="0" borderId="18" xfId="0" applyNumberFormat="1" applyFont="1" applyBorder="1" applyAlignment="1" applyProtection="1">
      <alignment horizontal="right" vertical="center" indent="1"/>
      <protection locked="0"/>
    </xf>
    <xf numFmtId="166" fontId="36" fillId="8" borderId="20" xfId="21" applyNumberFormat="1" applyFont="1" applyFill="1" applyBorder="1" applyAlignment="1" applyProtection="1">
      <alignment horizontal="right" vertical="center" wrapText="1" indent="1"/>
      <protection locked="0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222" t="s">
        <v>650</v>
      </c>
      <c r="B1" s="1222"/>
      <c r="C1" s="1222"/>
      <c r="D1" s="1222"/>
      <c r="E1" s="1222"/>
      <c r="F1" s="1222"/>
      <c r="G1" s="1222"/>
      <c r="H1" s="1222"/>
      <c r="I1" s="1222"/>
      <c r="J1" s="1222"/>
    </row>
    <row r="2" spans="1:10" x14ac:dyDescent="0.2">
      <c r="A2" s="581">
        <v>2023</v>
      </c>
      <c r="B2" s="581" t="s">
        <v>651</v>
      </c>
    </row>
    <row r="3" spans="1:10" ht="15.75" x14ac:dyDescent="0.25">
      <c r="A3" s="1223" t="s">
        <v>659</v>
      </c>
      <c r="B3" s="1223"/>
      <c r="C3" s="1223"/>
      <c r="D3" s="1223"/>
      <c r="E3" s="1223"/>
      <c r="F3" s="1223"/>
      <c r="G3" s="1223"/>
      <c r="H3" s="1223"/>
    </row>
    <row r="6" spans="1:10" ht="15" x14ac:dyDescent="0.25">
      <c r="A6" s="577" t="s">
        <v>652</v>
      </c>
    </row>
    <row r="7" spans="1:10" x14ac:dyDescent="0.2">
      <c r="A7" s="578" t="s">
        <v>653</v>
      </c>
      <c r="B7" s="579" t="s">
        <v>1078</v>
      </c>
      <c r="C7" s="576" t="s">
        <v>654</v>
      </c>
      <c r="D7" s="576" t="s">
        <v>999</v>
      </c>
      <c r="E7" s="576" t="s">
        <v>655</v>
      </c>
      <c r="F7" s="579" t="s">
        <v>1079</v>
      </c>
      <c r="G7" s="576" t="s">
        <v>656</v>
      </c>
      <c r="H7" s="576" t="s">
        <v>716</v>
      </c>
      <c r="I7" s="576"/>
      <c r="J7" s="576"/>
    </row>
    <row r="11" spans="1:10" ht="14.25" x14ac:dyDescent="0.2">
      <c r="A11" s="580" t="s">
        <v>657</v>
      </c>
      <c r="B11" s="1224" t="s">
        <v>658</v>
      </c>
      <c r="C11" s="1224"/>
      <c r="D11" s="1224"/>
      <c r="E11" s="1224"/>
      <c r="F11" s="1224"/>
      <c r="G11" s="1224"/>
      <c r="H11" s="1224"/>
      <c r="I11" s="576"/>
      <c r="J11" s="576"/>
    </row>
    <row r="12" spans="1:10" ht="14.25" x14ac:dyDescent="0.2">
      <c r="A12" s="580" t="s">
        <v>660</v>
      </c>
    </row>
    <row r="13" spans="1:10" ht="14.25" x14ac:dyDescent="0.2">
      <c r="A13" s="580" t="s">
        <v>661</v>
      </c>
    </row>
    <row r="14" spans="1:10" ht="14.25" x14ac:dyDescent="0.2">
      <c r="A14" s="580" t="s">
        <v>662</v>
      </c>
    </row>
    <row r="15" spans="1:10" ht="14.25" x14ac:dyDescent="0.2">
      <c r="A15" s="580" t="s">
        <v>657</v>
      </c>
    </row>
    <row r="16" spans="1:10" ht="14.25" x14ac:dyDescent="0.2">
      <c r="A16" s="580" t="s">
        <v>657</v>
      </c>
    </row>
    <row r="17" spans="1:1" ht="14.25" x14ac:dyDescent="0.2">
      <c r="A17" s="580" t="s">
        <v>657</v>
      </c>
    </row>
    <row r="18" spans="1:1" ht="14.25" x14ac:dyDescent="0.2">
      <c r="A18" s="580" t="s">
        <v>657</v>
      </c>
    </row>
    <row r="19" spans="1:1" ht="14.25" x14ac:dyDescent="0.2">
      <c r="A19" s="580" t="s">
        <v>657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4"/>
  <sheetViews>
    <sheetView topLeftCell="A13" zoomScale="115" zoomScaleNormal="115" zoomScaleSheetLayoutView="85" workbookViewId="0">
      <selection activeCell="J21" sqref="J21"/>
    </sheetView>
  </sheetViews>
  <sheetFormatPr defaultRowHeight="15" x14ac:dyDescent="0.25"/>
  <cols>
    <col min="1" max="1" width="5.6640625" style="528" customWidth="1"/>
    <col min="2" max="2" width="41.1640625" style="528" customWidth="1"/>
    <col min="3" max="3" width="17.6640625" style="528" customWidth="1"/>
    <col min="4" max="7" width="14" style="528" customWidth="1"/>
    <col min="8" max="8" width="16.6640625" style="528" customWidth="1"/>
    <col min="9" max="256" width="9.33203125" style="528"/>
    <col min="257" max="257" width="5.6640625" style="528" customWidth="1"/>
    <col min="258" max="258" width="41.1640625" style="528" customWidth="1"/>
    <col min="259" max="259" width="17.6640625" style="528" customWidth="1"/>
    <col min="260" max="263" width="14" style="528" customWidth="1"/>
    <col min="264" max="264" width="16.6640625" style="528" customWidth="1"/>
    <col min="265" max="512" width="9.33203125" style="528"/>
    <col min="513" max="513" width="5.6640625" style="528" customWidth="1"/>
    <col min="514" max="514" width="41.1640625" style="528" customWidth="1"/>
    <col min="515" max="515" width="17.6640625" style="528" customWidth="1"/>
    <col min="516" max="519" width="14" style="528" customWidth="1"/>
    <col min="520" max="520" width="16.6640625" style="528" customWidth="1"/>
    <col min="521" max="768" width="9.33203125" style="528"/>
    <col min="769" max="769" width="5.6640625" style="528" customWidth="1"/>
    <col min="770" max="770" width="41.1640625" style="528" customWidth="1"/>
    <col min="771" max="771" width="17.6640625" style="528" customWidth="1"/>
    <col min="772" max="775" width="14" style="528" customWidth="1"/>
    <col min="776" max="776" width="16.6640625" style="528" customWidth="1"/>
    <col min="777" max="1024" width="9.33203125" style="528"/>
    <col min="1025" max="1025" width="5.6640625" style="528" customWidth="1"/>
    <col min="1026" max="1026" width="41.1640625" style="528" customWidth="1"/>
    <col min="1027" max="1027" width="17.6640625" style="528" customWidth="1"/>
    <col min="1028" max="1031" width="14" style="528" customWidth="1"/>
    <col min="1032" max="1032" width="16.6640625" style="528" customWidth="1"/>
    <col min="1033" max="1280" width="9.33203125" style="528"/>
    <col min="1281" max="1281" width="5.6640625" style="528" customWidth="1"/>
    <col min="1282" max="1282" width="41.1640625" style="528" customWidth="1"/>
    <col min="1283" max="1283" width="17.6640625" style="528" customWidth="1"/>
    <col min="1284" max="1287" width="14" style="528" customWidth="1"/>
    <col min="1288" max="1288" width="16.6640625" style="528" customWidth="1"/>
    <col min="1289" max="1536" width="9.33203125" style="528"/>
    <col min="1537" max="1537" width="5.6640625" style="528" customWidth="1"/>
    <col min="1538" max="1538" width="41.1640625" style="528" customWidth="1"/>
    <col min="1539" max="1539" width="17.6640625" style="528" customWidth="1"/>
    <col min="1540" max="1543" width="14" style="528" customWidth="1"/>
    <col min="1544" max="1544" width="16.6640625" style="528" customWidth="1"/>
    <col min="1545" max="1792" width="9.33203125" style="528"/>
    <col min="1793" max="1793" width="5.6640625" style="528" customWidth="1"/>
    <col min="1794" max="1794" width="41.1640625" style="528" customWidth="1"/>
    <col min="1795" max="1795" width="17.6640625" style="528" customWidth="1"/>
    <col min="1796" max="1799" width="14" style="528" customWidth="1"/>
    <col min="1800" max="1800" width="16.6640625" style="528" customWidth="1"/>
    <col min="1801" max="2048" width="9.33203125" style="528"/>
    <col min="2049" max="2049" width="5.6640625" style="528" customWidth="1"/>
    <col min="2050" max="2050" width="41.1640625" style="528" customWidth="1"/>
    <col min="2051" max="2051" width="17.6640625" style="528" customWidth="1"/>
    <col min="2052" max="2055" width="14" style="528" customWidth="1"/>
    <col min="2056" max="2056" width="16.6640625" style="528" customWidth="1"/>
    <col min="2057" max="2304" width="9.33203125" style="528"/>
    <col min="2305" max="2305" width="5.6640625" style="528" customWidth="1"/>
    <col min="2306" max="2306" width="41.1640625" style="528" customWidth="1"/>
    <col min="2307" max="2307" width="17.6640625" style="528" customWidth="1"/>
    <col min="2308" max="2311" width="14" style="528" customWidth="1"/>
    <col min="2312" max="2312" width="16.6640625" style="528" customWidth="1"/>
    <col min="2313" max="2560" width="9.33203125" style="528"/>
    <col min="2561" max="2561" width="5.6640625" style="528" customWidth="1"/>
    <col min="2562" max="2562" width="41.1640625" style="528" customWidth="1"/>
    <col min="2563" max="2563" width="17.6640625" style="528" customWidth="1"/>
    <col min="2564" max="2567" width="14" style="528" customWidth="1"/>
    <col min="2568" max="2568" width="16.6640625" style="528" customWidth="1"/>
    <col min="2569" max="2816" width="9.33203125" style="528"/>
    <col min="2817" max="2817" width="5.6640625" style="528" customWidth="1"/>
    <col min="2818" max="2818" width="41.1640625" style="528" customWidth="1"/>
    <col min="2819" max="2819" width="17.6640625" style="528" customWidth="1"/>
    <col min="2820" max="2823" width="14" style="528" customWidth="1"/>
    <col min="2824" max="2824" width="16.6640625" style="528" customWidth="1"/>
    <col min="2825" max="3072" width="9.33203125" style="528"/>
    <col min="3073" max="3073" width="5.6640625" style="528" customWidth="1"/>
    <col min="3074" max="3074" width="41.1640625" style="528" customWidth="1"/>
    <col min="3075" max="3075" width="17.6640625" style="528" customWidth="1"/>
    <col min="3076" max="3079" width="14" style="528" customWidth="1"/>
    <col min="3080" max="3080" width="16.6640625" style="528" customWidth="1"/>
    <col min="3081" max="3328" width="9.33203125" style="528"/>
    <col min="3329" max="3329" width="5.6640625" style="528" customWidth="1"/>
    <col min="3330" max="3330" width="41.1640625" style="528" customWidth="1"/>
    <col min="3331" max="3331" width="17.6640625" style="528" customWidth="1"/>
    <col min="3332" max="3335" width="14" style="528" customWidth="1"/>
    <col min="3336" max="3336" width="16.6640625" style="528" customWidth="1"/>
    <col min="3337" max="3584" width="9.33203125" style="528"/>
    <col min="3585" max="3585" width="5.6640625" style="528" customWidth="1"/>
    <col min="3586" max="3586" width="41.1640625" style="528" customWidth="1"/>
    <col min="3587" max="3587" width="17.6640625" style="528" customWidth="1"/>
    <col min="3588" max="3591" width="14" style="528" customWidth="1"/>
    <col min="3592" max="3592" width="16.6640625" style="528" customWidth="1"/>
    <col min="3593" max="3840" width="9.33203125" style="528"/>
    <col min="3841" max="3841" width="5.6640625" style="528" customWidth="1"/>
    <col min="3842" max="3842" width="41.1640625" style="528" customWidth="1"/>
    <col min="3843" max="3843" width="17.6640625" style="528" customWidth="1"/>
    <col min="3844" max="3847" width="14" style="528" customWidth="1"/>
    <col min="3848" max="3848" width="16.6640625" style="528" customWidth="1"/>
    <col min="3849" max="4096" width="9.33203125" style="528"/>
    <col min="4097" max="4097" width="5.6640625" style="528" customWidth="1"/>
    <col min="4098" max="4098" width="41.1640625" style="528" customWidth="1"/>
    <col min="4099" max="4099" width="17.6640625" style="528" customWidth="1"/>
    <col min="4100" max="4103" width="14" style="528" customWidth="1"/>
    <col min="4104" max="4104" width="16.6640625" style="528" customWidth="1"/>
    <col min="4105" max="4352" width="9.33203125" style="528"/>
    <col min="4353" max="4353" width="5.6640625" style="528" customWidth="1"/>
    <col min="4354" max="4354" width="41.1640625" style="528" customWidth="1"/>
    <col min="4355" max="4355" width="17.6640625" style="528" customWidth="1"/>
    <col min="4356" max="4359" width="14" style="528" customWidth="1"/>
    <col min="4360" max="4360" width="16.6640625" style="528" customWidth="1"/>
    <col min="4361" max="4608" width="9.33203125" style="528"/>
    <col min="4609" max="4609" width="5.6640625" style="528" customWidth="1"/>
    <col min="4610" max="4610" width="41.1640625" style="528" customWidth="1"/>
    <col min="4611" max="4611" width="17.6640625" style="528" customWidth="1"/>
    <col min="4612" max="4615" width="14" style="528" customWidth="1"/>
    <col min="4616" max="4616" width="16.6640625" style="528" customWidth="1"/>
    <col min="4617" max="4864" width="9.33203125" style="528"/>
    <col min="4865" max="4865" width="5.6640625" style="528" customWidth="1"/>
    <col min="4866" max="4866" width="41.1640625" style="528" customWidth="1"/>
    <col min="4867" max="4867" width="17.6640625" style="528" customWidth="1"/>
    <col min="4868" max="4871" width="14" style="528" customWidth="1"/>
    <col min="4872" max="4872" width="16.6640625" style="528" customWidth="1"/>
    <col min="4873" max="5120" width="9.33203125" style="528"/>
    <col min="5121" max="5121" width="5.6640625" style="528" customWidth="1"/>
    <col min="5122" max="5122" width="41.1640625" style="528" customWidth="1"/>
    <col min="5123" max="5123" width="17.6640625" style="528" customWidth="1"/>
    <col min="5124" max="5127" width="14" style="528" customWidth="1"/>
    <col min="5128" max="5128" width="16.6640625" style="528" customWidth="1"/>
    <col min="5129" max="5376" width="9.33203125" style="528"/>
    <col min="5377" max="5377" width="5.6640625" style="528" customWidth="1"/>
    <col min="5378" max="5378" width="41.1640625" style="528" customWidth="1"/>
    <col min="5379" max="5379" width="17.6640625" style="528" customWidth="1"/>
    <col min="5380" max="5383" width="14" style="528" customWidth="1"/>
    <col min="5384" max="5384" width="16.6640625" style="528" customWidth="1"/>
    <col min="5385" max="5632" width="9.33203125" style="528"/>
    <col min="5633" max="5633" width="5.6640625" style="528" customWidth="1"/>
    <col min="5634" max="5634" width="41.1640625" style="528" customWidth="1"/>
    <col min="5635" max="5635" width="17.6640625" style="528" customWidth="1"/>
    <col min="5636" max="5639" width="14" style="528" customWidth="1"/>
    <col min="5640" max="5640" width="16.6640625" style="528" customWidth="1"/>
    <col min="5641" max="5888" width="9.33203125" style="528"/>
    <col min="5889" max="5889" width="5.6640625" style="528" customWidth="1"/>
    <col min="5890" max="5890" width="41.1640625" style="528" customWidth="1"/>
    <col min="5891" max="5891" width="17.6640625" style="528" customWidth="1"/>
    <col min="5892" max="5895" width="14" style="528" customWidth="1"/>
    <col min="5896" max="5896" width="16.6640625" style="528" customWidth="1"/>
    <col min="5897" max="6144" width="9.33203125" style="528"/>
    <col min="6145" max="6145" width="5.6640625" style="528" customWidth="1"/>
    <col min="6146" max="6146" width="41.1640625" style="528" customWidth="1"/>
    <col min="6147" max="6147" width="17.6640625" style="528" customWidth="1"/>
    <col min="6148" max="6151" width="14" style="528" customWidth="1"/>
    <col min="6152" max="6152" width="16.6640625" style="528" customWidth="1"/>
    <col min="6153" max="6400" width="9.33203125" style="528"/>
    <col min="6401" max="6401" width="5.6640625" style="528" customWidth="1"/>
    <col min="6402" max="6402" width="41.1640625" style="528" customWidth="1"/>
    <col min="6403" max="6403" width="17.6640625" style="528" customWidth="1"/>
    <col min="6404" max="6407" width="14" style="528" customWidth="1"/>
    <col min="6408" max="6408" width="16.6640625" style="528" customWidth="1"/>
    <col min="6409" max="6656" width="9.33203125" style="528"/>
    <col min="6657" max="6657" width="5.6640625" style="528" customWidth="1"/>
    <col min="6658" max="6658" width="41.1640625" style="528" customWidth="1"/>
    <col min="6659" max="6659" width="17.6640625" style="528" customWidth="1"/>
    <col min="6660" max="6663" width="14" style="528" customWidth="1"/>
    <col min="6664" max="6664" width="16.6640625" style="528" customWidth="1"/>
    <col min="6665" max="6912" width="9.33203125" style="528"/>
    <col min="6913" max="6913" width="5.6640625" style="528" customWidth="1"/>
    <col min="6914" max="6914" width="41.1640625" style="528" customWidth="1"/>
    <col min="6915" max="6915" width="17.6640625" style="528" customWidth="1"/>
    <col min="6916" max="6919" width="14" style="528" customWidth="1"/>
    <col min="6920" max="6920" width="16.6640625" style="528" customWidth="1"/>
    <col min="6921" max="7168" width="9.33203125" style="528"/>
    <col min="7169" max="7169" width="5.6640625" style="528" customWidth="1"/>
    <col min="7170" max="7170" width="41.1640625" style="528" customWidth="1"/>
    <col min="7171" max="7171" width="17.6640625" style="528" customWidth="1"/>
    <col min="7172" max="7175" width="14" style="528" customWidth="1"/>
    <col min="7176" max="7176" width="16.6640625" style="528" customWidth="1"/>
    <col min="7177" max="7424" width="9.33203125" style="528"/>
    <col min="7425" max="7425" width="5.6640625" style="528" customWidth="1"/>
    <col min="7426" max="7426" width="41.1640625" style="528" customWidth="1"/>
    <col min="7427" max="7427" width="17.6640625" style="528" customWidth="1"/>
    <col min="7428" max="7431" width="14" style="528" customWidth="1"/>
    <col min="7432" max="7432" width="16.6640625" style="528" customWidth="1"/>
    <col min="7433" max="7680" width="9.33203125" style="528"/>
    <col min="7681" max="7681" width="5.6640625" style="528" customWidth="1"/>
    <col min="7682" max="7682" width="41.1640625" style="528" customWidth="1"/>
    <col min="7683" max="7683" width="17.6640625" style="528" customWidth="1"/>
    <col min="7684" max="7687" width="14" style="528" customWidth="1"/>
    <col min="7688" max="7688" width="16.6640625" style="528" customWidth="1"/>
    <col min="7689" max="7936" width="9.33203125" style="528"/>
    <col min="7937" max="7937" width="5.6640625" style="528" customWidth="1"/>
    <col min="7938" max="7938" width="41.1640625" style="528" customWidth="1"/>
    <col min="7939" max="7939" width="17.6640625" style="528" customWidth="1"/>
    <col min="7940" max="7943" width="14" style="528" customWidth="1"/>
    <col min="7944" max="7944" width="16.6640625" style="528" customWidth="1"/>
    <col min="7945" max="8192" width="9.33203125" style="528"/>
    <col min="8193" max="8193" width="5.6640625" style="528" customWidth="1"/>
    <col min="8194" max="8194" width="41.1640625" style="528" customWidth="1"/>
    <col min="8195" max="8195" width="17.6640625" style="528" customWidth="1"/>
    <col min="8196" max="8199" width="14" style="528" customWidth="1"/>
    <col min="8200" max="8200" width="16.6640625" style="528" customWidth="1"/>
    <col min="8201" max="8448" width="9.33203125" style="528"/>
    <col min="8449" max="8449" width="5.6640625" style="528" customWidth="1"/>
    <col min="8450" max="8450" width="41.1640625" style="528" customWidth="1"/>
    <col min="8451" max="8451" width="17.6640625" style="528" customWidth="1"/>
    <col min="8452" max="8455" width="14" style="528" customWidth="1"/>
    <col min="8456" max="8456" width="16.6640625" style="528" customWidth="1"/>
    <col min="8457" max="8704" width="9.33203125" style="528"/>
    <col min="8705" max="8705" width="5.6640625" style="528" customWidth="1"/>
    <col min="8706" max="8706" width="41.1640625" style="528" customWidth="1"/>
    <col min="8707" max="8707" width="17.6640625" style="528" customWidth="1"/>
    <col min="8708" max="8711" width="14" style="528" customWidth="1"/>
    <col min="8712" max="8712" width="16.6640625" style="528" customWidth="1"/>
    <col min="8713" max="8960" width="9.33203125" style="528"/>
    <col min="8961" max="8961" width="5.6640625" style="528" customWidth="1"/>
    <col min="8962" max="8962" width="41.1640625" style="528" customWidth="1"/>
    <col min="8963" max="8963" width="17.6640625" style="528" customWidth="1"/>
    <col min="8964" max="8967" width="14" style="528" customWidth="1"/>
    <col min="8968" max="8968" width="16.6640625" style="528" customWidth="1"/>
    <col min="8969" max="9216" width="9.33203125" style="528"/>
    <col min="9217" max="9217" width="5.6640625" style="528" customWidth="1"/>
    <col min="9218" max="9218" width="41.1640625" style="528" customWidth="1"/>
    <col min="9219" max="9219" width="17.6640625" style="528" customWidth="1"/>
    <col min="9220" max="9223" width="14" style="528" customWidth="1"/>
    <col min="9224" max="9224" width="16.6640625" style="528" customWidth="1"/>
    <col min="9225" max="9472" width="9.33203125" style="528"/>
    <col min="9473" max="9473" width="5.6640625" style="528" customWidth="1"/>
    <col min="9474" max="9474" width="41.1640625" style="528" customWidth="1"/>
    <col min="9475" max="9475" width="17.6640625" style="528" customWidth="1"/>
    <col min="9476" max="9479" width="14" style="528" customWidth="1"/>
    <col min="9480" max="9480" width="16.6640625" style="528" customWidth="1"/>
    <col min="9481" max="9728" width="9.33203125" style="528"/>
    <col min="9729" max="9729" width="5.6640625" style="528" customWidth="1"/>
    <col min="9730" max="9730" width="41.1640625" style="528" customWidth="1"/>
    <col min="9731" max="9731" width="17.6640625" style="528" customWidth="1"/>
    <col min="9732" max="9735" width="14" style="528" customWidth="1"/>
    <col min="9736" max="9736" width="16.6640625" style="528" customWidth="1"/>
    <col min="9737" max="9984" width="9.33203125" style="528"/>
    <col min="9985" max="9985" width="5.6640625" style="528" customWidth="1"/>
    <col min="9986" max="9986" width="41.1640625" style="528" customWidth="1"/>
    <col min="9987" max="9987" width="17.6640625" style="528" customWidth="1"/>
    <col min="9988" max="9991" width="14" style="528" customWidth="1"/>
    <col min="9992" max="9992" width="16.6640625" style="528" customWidth="1"/>
    <col min="9993" max="10240" width="9.33203125" style="528"/>
    <col min="10241" max="10241" width="5.6640625" style="528" customWidth="1"/>
    <col min="10242" max="10242" width="41.1640625" style="528" customWidth="1"/>
    <col min="10243" max="10243" width="17.6640625" style="528" customWidth="1"/>
    <col min="10244" max="10247" width="14" style="528" customWidth="1"/>
    <col min="10248" max="10248" width="16.6640625" style="528" customWidth="1"/>
    <col min="10249" max="10496" width="9.33203125" style="528"/>
    <col min="10497" max="10497" width="5.6640625" style="528" customWidth="1"/>
    <col min="10498" max="10498" width="41.1640625" style="528" customWidth="1"/>
    <col min="10499" max="10499" width="17.6640625" style="528" customWidth="1"/>
    <col min="10500" max="10503" width="14" style="528" customWidth="1"/>
    <col min="10504" max="10504" width="16.6640625" style="528" customWidth="1"/>
    <col min="10505" max="10752" width="9.33203125" style="528"/>
    <col min="10753" max="10753" width="5.6640625" style="528" customWidth="1"/>
    <col min="10754" max="10754" width="41.1640625" style="528" customWidth="1"/>
    <col min="10755" max="10755" width="17.6640625" style="528" customWidth="1"/>
    <col min="10756" max="10759" width="14" style="528" customWidth="1"/>
    <col min="10760" max="10760" width="16.6640625" style="528" customWidth="1"/>
    <col min="10761" max="11008" width="9.33203125" style="528"/>
    <col min="11009" max="11009" width="5.6640625" style="528" customWidth="1"/>
    <col min="11010" max="11010" width="41.1640625" style="528" customWidth="1"/>
    <col min="11011" max="11011" width="17.6640625" style="528" customWidth="1"/>
    <col min="11012" max="11015" width="14" style="528" customWidth="1"/>
    <col min="11016" max="11016" width="16.6640625" style="528" customWidth="1"/>
    <col min="11017" max="11264" width="9.33203125" style="528"/>
    <col min="11265" max="11265" width="5.6640625" style="528" customWidth="1"/>
    <col min="11266" max="11266" width="41.1640625" style="528" customWidth="1"/>
    <col min="11267" max="11267" width="17.6640625" style="528" customWidth="1"/>
    <col min="11268" max="11271" width="14" style="528" customWidth="1"/>
    <col min="11272" max="11272" width="16.6640625" style="528" customWidth="1"/>
    <col min="11273" max="11520" width="9.33203125" style="528"/>
    <col min="11521" max="11521" width="5.6640625" style="528" customWidth="1"/>
    <col min="11522" max="11522" width="41.1640625" style="528" customWidth="1"/>
    <col min="11523" max="11523" width="17.6640625" style="528" customWidth="1"/>
    <col min="11524" max="11527" width="14" style="528" customWidth="1"/>
    <col min="11528" max="11528" width="16.6640625" style="528" customWidth="1"/>
    <col min="11529" max="11776" width="9.33203125" style="528"/>
    <col min="11777" max="11777" width="5.6640625" style="528" customWidth="1"/>
    <col min="11778" max="11778" width="41.1640625" style="528" customWidth="1"/>
    <col min="11779" max="11779" width="17.6640625" style="528" customWidth="1"/>
    <col min="11780" max="11783" width="14" style="528" customWidth="1"/>
    <col min="11784" max="11784" width="16.6640625" style="528" customWidth="1"/>
    <col min="11785" max="12032" width="9.33203125" style="528"/>
    <col min="12033" max="12033" width="5.6640625" style="528" customWidth="1"/>
    <col min="12034" max="12034" width="41.1640625" style="528" customWidth="1"/>
    <col min="12035" max="12035" width="17.6640625" style="528" customWidth="1"/>
    <col min="12036" max="12039" width="14" style="528" customWidth="1"/>
    <col min="12040" max="12040" width="16.6640625" style="528" customWidth="1"/>
    <col min="12041" max="12288" width="9.33203125" style="528"/>
    <col min="12289" max="12289" width="5.6640625" style="528" customWidth="1"/>
    <col min="12290" max="12290" width="41.1640625" style="528" customWidth="1"/>
    <col min="12291" max="12291" width="17.6640625" style="528" customWidth="1"/>
    <col min="12292" max="12295" width="14" style="528" customWidth="1"/>
    <col min="12296" max="12296" width="16.6640625" style="528" customWidth="1"/>
    <col min="12297" max="12544" width="9.33203125" style="528"/>
    <col min="12545" max="12545" width="5.6640625" style="528" customWidth="1"/>
    <col min="12546" max="12546" width="41.1640625" style="528" customWidth="1"/>
    <col min="12547" max="12547" width="17.6640625" style="528" customWidth="1"/>
    <col min="12548" max="12551" width="14" style="528" customWidth="1"/>
    <col min="12552" max="12552" width="16.6640625" style="528" customWidth="1"/>
    <col min="12553" max="12800" width="9.33203125" style="528"/>
    <col min="12801" max="12801" width="5.6640625" style="528" customWidth="1"/>
    <col min="12802" max="12802" width="41.1640625" style="528" customWidth="1"/>
    <col min="12803" max="12803" width="17.6640625" style="528" customWidth="1"/>
    <col min="12804" max="12807" width="14" style="528" customWidth="1"/>
    <col min="12808" max="12808" width="16.6640625" style="528" customWidth="1"/>
    <col min="12809" max="13056" width="9.33203125" style="528"/>
    <col min="13057" max="13057" width="5.6640625" style="528" customWidth="1"/>
    <col min="13058" max="13058" width="41.1640625" style="528" customWidth="1"/>
    <col min="13059" max="13059" width="17.6640625" style="528" customWidth="1"/>
    <col min="13060" max="13063" width="14" style="528" customWidth="1"/>
    <col min="13064" max="13064" width="16.6640625" style="528" customWidth="1"/>
    <col min="13065" max="13312" width="9.33203125" style="528"/>
    <col min="13313" max="13313" width="5.6640625" style="528" customWidth="1"/>
    <col min="13314" max="13314" width="41.1640625" style="528" customWidth="1"/>
    <col min="13315" max="13315" width="17.6640625" style="528" customWidth="1"/>
    <col min="13316" max="13319" width="14" style="528" customWidth="1"/>
    <col min="13320" max="13320" width="16.6640625" style="528" customWidth="1"/>
    <col min="13321" max="13568" width="9.33203125" style="528"/>
    <col min="13569" max="13569" width="5.6640625" style="528" customWidth="1"/>
    <col min="13570" max="13570" width="41.1640625" style="528" customWidth="1"/>
    <col min="13571" max="13571" width="17.6640625" style="528" customWidth="1"/>
    <col min="13572" max="13575" width="14" style="528" customWidth="1"/>
    <col min="13576" max="13576" width="16.6640625" style="528" customWidth="1"/>
    <col min="13577" max="13824" width="9.33203125" style="528"/>
    <col min="13825" max="13825" width="5.6640625" style="528" customWidth="1"/>
    <col min="13826" max="13826" width="41.1640625" style="528" customWidth="1"/>
    <col min="13827" max="13827" width="17.6640625" style="528" customWidth="1"/>
    <col min="13828" max="13831" width="14" style="528" customWidth="1"/>
    <col min="13832" max="13832" width="16.6640625" style="528" customWidth="1"/>
    <col min="13833" max="14080" width="9.33203125" style="528"/>
    <col min="14081" max="14081" width="5.6640625" style="528" customWidth="1"/>
    <col min="14082" max="14082" width="41.1640625" style="528" customWidth="1"/>
    <col min="14083" max="14083" width="17.6640625" style="528" customWidth="1"/>
    <col min="14084" max="14087" width="14" style="528" customWidth="1"/>
    <col min="14088" max="14088" width="16.6640625" style="528" customWidth="1"/>
    <col min="14089" max="14336" width="9.33203125" style="528"/>
    <col min="14337" max="14337" width="5.6640625" style="528" customWidth="1"/>
    <col min="14338" max="14338" width="41.1640625" style="528" customWidth="1"/>
    <col min="14339" max="14339" width="17.6640625" style="528" customWidth="1"/>
    <col min="14340" max="14343" width="14" style="528" customWidth="1"/>
    <col min="14344" max="14344" width="16.6640625" style="528" customWidth="1"/>
    <col min="14345" max="14592" width="9.33203125" style="528"/>
    <col min="14593" max="14593" width="5.6640625" style="528" customWidth="1"/>
    <col min="14594" max="14594" width="41.1640625" style="528" customWidth="1"/>
    <col min="14595" max="14595" width="17.6640625" style="528" customWidth="1"/>
    <col min="14596" max="14599" width="14" style="528" customWidth="1"/>
    <col min="14600" max="14600" width="16.6640625" style="528" customWidth="1"/>
    <col min="14601" max="14848" width="9.33203125" style="528"/>
    <col min="14849" max="14849" width="5.6640625" style="528" customWidth="1"/>
    <col min="14850" max="14850" width="41.1640625" style="528" customWidth="1"/>
    <col min="14851" max="14851" width="17.6640625" style="528" customWidth="1"/>
    <col min="14852" max="14855" width="14" style="528" customWidth="1"/>
    <col min="14856" max="14856" width="16.6640625" style="528" customWidth="1"/>
    <col min="14857" max="15104" width="9.33203125" style="528"/>
    <col min="15105" max="15105" width="5.6640625" style="528" customWidth="1"/>
    <col min="15106" max="15106" width="41.1640625" style="528" customWidth="1"/>
    <col min="15107" max="15107" width="17.6640625" style="528" customWidth="1"/>
    <col min="15108" max="15111" width="14" style="528" customWidth="1"/>
    <col min="15112" max="15112" width="16.6640625" style="528" customWidth="1"/>
    <col min="15113" max="15360" width="9.33203125" style="528"/>
    <col min="15361" max="15361" width="5.6640625" style="528" customWidth="1"/>
    <col min="15362" max="15362" width="41.1640625" style="528" customWidth="1"/>
    <col min="15363" max="15363" width="17.6640625" style="528" customWidth="1"/>
    <col min="15364" max="15367" width="14" style="528" customWidth="1"/>
    <col min="15368" max="15368" width="16.6640625" style="528" customWidth="1"/>
    <col min="15369" max="15616" width="9.33203125" style="528"/>
    <col min="15617" max="15617" width="5.6640625" style="528" customWidth="1"/>
    <col min="15618" max="15618" width="41.1640625" style="528" customWidth="1"/>
    <col min="15619" max="15619" width="17.6640625" style="528" customWidth="1"/>
    <col min="15620" max="15623" width="14" style="528" customWidth="1"/>
    <col min="15624" max="15624" width="16.6640625" style="528" customWidth="1"/>
    <col min="15625" max="15872" width="9.33203125" style="528"/>
    <col min="15873" max="15873" width="5.6640625" style="528" customWidth="1"/>
    <col min="15874" max="15874" width="41.1640625" style="528" customWidth="1"/>
    <col min="15875" max="15875" width="17.6640625" style="528" customWidth="1"/>
    <col min="15876" max="15879" width="14" style="528" customWidth="1"/>
    <col min="15880" max="15880" width="16.6640625" style="528" customWidth="1"/>
    <col min="15881" max="16128" width="9.33203125" style="528"/>
    <col min="16129" max="16129" width="5.6640625" style="528" customWidth="1"/>
    <col min="16130" max="16130" width="41.1640625" style="528" customWidth="1"/>
    <col min="16131" max="16131" width="17.6640625" style="528" customWidth="1"/>
    <col min="16132" max="16135" width="14" style="528" customWidth="1"/>
    <col min="16136" max="16136" width="16.6640625" style="528" customWidth="1"/>
    <col min="16137" max="16384" width="9.33203125" style="528"/>
  </cols>
  <sheetData>
    <row r="1" spans="1:11" x14ac:dyDescent="0.25">
      <c r="A1" s="1238" t="str">
        <f>CONCATENATE("8. melléklet ",ALAPADATOK!A7," ",ALAPADATOK!B7," ",ALAPADATOK!C7," ",ALAPADATOK!D7," ",ALAPADATOK!E7," ",ALAPADATOK!F7," ",ALAPADATOK!G7," ",ALAPADATOK!H7)</f>
        <v>8. melléklet a .. / 2023. ( …... ) önkormányzati rendelethez</v>
      </c>
      <c r="B1" s="1238"/>
      <c r="C1" s="1238"/>
      <c r="D1" s="1238"/>
      <c r="E1" s="1238"/>
      <c r="F1" s="1238"/>
      <c r="G1" s="1238"/>
      <c r="H1" s="1238"/>
    </row>
    <row r="3" spans="1:11" x14ac:dyDescent="0.25">
      <c r="A3" s="1239" t="s">
        <v>380</v>
      </c>
      <c r="B3" s="1239"/>
      <c r="C3" s="1239"/>
      <c r="D3" s="1239"/>
      <c r="E3" s="1239"/>
      <c r="F3" s="1239"/>
      <c r="G3" s="1239"/>
      <c r="H3" s="1239"/>
    </row>
    <row r="4" spans="1:11" ht="15.75" thickBot="1" x14ac:dyDescent="0.3">
      <c r="A4" s="592"/>
      <c r="B4" s="593"/>
      <c r="C4" s="593"/>
      <c r="D4" s="1240"/>
      <c r="E4" s="1240"/>
      <c r="F4" s="1240"/>
      <c r="G4" s="1241" t="s">
        <v>491</v>
      </c>
      <c r="H4" s="1241"/>
      <c r="I4" s="662"/>
    </row>
    <row r="5" spans="1:11" ht="25.5" x14ac:dyDescent="0.25">
      <c r="A5" s="1242" t="s">
        <v>14</v>
      </c>
      <c r="B5" s="1244" t="s">
        <v>147</v>
      </c>
      <c r="C5" s="594" t="s">
        <v>1000</v>
      </c>
      <c r="D5" s="1244" t="s">
        <v>178</v>
      </c>
      <c r="E5" s="1244"/>
      <c r="F5" s="1244"/>
      <c r="G5" s="1244"/>
      <c r="H5" s="1246" t="s">
        <v>493</v>
      </c>
    </row>
    <row r="6" spans="1:11" ht="15.75" thickBot="1" x14ac:dyDescent="0.3">
      <c r="A6" s="1243"/>
      <c r="B6" s="1245"/>
      <c r="C6" s="707"/>
      <c r="D6" s="707">
        <v>2023</v>
      </c>
      <c r="E6" s="707">
        <v>2024</v>
      </c>
      <c r="F6" s="707">
        <v>2025</v>
      </c>
      <c r="G6" s="707">
        <v>2026</v>
      </c>
      <c r="H6" s="1247"/>
    </row>
    <row r="7" spans="1:11" ht="15.75" thickBot="1" x14ac:dyDescent="0.3">
      <c r="A7" s="595" t="s">
        <v>16</v>
      </c>
      <c r="B7" s="596">
        <v>2</v>
      </c>
      <c r="C7" s="597">
        <v>3</v>
      </c>
      <c r="D7" s="597">
        <v>4</v>
      </c>
      <c r="E7" s="597">
        <v>5</v>
      </c>
      <c r="F7" s="597">
        <v>6</v>
      </c>
      <c r="G7" s="598">
        <v>7</v>
      </c>
      <c r="H7" s="598">
        <v>8</v>
      </c>
    </row>
    <row r="8" spans="1:11" ht="26.25" x14ac:dyDescent="0.25">
      <c r="A8" s="599" t="s">
        <v>16</v>
      </c>
      <c r="B8" s="600" t="s">
        <v>728</v>
      </c>
      <c r="C8" s="1094">
        <v>0</v>
      </c>
      <c r="D8" s="1095">
        <v>0</v>
      </c>
      <c r="E8" s="1095">
        <v>0</v>
      </c>
      <c r="F8" s="1095">
        <v>0</v>
      </c>
      <c r="G8" s="1095">
        <v>0</v>
      </c>
      <c r="H8" s="1096">
        <f t="shared" ref="H8:H18" si="0">SUM(D8:G8)</f>
        <v>0</v>
      </c>
    </row>
    <row r="9" spans="1:11" ht="39" x14ac:dyDescent="0.25">
      <c r="A9" s="599" t="s">
        <v>17</v>
      </c>
      <c r="B9" s="600" t="s">
        <v>497</v>
      </c>
      <c r="C9" s="1094">
        <v>2943000</v>
      </c>
      <c r="D9" s="1097">
        <v>1472000</v>
      </c>
      <c r="E9" s="1097">
        <v>1471000</v>
      </c>
      <c r="F9" s="1095">
        <v>0</v>
      </c>
      <c r="G9" s="1095">
        <v>0</v>
      </c>
      <c r="H9" s="1096">
        <f t="shared" si="0"/>
        <v>2943000</v>
      </c>
      <c r="I9" s="601"/>
      <c r="J9" s="602"/>
      <c r="K9" s="603"/>
    </row>
    <row r="10" spans="1:11" ht="26.45" customHeight="1" x14ac:dyDescent="0.25">
      <c r="A10" s="599" t="s">
        <v>18</v>
      </c>
      <c r="B10" s="604" t="s">
        <v>494</v>
      </c>
      <c r="C10" s="1098">
        <v>21341155</v>
      </c>
      <c r="D10" s="1095">
        <v>4940000</v>
      </c>
      <c r="E10" s="1095">
        <v>4940000</v>
      </c>
      <c r="F10" s="1095">
        <v>4940000</v>
      </c>
      <c r="G10" s="1095">
        <v>4940000</v>
      </c>
      <c r="H10" s="1096">
        <f t="shared" si="0"/>
        <v>19760000</v>
      </c>
    </row>
    <row r="11" spans="1:11" ht="27.75" customHeight="1" x14ac:dyDescent="0.25">
      <c r="A11" s="599" t="s">
        <v>19</v>
      </c>
      <c r="B11" s="604" t="s">
        <v>569</v>
      </c>
      <c r="C11" s="1094">
        <v>3539250</v>
      </c>
      <c r="D11" s="1095">
        <v>1834504</v>
      </c>
      <c r="E11" s="1095">
        <v>1704746</v>
      </c>
      <c r="F11" s="1095">
        <v>0</v>
      </c>
      <c r="G11" s="1095">
        <v>0</v>
      </c>
      <c r="H11" s="1096">
        <f>SUM(D11:G11)</f>
        <v>3539250</v>
      </c>
    </row>
    <row r="12" spans="1:11" ht="26.25" x14ac:dyDescent="0.25">
      <c r="A12" s="599" t="s">
        <v>20</v>
      </c>
      <c r="B12" s="605" t="s">
        <v>567</v>
      </c>
      <c r="C12" s="1094">
        <f>741242</f>
        <v>741242</v>
      </c>
      <c r="D12" s="1095">
        <v>741242</v>
      </c>
      <c r="E12" s="1095">
        <v>0</v>
      </c>
      <c r="F12" s="1095">
        <v>0</v>
      </c>
      <c r="G12" s="1095">
        <v>0</v>
      </c>
      <c r="H12" s="1096">
        <f t="shared" si="0"/>
        <v>741242</v>
      </c>
    </row>
    <row r="13" spans="1:11" ht="26.25" x14ac:dyDescent="0.25">
      <c r="A13" s="599" t="s">
        <v>21</v>
      </c>
      <c r="B13" s="604" t="s">
        <v>568</v>
      </c>
      <c r="C13" s="1094">
        <v>4057526</v>
      </c>
      <c r="D13" s="1095">
        <v>1668000</v>
      </c>
      <c r="E13" s="1095">
        <v>1668000</v>
      </c>
      <c r="F13" s="1095">
        <v>721526</v>
      </c>
      <c r="G13" s="1095">
        <v>0</v>
      </c>
      <c r="H13" s="1096">
        <f t="shared" si="0"/>
        <v>4057526</v>
      </c>
    </row>
    <row r="14" spans="1:11" ht="27" customHeight="1" x14ac:dyDescent="0.25">
      <c r="A14" s="599" t="s">
        <v>22</v>
      </c>
      <c r="B14" s="604" t="s">
        <v>570</v>
      </c>
      <c r="C14" s="1094">
        <v>16667200</v>
      </c>
      <c r="D14" s="1095">
        <v>2777600</v>
      </c>
      <c r="E14" s="1095">
        <v>2777600</v>
      </c>
      <c r="F14" s="1095">
        <v>2777600</v>
      </c>
      <c r="G14" s="1095">
        <v>2777600</v>
      </c>
      <c r="H14" s="1096">
        <f t="shared" si="0"/>
        <v>11110400</v>
      </c>
    </row>
    <row r="15" spans="1:11" ht="26.45" customHeight="1" x14ac:dyDescent="0.25">
      <c r="A15" s="599" t="s">
        <v>23</v>
      </c>
      <c r="B15" s="604" t="s">
        <v>571</v>
      </c>
      <c r="C15" s="1094">
        <v>1469644</v>
      </c>
      <c r="D15" s="1095">
        <v>1016000</v>
      </c>
      <c r="E15" s="1095">
        <v>453644</v>
      </c>
      <c r="F15" s="1095">
        <v>0</v>
      </c>
      <c r="G15" s="1095">
        <v>0</v>
      </c>
      <c r="H15" s="1096">
        <f t="shared" si="0"/>
        <v>1469644</v>
      </c>
    </row>
    <row r="16" spans="1:11" ht="26.25" x14ac:dyDescent="0.25">
      <c r="A16" s="599" t="s">
        <v>24</v>
      </c>
      <c r="B16" s="604" t="s">
        <v>572</v>
      </c>
      <c r="C16" s="1094">
        <v>9209597</v>
      </c>
      <c r="D16" s="1095">
        <v>3600000</v>
      </c>
      <c r="E16" s="1095">
        <v>3600000</v>
      </c>
      <c r="F16" s="1095">
        <v>2009597</v>
      </c>
      <c r="G16" s="1095">
        <v>0</v>
      </c>
      <c r="H16" s="1096">
        <f t="shared" si="0"/>
        <v>9209597</v>
      </c>
    </row>
    <row r="17" spans="1:8" x14ac:dyDescent="0.25">
      <c r="A17" s="599" t="s">
        <v>25</v>
      </c>
      <c r="B17" s="837" t="s">
        <v>830</v>
      </c>
      <c r="C17" s="1099">
        <v>9202041</v>
      </c>
      <c r="D17" s="715">
        <v>2300740</v>
      </c>
      <c r="E17" s="715">
        <v>2300740</v>
      </c>
      <c r="F17" s="715">
        <v>2300740</v>
      </c>
      <c r="G17" s="1100">
        <v>2299821</v>
      </c>
      <c r="H17" s="1096">
        <f t="shared" si="0"/>
        <v>9202041</v>
      </c>
    </row>
    <row r="18" spans="1:8" ht="22.5" x14ac:dyDescent="0.25">
      <c r="A18" s="709" t="s">
        <v>26</v>
      </c>
      <c r="B18" s="716" t="s">
        <v>831</v>
      </c>
      <c r="C18" s="1099">
        <v>0</v>
      </c>
      <c r="D18" s="715">
        <v>1568600</v>
      </c>
      <c r="E18" s="715">
        <v>1568600</v>
      </c>
      <c r="F18" s="715">
        <v>1568600</v>
      </c>
      <c r="G18" s="1100">
        <v>1568600</v>
      </c>
      <c r="H18" s="1101">
        <f t="shared" si="0"/>
        <v>6274400</v>
      </c>
    </row>
    <row r="19" spans="1:8" ht="23.25" thickBot="1" x14ac:dyDescent="0.3">
      <c r="A19" s="974" t="s">
        <v>27</v>
      </c>
      <c r="B19" s="975" t="s">
        <v>899</v>
      </c>
      <c r="C19" s="1099">
        <v>0</v>
      </c>
      <c r="D19" s="715">
        <v>0</v>
      </c>
      <c r="E19" s="715">
        <v>12250000</v>
      </c>
      <c r="F19" s="715">
        <v>12250000</v>
      </c>
      <c r="G19" s="1100">
        <v>12250000</v>
      </c>
      <c r="H19" s="1101">
        <f>SUM(D19:G19)</f>
        <v>36750000</v>
      </c>
    </row>
    <row r="20" spans="1:8" ht="24" customHeight="1" thickBot="1" x14ac:dyDescent="0.3">
      <c r="A20" s="595"/>
      <c r="B20" s="606" t="s">
        <v>148</v>
      </c>
      <c r="C20" s="607">
        <f t="shared" ref="C20:H20" si="1">SUM(C8:C19)</f>
        <v>69170655</v>
      </c>
      <c r="D20" s="607">
        <f t="shared" si="1"/>
        <v>21918686</v>
      </c>
      <c r="E20" s="607">
        <f t="shared" si="1"/>
        <v>32734330</v>
      </c>
      <c r="F20" s="607">
        <f t="shared" si="1"/>
        <v>26568063</v>
      </c>
      <c r="G20" s="607">
        <f t="shared" si="1"/>
        <v>23836021</v>
      </c>
      <c r="H20" s="609">
        <f t="shared" si="1"/>
        <v>105057100</v>
      </c>
    </row>
    <row r="22" spans="1:8" x14ac:dyDescent="0.25">
      <c r="B22" s="316" t="s">
        <v>573</v>
      </c>
    </row>
    <row r="24" spans="1:8" x14ac:dyDescent="0.25">
      <c r="B24" s="60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topLeftCell="A4" zoomScale="145" zoomScaleNormal="145" zoomScaleSheetLayoutView="115" zoomScalePageLayoutView="115" workbookViewId="0">
      <selection activeCell="B9" sqref="B9"/>
    </sheetView>
  </sheetViews>
  <sheetFormatPr defaultColWidth="9.33203125" defaultRowHeight="15" x14ac:dyDescent="0.25"/>
  <cols>
    <col min="1" max="1" width="5.6640625" style="528" customWidth="1"/>
    <col min="2" max="2" width="68.6640625" style="528" customWidth="1"/>
    <col min="3" max="3" width="19.5" style="528" customWidth="1"/>
    <col min="4" max="4" width="11.33203125" style="528" customWidth="1"/>
    <col min="5" max="16384" width="9.33203125" style="528"/>
  </cols>
  <sheetData>
    <row r="1" spans="1:4" x14ac:dyDescent="0.25">
      <c r="A1" s="1238" t="str">
        <f>CONCATENATE("9. melléklet ",ALAPADATOK!A7," ",ALAPADATOK!B7," ",ALAPADATOK!C7," ",ALAPADATOK!D7," ",ALAPADATOK!E7," ",ALAPADATOK!F7," ",ALAPADATOK!G7," ",ALAPADATOK!H7)</f>
        <v>9. melléklet a .. / 2023. ( …... ) önkormányzati rendelethez</v>
      </c>
      <c r="B1" s="1238"/>
      <c r="C1" s="1238"/>
    </row>
    <row r="3" spans="1:4" ht="33" customHeight="1" x14ac:dyDescent="0.25">
      <c r="A3" s="1239" t="s">
        <v>504</v>
      </c>
      <c r="B3" s="1239"/>
      <c r="C3" s="1239"/>
    </row>
    <row r="4" spans="1:4" ht="15.95" customHeight="1" thickBot="1" x14ac:dyDescent="0.3">
      <c r="A4" s="592"/>
      <c r="B4" s="592"/>
      <c r="C4" s="63" t="s">
        <v>484</v>
      </c>
      <c r="D4" s="409"/>
    </row>
    <row r="5" spans="1:4" ht="26.45" customHeight="1" thickBot="1" x14ac:dyDescent="0.3">
      <c r="A5" s="64" t="s">
        <v>14</v>
      </c>
      <c r="B5" s="65" t="s">
        <v>505</v>
      </c>
      <c r="C5" s="66" t="s">
        <v>976</v>
      </c>
    </row>
    <row r="6" spans="1:4" ht="15.75" thickBot="1" x14ac:dyDescent="0.3">
      <c r="A6" s="410">
        <v>1</v>
      </c>
      <c r="B6" s="411">
        <v>2</v>
      </c>
      <c r="C6" s="412">
        <v>3</v>
      </c>
    </row>
    <row r="7" spans="1:4" x14ac:dyDescent="0.25">
      <c r="A7" s="67" t="s">
        <v>16</v>
      </c>
      <c r="B7" s="780" t="s">
        <v>705</v>
      </c>
      <c r="C7" s="1187">
        <v>616395000</v>
      </c>
    </row>
    <row r="8" spans="1:4" ht="24.75" x14ac:dyDescent="0.25">
      <c r="A8" s="68" t="s">
        <v>17</v>
      </c>
      <c r="B8" s="413" t="s">
        <v>506</v>
      </c>
      <c r="C8" s="414">
        <v>3700000</v>
      </c>
    </row>
    <row r="9" spans="1:4" x14ac:dyDescent="0.25">
      <c r="A9" s="68" t="s">
        <v>18</v>
      </c>
      <c r="B9" s="415" t="s">
        <v>507</v>
      </c>
      <c r="C9" s="414"/>
    </row>
    <row r="10" spans="1:4" ht="24.75" x14ac:dyDescent="0.25">
      <c r="A10" s="68" t="s">
        <v>19</v>
      </c>
      <c r="B10" s="415" t="s">
        <v>508</v>
      </c>
      <c r="C10" s="414">
        <v>60500000</v>
      </c>
    </row>
    <row r="11" spans="1:4" x14ac:dyDescent="0.25">
      <c r="A11" s="68" t="s">
        <v>20</v>
      </c>
      <c r="B11" s="415" t="s">
        <v>564</v>
      </c>
      <c r="C11" s="781">
        <v>22800000</v>
      </c>
    </row>
    <row r="12" spans="1:4" ht="15.75" thickBot="1" x14ac:dyDescent="0.3">
      <c r="A12" s="416" t="s">
        <v>21</v>
      </c>
      <c r="B12" s="417" t="s">
        <v>509</v>
      </c>
      <c r="C12" s="418">
        <v>1000000</v>
      </c>
    </row>
    <row r="13" spans="1:4" ht="15.75" thickBot="1" x14ac:dyDescent="0.3">
      <c r="A13" s="1248" t="s">
        <v>510</v>
      </c>
      <c r="B13" s="1249"/>
      <c r="C13" s="419">
        <f>SUM(C7:C12)</f>
        <v>704395000</v>
      </c>
    </row>
    <row r="14" spans="1:4" ht="23.25" customHeight="1" x14ac:dyDescent="0.25">
      <c r="A14" s="1250" t="s">
        <v>511</v>
      </c>
      <c r="B14" s="1250"/>
      <c r="C14" s="1250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4" sqref="C4"/>
    </sheetView>
  </sheetViews>
  <sheetFormatPr defaultColWidth="9.33203125" defaultRowHeight="15" x14ac:dyDescent="0.25"/>
  <cols>
    <col min="1" max="1" width="5.6640625" style="528" customWidth="1"/>
    <col min="2" max="2" width="66.83203125" style="528" customWidth="1"/>
    <col min="3" max="3" width="27" style="528" customWidth="1"/>
    <col min="4" max="16384" width="9.33203125" style="528"/>
  </cols>
  <sheetData>
    <row r="1" spans="1:5" x14ac:dyDescent="0.25">
      <c r="A1" s="1238" t="str">
        <f>CONCATENATE("10. melléklet ",ALAPADATOK!A7," ",ALAPADATOK!B7," ",ALAPADATOK!C7," ",ALAPADATOK!D7," ",ALAPADATOK!E7," ",ALAPADATOK!F7," ",ALAPADATOK!G7," ",ALAPADATOK!H7)</f>
        <v>10. melléklet a .. / 2023. ( …... ) önkormányzati rendelethez</v>
      </c>
      <c r="B1" s="1238"/>
      <c r="C1" s="1238"/>
    </row>
    <row r="3" spans="1:5" ht="33" customHeight="1" x14ac:dyDescent="0.25">
      <c r="A3" s="1239" t="s">
        <v>980</v>
      </c>
      <c r="B3" s="1239"/>
      <c r="C3" s="1239"/>
    </row>
    <row r="4" spans="1:5" ht="15.95" customHeight="1" thickBot="1" x14ac:dyDescent="0.3">
      <c r="A4" s="592"/>
      <c r="B4" s="592"/>
      <c r="C4" s="63" t="s">
        <v>484</v>
      </c>
      <c r="D4" s="62"/>
    </row>
    <row r="5" spans="1:5" ht="26.45" customHeight="1" thickBot="1" x14ac:dyDescent="0.3">
      <c r="A5" s="481" t="s">
        <v>14</v>
      </c>
      <c r="B5" s="482" t="s">
        <v>149</v>
      </c>
      <c r="C5" s="483" t="s">
        <v>154</v>
      </c>
    </row>
    <row r="6" spans="1:5" ht="15.75" thickBot="1" x14ac:dyDescent="0.3">
      <c r="A6" s="484">
        <v>1</v>
      </c>
      <c r="B6" s="485">
        <v>2</v>
      </c>
      <c r="C6" s="486">
        <v>3</v>
      </c>
    </row>
    <row r="7" spans="1:5" x14ac:dyDescent="0.25">
      <c r="A7" s="67" t="s">
        <v>16</v>
      </c>
      <c r="B7" s="716" t="s">
        <v>910</v>
      </c>
      <c r="C7" s="1128">
        <v>7058824</v>
      </c>
      <c r="D7" s="833"/>
      <c r="E7" s="833"/>
    </row>
    <row r="8" spans="1:5" ht="23.25" x14ac:dyDescent="0.25">
      <c r="A8" s="68" t="s">
        <v>17</v>
      </c>
      <c r="B8" s="976" t="s">
        <v>911</v>
      </c>
      <c r="C8" s="1128">
        <v>147000000</v>
      </c>
    </row>
    <row r="9" spans="1:5" x14ac:dyDescent="0.25">
      <c r="A9" s="525" t="s">
        <v>18</v>
      </c>
      <c r="B9" s="716"/>
      <c r="C9" s="834"/>
    </row>
    <row r="10" spans="1:5" x14ac:dyDescent="0.25">
      <c r="A10" s="68" t="s">
        <v>19</v>
      </c>
      <c r="B10" s="716"/>
      <c r="C10" s="711"/>
    </row>
    <row r="11" spans="1:5" x14ac:dyDescent="0.25">
      <c r="A11" s="68" t="s">
        <v>20</v>
      </c>
      <c r="B11" s="710"/>
      <c r="C11" s="712"/>
    </row>
    <row r="12" spans="1:5" x14ac:dyDescent="0.25">
      <c r="A12" s="525" t="s">
        <v>21</v>
      </c>
      <c r="B12" s="487"/>
      <c r="C12" s="489"/>
    </row>
    <row r="13" spans="1:5" x14ac:dyDescent="0.25">
      <c r="A13" s="525" t="s">
        <v>22</v>
      </c>
      <c r="B13" s="488"/>
      <c r="C13" s="490"/>
    </row>
    <row r="14" spans="1:5" x14ac:dyDescent="0.25">
      <c r="A14" s="525" t="s">
        <v>23</v>
      </c>
      <c r="B14" s="491"/>
      <c r="C14" s="490"/>
    </row>
    <row r="15" spans="1:5" s="493" customFormat="1" thickBot="1" x14ac:dyDescent="0.25">
      <c r="A15" s="525" t="s">
        <v>24</v>
      </c>
      <c r="B15" s="492"/>
      <c r="C15" s="489"/>
    </row>
    <row r="16" spans="1:5" s="493" customFormat="1" ht="17.45" customHeight="1" thickBot="1" x14ac:dyDescent="0.25">
      <c r="A16" s="494" t="s">
        <v>25</v>
      </c>
      <c r="B16" s="495" t="s">
        <v>150</v>
      </c>
      <c r="C16" s="496">
        <f>SUM(C7:C15)</f>
        <v>154058824</v>
      </c>
    </row>
    <row r="18" spans="2:2" x14ac:dyDescent="0.25">
      <c r="B18" s="178" t="s">
        <v>706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4"/>
  <sheetViews>
    <sheetView view="pageBreakPreview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08" customWidth="1"/>
    <col min="2" max="2" width="15.6640625" style="400" customWidth="1"/>
    <col min="3" max="3" width="16.33203125" style="400" customWidth="1"/>
    <col min="4" max="5" width="18" style="400" customWidth="1"/>
    <col min="6" max="6" width="16.6640625" style="400" customWidth="1"/>
    <col min="7" max="7" width="18.83203125" style="400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251" t="str">
        <f>CONCATENATE("7. melléklet"," ",ALAPADATOK!A7," ",ALAPADATOK!B7," ",ALAPADATOK!C7," ",ALAPADATOK!D7," ",ALAPADATOK!E7," ",ALAPADATOK!F7," ",ALAPADATOK!G7," ",ALAPADATOK!H7)</f>
        <v>7. melléklet a .. / 2023. ( …... ) önkormányzati rendelethez</v>
      </c>
      <c r="B1" s="1251"/>
      <c r="C1" s="1251"/>
      <c r="D1" s="1251"/>
      <c r="E1" s="1251"/>
      <c r="F1" s="1251"/>
      <c r="G1" s="1251"/>
    </row>
    <row r="3" spans="1:8" ht="25.5" customHeight="1" x14ac:dyDescent="0.2">
      <c r="A3" s="1252" t="s">
        <v>4</v>
      </c>
      <c r="B3" s="1252"/>
      <c r="C3" s="1252"/>
      <c r="D3" s="1252"/>
      <c r="E3" s="1252"/>
      <c r="F3" s="1252"/>
      <c r="G3" s="1252"/>
    </row>
    <row r="4" spans="1:8" ht="22.7" customHeight="1" thickBot="1" x14ac:dyDescent="0.3">
      <c r="B4" s="928"/>
      <c r="C4" s="928"/>
      <c r="D4" s="928"/>
      <c r="E4" s="928"/>
      <c r="F4" s="928"/>
      <c r="G4" s="924"/>
    </row>
    <row r="5" spans="1:8" s="126" customFormat="1" ht="44.45" customHeight="1" thickBot="1" x14ac:dyDescent="0.25">
      <c r="A5" s="769" t="s">
        <v>860</v>
      </c>
      <c r="B5" s="401" t="s">
        <v>60</v>
      </c>
      <c r="C5" s="402" t="s">
        <v>61</v>
      </c>
      <c r="D5" s="402" t="s">
        <v>1031</v>
      </c>
      <c r="E5" s="402" t="s">
        <v>981</v>
      </c>
      <c r="F5" s="402" t="s">
        <v>976</v>
      </c>
      <c r="G5" s="403" t="s">
        <v>982</v>
      </c>
      <c r="H5" s="404"/>
    </row>
    <row r="6" spans="1:8" ht="12.2" customHeight="1" thickBot="1" x14ac:dyDescent="0.25">
      <c r="A6" s="770">
        <v>1</v>
      </c>
      <c r="B6" s="405">
        <v>2</v>
      </c>
      <c r="C6" s="406">
        <v>3</v>
      </c>
      <c r="D6" s="406">
        <v>4</v>
      </c>
      <c r="E6" s="406">
        <v>5</v>
      </c>
      <c r="F6" s="406">
        <v>6</v>
      </c>
      <c r="G6" s="407" t="s">
        <v>720</v>
      </c>
    </row>
    <row r="7" spans="1:8" ht="12.2" customHeight="1" thickBot="1" x14ac:dyDescent="0.25">
      <c r="A7" s="768" t="s">
        <v>642</v>
      </c>
      <c r="B7" s="771">
        <f>SUM(B8:B30)</f>
        <v>1300189584</v>
      </c>
      <c r="C7" s="617"/>
      <c r="D7" s="617">
        <f>SUM(D8:D30)</f>
        <v>303602765</v>
      </c>
      <c r="E7" s="617">
        <f>SUM(E8:E30)</f>
        <v>69347863</v>
      </c>
      <c r="F7" s="617">
        <f>SUM(F8:F30)</f>
        <v>927238956</v>
      </c>
      <c r="G7" s="1090">
        <f>SUM(G8:G30)</f>
        <v>0</v>
      </c>
    </row>
    <row r="8" spans="1:8" s="400" customFormat="1" ht="15.95" customHeight="1" x14ac:dyDescent="0.2">
      <c r="A8" s="1139" t="s">
        <v>640</v>
      </c>
      <c r="B8" s="1140">
        <f>267489554-142138515+16601097+401550+101600+104424</f>
        <v>142559710</v>
      </c>
      <c r="C8" s="1141" t="s">
        <v>983</v>
      </c>
      <c r="D8" s="1137">
        <f>13586200-204600+41610877+13227545+56751253</f>
        <v>124971275</v>
      </c>
      <c r="E8" s="1137">
        <f>16601097-13227545</f>
        <v>3373552</v>
      </c>
      <c r="F8" s="1137">
        <f>70861712-56751253+90424+14000</f>
        <v>14214883</v>
      </c>
      <c r="G8" s="1142">
        <f>B8-D8-F8-E8</f>
        <v>0</v>
      </c>
    </row>
    <row r="9" spans="1:8" s="400" customFormat="1" ht="15.95" customHeight="1" x14ac:dyDescent="0.2">
      <c r="A9" s="1143" t="s">
        <v>557</v>
      </c>
      <c r="B9" s="1144">
        <v>127000</v>
      </c>
      <c r="C9" s="978">
        <v>2023</v>
      </c>
      <c r="D9" s="610"/>
      <c r="E9" s="610"/>
      <c r="F9" s="610">
        <v>127000</v>
      </c>
      <c r="G9" s="1145">
        <f t="shared" ref="G9" si="0">B9-D9-F9-E9</f>
        <v>0</v>
      </c>
    </row>
    <row r="10" spans="1:8" s="400" customFormat="1" ht="15.95" customHeight="1" x14ac:dyDescent="0.2">
      <c r="A10" s="1146" t="s">
        <v>913</v>
      </c>
      <c r="B10" s="1144">
        <v>2540000</v>
      </c>
      <c r="C10" s="978">
        <v>2023</v>
      </c>
      <c r="D10" s="610"/>
      <c r="E10" s="610"/>
      <c r="F10" s="610">
        <v>2540000</v>
      </c>
      <c r="G10" s="1145">
        <f t="shared" ref="G10:G47" si="1">B10-D10-F10-E10</f>
        <v>0</v>
      </c>
    </row>
    <row r="11" spans="1:8" s="400" customFormat="1" ht="31.7" customHeight="1" x14ac:dyDescent="0.2">
      <c r="A11" s="1146" t="s">
        <v>984</v>
      </c>
      <c r="B11" s="1144">
        <v>1714001</v>
      </c>
      <c r="C11" s="978">
        <v>2023</v>
      </c>
      <c r="D11" s="610"/>
      <c r="E11" s="610"/>
      <c r="F11" s="610">
        <v>1714001</v>
      </c>
      <c r="G11" s="1145">
        <f t="shared" si="1"/>
        <v>0</v>
      </c>
    </row>
    <row r="12" spans="1:8" s="400" customFormat="1" ht="25.5" x14ac:dyDescent="0.2">
      <c r="A12" s="1143" t="s">
        <v>577</v>
      </c>
      <c r="B12" s="1144">
        <f>6704583+2425+4071620</f>
        <v>10778628</v>
      </c>
      <c r="C12" s="978" t="s">
        <v>985</v>
      </c>
      <c r="D12" s="610">
        <f>1295700+3842258+1568000</f>
        <v>6705958</v>
      </c>
      <c r="E12" s="610"/>
      <c r="F12" s="610">
        <f>1050+4071620</f>
        <v>4072670</v>
      </c>
      <c r="G12" s="1145">
        <f t="shared" si="1"/>
        <v>0</v>
      </c>
    </row>
    <row r="13" spans="1:8" s="550" customFormat="1" ht="29.25" customHeight="1" x14ac:dyDescent="0.2">
      <c r="A13" s="1147" t="s">
        <v>816</v>
      </c>
      <c r="B13" s="1148">
        <v>127000</v>
      </c>
      <c r="C13" s="1149">
        <v>2023</v>
      </c>
      <c r="D13" s="1136"/>
      <c r="E13" s="1136"/>
      <c r="F13" s="1136">
        <v>127000</v>
      </c>
      <c r="G13" s="613">
        <f t="shared" si="1"/>
        <v>0</v>
      </c>
    </row>
    <row r="14" spans="1:8" s="550" customFormat="1" ht="25.5" x14ac:dyDescent="0.2">
      <c r="A14" s="1147" t="s">
        <v>844</v>
      </c>
      <c r="B14" s="1148">
        <v>500000</v>
      </c>
      <c r="C14" s="1149" t="s">
        <v>1033</v>
      </c>
      <c r="D14" s="1136"/>
      <c r="E14" s="1136"/>
      <c r="F14" s="1136">
        <v>500000</v>
      </c>
      <c r="G14" s="613">
        <f t="shared" si="1"/>
        <v>0</v>
      </c>
    </row>
    <row r="15" spans="1:8" s="549" customFormat="1" x14ac:dyDescent="0.2">
      <c r="A15" s="1143" t="s">
        <v>565</v>
      </c>
      <c r="B15" s="1144">
        <v>444500</v>
      </c>
      <c r="C15" s="978">
        <v>2023</v>
      </c>
      <c r="D15" s="610"/>
      <c r="E15" s="610"/>
      <c r="F15" s="610">
        <v>444500</v>
      </c>
      <c r="G15" s="1145">
        <f t="shared" si="1"/>
        <v>0</v>
      </c>
    </row>
    <row r="16" spans="1:8" s="550" customFormat="1" ht="15.75" customHeight="1" x14ac:dyDescent="0.2">
      <c r="A16" s="1143" t="s">
        <v>641</v>
      </c>
      <c r="B16" s="1148">
        <f>184400236+56037</f>
        <v>184456273</v>
      </c>
      <c r="C16" s="1149" t="s">
        <v>983</v>
      </c>
      <c r="D16" s="1136">
        <v>8473000</v>
      </c>
      <c r="E16" s="1383">
        <f>26204408-15479670</f>
        <v>10724738</v>
      </c>
      <c r="F16" s="1383">
        <f>149722828+42037+14000+15479670</f>
        <v>165258535</v>
      </c>
      <c r="G16" s="613">
        <f t="shared" si="1"/>
        <v>0</v>
      </c>
    </row>
    <row r="17" spans="1:7" s="550" customFormat="1" ht="15.75" customHeight="1" x14ac:dyDescent="0.2">
      <c r="A17" s="1384" t="s">
        <v>1053</v>
      </c>
      <c r="B17" s="1385">
        <f>99839478</f>
        <v>99839478</v>
      </c>
      <c r="C17" s="1386" t="s">
        <v>1054</v>
      </c>
      <c r="D17" s="1383"/>
      <c r="E17" s="1383"/>
      <c r="F17" s="1383">
        <v>99839478</v>
      </c>
      <c r="G17" s="1387">
        <f t="shared" ref="G17" si="2">B17-D17-F17-E17</f>
        <v>0</v>
      </c>
    </row>
    <row r="18" spans="1:7" ht="15.75" customHeight="1" x14ac:dyDescent="0.2">
      <c r="A18" s="1143" t="s">
        <v>815</v>
      </c>
      <c r="B18" s="1144">
        <f>97575000+1809000-524600</f>
        <v>98859400</v>
      </c>
      <c r="C18" s="978" t="s">
        <v>900</v>
      </c>
      <c r="D18" s="610">
        <f>89909035+8092865</f>
        <v>98001900</v>
      </c>
      <c r="E18" s="610"/>
      <c r="F18" s="610">
        <f>8950365-8092865</f>
        <v>857500</v>
      </c>
      <c r="G18" s="1145">
        <f t="shared" si="1"/>
        <v>0</v>
      </c>
    </row>
    <row r="19" spans="1:7" ht="33" customHeight="1" x14ac:dyDescent="0.2">
      <c r="A19" s="1150" t="s">
        <v>843</v>
      </c>
      <c r="B19" s="1385">
        <f>39476378+212598+10311024+2667000+24742856+5744658+8054323+2174667</f>
        <v>93383504</v>
      </c>
      <c r="C19" s="1149" t="s">
        <v>900</v>
      </c>
      <c r="D19" s="1136">
        <f>1600000+2667000</f>
        <v>4267000</v>
      </c>
      <c r="E19" s="1383">
        <f>10311024-553313+5744658+2174667</f>
        <v>17677036</v>
      </c>
      <c r="F19" s="1383">
        <f>38642289+2667000+24742856-2667000+8054323</f>
        <v>71439468</v>
      </c>
      <c r="G19" s="613">
        <f t="shared" si="1"/>
        <v>0</v>
      </c>
    </row>
    <row r="20" spans="1:7" ht="25.5" x14ac:dyDescent="0.2">
      <c r="A20" s="1150" t="s">
        <v>846</v>
      </c>
      <c r="B20" s="1148">
        <f>3937008+1062992-747061-207385+454446</f>
        <v>4500000</v>
      </c>
      <c r="C20" s="1149" t="s">
        <v>900</v>
      </c>
      <c r="D20" s="1136"/>
      <c r="E20" s="1136"/>
      <c r="F20" s="1136">
        <f>5000000-747061-207385+454446</f>
        <v>4500000</v>
      </c>
      <c r="G20" s="613">
        <f t="shared" si="1"/>
        <v>0</v>
      </c>
    </row>
    <row r="21" spans="1:7" x14ac:dyDescent="0.2">
      <c r="A21" s="1150" t="s">
        <v>901</v>
      </c>
      <c r="B21" s="1148">
        <f>239013622</f>
        <v>239013622</v>
      </c>
      <c r="C21" s="1149" t="s">
        <v>900</v>
      </c>
      <c r="D21" s="1136">
        <v>7169620</v>
      </c>
      <c r="E21" s="1136"/>
      <c r="F21" s="1136">
        <f>239013622-7169620</f>
        <v>231844002</v>
      </c>
      <c r="G21" s="613">
        <f t="shared" si="1"/>
        <v>0</v>
      </c>
    </row>
    <row r="22" spans="1:7" x14ac:dyDescent="0.2">
      <c r="A22" s="1150" t="s">
        <v>1034</v>
      </c>
      <c r="B22" s="1148">
        <f>4290000-281214+1242159+259455</f>
        <v>5510400</v>
      </c>
      <c r="C22" s="1149" t="s">
        <v>1035</v>
      </c>
      <c r="D22" s="1136">
        <v>4180270</v>
      </c>
      <c r="E22" s="1136"/>
      <c r="F22" s="1136">
        <f>4290000-281214+1242159+259455-4180270</f>
        <v>1330130</v>
      </c>
      <c r="G22" s="613">
        <f>B22-D22-F22-E22</f>
        <v>0</v>
      </c>
    </row>
    <row r="23" spans="1:7" ht="25.5" x14ac:dyDescent="0.2">
      <c r="A23" s="1150" t="s">
        <v>899</v>
      </c>
      <c r="B23" s="1148">
        <v>145000000</v>
      </c>
      <c r="C23" s="1149" t="s">
        <v>900</v>
      </c>
      <c r="D23" s="1136"/>
      <c r="E23" s="1136"/>
      <c r="F23" s="1136">
        <f>165000000-20000000</f>
        <v>145000000</v>
      </c>
      <c r="G23" s="613">
        <f>B23-D23-F23-E23</f>
        <v>0</v>
      </c>
    </row>
    <row r="24" spans="1:7" ht="25.5" x14ac:dyDescent="0.2">
      <c r="A24" s="1151" t="s">
        <v>912</v>
      </c>
      <c r="B24" s="1148">
        <v>3736941</v>
      </c>
      <c r="C24" s="1149" t="s">
        <v>900</v>
      </c>
      <c r="D24" s="1136">
        <f>1245646+2489231</f>
        <v>3734877</v>
      </c>
      <c r="E24" s="1136"/>
      <c r="F24" s="1136">
        <f>2491295-2489231</f>
        <v>2064</v>
      </c>
      <c r="G24" s="613">
        <f>B24-D24-F24-E24</f>
        <v>0</v>
      </c>
    </row>
    <row r="25" spans="1:7" ht="25.5" x14ac:dyDescent="0.2">
      <c r="A25" s="1152" t="s">
        <v>845</v>
      </c>
      <c r="B25" s="1153">
        <f>19331097+24414</f>
        <v>19355511</v>
      </c>
      <c r="C25" s="978" t="s">
        <v>900</v>
      </c>
      <c r="D25" s="1135">
        <f>15221336</f>
        <v>15221336</v>
      </c>
      <c r="E25" s="1135">
        <v>4109761</v>
      </c>
      <c r="F25" s="1135">
        <v>24414</v>
      </c>
      <c r="G25" s="1145">
        <f>B25-D25-E25-F25</f>
        <v>0</v>
      </c>
    </row>
    <row r="26" spans="1:7" x14ac:dyDescent="0.2">
      <c r="A26" s="1154" t="s">
        <v>958</v>
      </c>
      <c r="B26" s="1153">
        <v>170899024</v>
      </c>
      <c r="C26" s="978" t="s">
        <v>1035</v>
      </c>
      <c r="D26" s="1135">
        <v>4917089</v>
      </c>
      <c r="E26" s="1135">
        <v>33462776</v>
      </c>
      <c r="F26" s="1135">
        <f>137436248-4917089</f>
        <v>132519159</v>
      </c>
      <c r="G26" s="1145">
        <f t="shared" ref="G26:G30" si="3">B26-D26-E26-F26</f>
        <v>0</v>
      </c>
    </row>
    <row r="27" spans="1:7" x14ac:dyDescent="0.2">
      <c r="A27" s="1155" t="s">
        <v>969</v>
      </c>
      <c r="B27" s="1156">
        <v>46228000</v>
      </c>
      <c r="C27" s="1157" t="s">
        <v>1036</v>
      </c>
      <c r="D27" s="1134">
        <v>12418000</v>
      </c>
      <c r="E27" s="1134"/>
      <c r="F27" s="1134">
        <f>46228000-12418000</f>
        <v>33810000</v>
      </c>
      <c r="G27" s="1145">
        <f t="shared" si="3"/>
        <v>0</v>
      </c>
    </row>
    <row r="28" spans="1:7" x14ac:dyDescent="0.2">
      <c r="A28" s="1155" t="s">
        <v>970</v>
      </c>
      <c r="B28" s="1153">
        <v>6915150</v>
      </c>
      <c r="C28" s="978" t="s">
        <v>1035</v>
      </c>
      <c r="D28" s="1135"/>
      <c r="E28" s="1135"/>
      <c r="F28" s="1135">
        <v>6915150</v>
      </c>
      <c r="G28" s="1145">
        <f t="shared" si="3"/>
        <v>0</v>
      </c>
    </row>
    <row r="29" spans="1:7" x14ac:dyDescent="0.2">
      <c r="A29" s="1152" t="s">
        <v>971</v>
      </c>
      <c r="B29" s="1153">
        <v>23073440</v>
      </c>
      <c r="C29" s="978" t="s">
        <v>1036</v>
      </c>
      <c r="D29" s="1135">
        <v>13542440</v>
      </c>
      <c r="E29" s="1135"/>
      <c r="F29" s="1135">
        <f>23073440-13542440</f>
        <v>9531000</v>
      </c>
      <c r="G29" s="1145">
        <f t="shared" ref="G29" si="4">B29-D29-E29-F29</f>
        <v>0</v>
      </c>
    </row>
    <row r="30" spans="1:7" ht="13.5" thickBot="1" x14ac:dyDescent="0.25">
      <c r="A30" s="1158" t="s">
        <v>1037</v>
      </c>
      <c r="B30" s="1159">
        <v>628002</v>
      </c>
      <c r="C30" s="1160" t="s">
        <v>1033</v>
      </c>
      <c r="D30" s="1138"/>
      <c r="E30" s="1138"/>
      <c r="F30" s="1138">
        <v>628002</v>
      </c>
      <c r="G30" s="1161">
        <f t="shared" si="3"/>
        <v>0</v>
      </c>
    </row>
    <row r="31" spans="1:7" s="400" customFormat="1" ht="13.5" thickBot="1" x14ac:dyDescent="0.25">
      <c r="A31" s="775" t="s">
        <v>683</v>
      </c>
      <c r="B31" s="776">
        <f>SUM(B32:B34)</f>
        <v>5412697</v>
      </c>
      <c r="C31" s="777"/>
      <c r="D31" s="778"/>
      <c r="E31" s="778"/>
      <c r="F31" s="778">
        <f>SUM(F32:F34)</f>
        <v>5412697</v>
      </c>
      <c r="G31" s="779">
        <f t="shared" si="1"/>
        <v>0</v>
      </c>
    </row>
    <row r="32" spans="1:7" s="549" customFormat="1" x14ac:dyDescent="0.2">
      <c r="A32" s="934" t="s">
        <v>1039</v>
      </c>
      <c r="B32" s="772">
        <f>2694998+254000</f>
        <v>2948998</v>
      </c>
      <c r="C32" s="767">
        <v>2023</v>
      </c>
      <c r="D32" s="773"/>
      <c r="E32" s="773"/>
      <c r="F32" s="773">
        <f>2694998+254000</f>
        <v>2948998</v>
      </c>
      <c r="G32" s="774">
        <f t="shared" si="1"/>
        <v>0</v>
      </c>
    </row>
    <row r="33" spans="1:7" s="400" customFormat="1" x14ac:dyDescent="0.2">
      <c r="A33" s="935" t="s">
        <v>682</v>
      </c>
      <c r="B33" s="612">
        <f>1682008-81809</f>
        <v>1600199</v>
      </c>
      <c r="C33" s="978">
        <v>2023</v>
      </c>
      <c r="D33" s="610"/>
      <c r="E33" s="610"/>
      <c r="F33" s="610">
        <f>1682008-81809</f>
        <v>1600199</v>
      </c>
      <c r="G33" s="613">
        <f t="shared" si="1"/>
        <v>0</v>
      </c>
    </row>
    <row r="34" spans="1:7" s="400" customFormat="1" ht="27" customHeight="1" thickBot="1" x14ac:dyDescent="0.25">
      <c r="A34" s="936" t="s">
        <v>1038</v>
      </c>
      <c r="B34" s="614">
        <v>863500</v>
      </c>
      <c r="C34" s="590">
        <v>2023</v>
      </c>
      <c r="D34" s="615"/>
      <c r="E34" s="615"/>
      <c r="F34" s="615">
        <v>863500</v>
      </c>
      <c r="G34" s="616">
        <f t="shared" si="1"/>
        <v>0</v>
      </c>
    </row>
    <row r="35" spans="1:7" s="551" customFormat="1" ht="15.75" customHeight="1" thickBot="1" x14ac:dyDescent="0.25">
      <c r="A35" s="985" t="s">
        <v>684</v>
      </c>
      <c r="B35" s="983">
        <f>SUM(B36:B37)</f>
        <v>851710</v>
      </c>
      <c r="C35" s="984"/>
      <c r="D35" s="983">
        <f>SUM(D37:D37)</f>
        <v>0</v>
      </c>
      <c r="E35" s="983"/>
      <c r="F35" s="983">
        <f>SUM(F36:F37)</f>
        <v>851710</v>
      </c>
      <c r="G35" s="977">
        <f t="shared" si="1"/>
        <v>0</v>
      </c>
    </row>
    <row r="36" spans="1:7" s="551" customFormat="1" ht="15.75" customHeight="1" x14ac:dyDescent="0.2">
      <c r="A36" s="986" t="s">
        <v>648</v>
      </c>
      <c r="B36" s="826">
        <v>597710</v>
      </c>
      <c r="C36" s="827">
        <v>2023</v>
      </c>
      <c r="D36" s="828"/>
      <c r="E36" s="828"/>
      <c r="F36" s="828">
        <v>597710</v>
      </c>
      <c r="G36" s="966">
        <f t="shared" ref="G36" si="5">B36-D36-F36-E36</f>
        <v>0</v>
      </c>
    </row>
    <row r="37" spans="1:7" s="550" customFormat="1" ht="15.75" customHeight="1" thickBot="1" x14ac:dyDescent="0.25">
      <c r="A37" s="1040" t="s">
        <v>555</v>
      </c>
      <c r="B37" s="1162">
        <v>254000</v>
      </c>
      <c r="C37" s="1108">
        <v>2023</v>
      </c>
      <c r="D37" s="1109"/>
      <c r="E37" s="1109"/>
      <c r="F37" s="1109">
        <v>254000</v>
      </c>
      <c r="G37" s="967">
        <f>B37-D37-F37-E37</f>
        <v>0</v>
      </c>
    </row>
    <row r="38" spans="1:7" s="400" customFormat="1" ht="15.75" customHeight="1" thickBot="1" x14ac:dyDescent="0.25">
      <c r="A38" s="937" t="s">
        <v>685</v>
      </c>
      <c r="B38" s="983">
        <f>SUM(B39:B41)</f>
        <v>3148540</v>
      </c>
      <c r="C38" s="984"/>
      <c r="D38" s="983">
        <f>SUM(D39:D41)</f>
        <v>0</v>
      </c>
      <c r="E38" s="983"/>
      <c r="F38" s="983">
        <f>SUM(F39:F41)</f>
        <v>3148540</v>
      </c>
      <c r="G38" s="977">
        <f t="shared" si="1"/>
        <v>0</v>
      </c>
    </row>
    <row r="39" spans="1:7" s="400" customFormat="1" ht="15.75" customHeight="1" x14ac:dyDescent="0.2">
      <c r="A39" s="938" t="s">
        <v>649</v>
      </c>
      <c r="B39" s="979">
        <f>2720000+136000</f>
        <v>2856000</v>
      </c>
      <c r="C39" s="980">
        <v>2023</v>
      </c>
      <c r="D39" s="981"/>
      <c r="E39" s="828"/>
      <c r="F39" s="981">
        <f>2720000+136000</f>
        <v>2856000</v>
      </c>
      <c r="G39" s="829">
        <f t="shared" si="1"/>
        <v>0</v>
      </c>
    </row>
    <row r="40" spans="1:7" s="400" customFormat="1" ht="15.75" customHeight="1" x14ac:dyDescent="0.2">
      <c r="A40" s="1381" t="s">
        <v>1052</v>
      </c>
      <c r="B40" s="1214">
        <v>165540</v>
      </c>
      <c r="C40" s="1215" t="s">
        <v>1033</v>
      </c>
      <c r="D40" s="1057"/>
      <c r="E40" s="1057"/>
      <c r="F40" s="1057">
        <v>165540</v>
      </c>
      <c r="G40" s="1382"/>
    </row>
    <row r="41" spans="1:7" s="400" customFormat="1" ht="15.75" customHeight="1" thickBot="1" x14ac:dyDescent="0.25">
      <c r="A41" s="940" t="s">
        <v>1040</v>
      </c>
      <c r="B41" s="826">
        <v>127000</v>
      </c>
      <c r="C41" s="827">
        <v>2023</v>
      </c>
      <c r="D41" s="828"/>
      <c r="E41" s="828"/>
      <c r="F41" s="828">
        <v>127000</v>
      </c>
      <c r="G41" s="967">
        <f t="shared" si="1"/>
        <v>0</v>
      </c>
    </row>
    <row r="42" spans="1:7" s="568" customFormat="1" ht="35.450000000000003" customHeight="1" thickBot="1" x14ac:dyDescent="0.25">
      <c r="A42" s="939" t="s">
        <v>687</v>
      </c>
      <c r="B42" s="983">
        <f>SUM(B43:B47)</f>
        <v>43176151</v>
      </c>
      <c r="C42" s="984"/>
      <c r="D42" s="983">
        <f>SUM(D43:D47)</f>
        <v>0</v>
      </c>
      <c r="E42" s="983"/>
      <c r="F42" s="983">
        <f>SUM(F43:F47)</f>
        <v>43176151</v>
      </c>
      <c r="G42" s="977">
        <f t="shared" si="1"/>
        <v>0</v>
      </c>
    </row>
    <row r="43" spans="1:7" s="551" customFormat="1" ht="21.2" customHeight="1" x14ac:dyDescent="0.2">
      <c r="A43" s="1040" t="s">
        <v>648</v>
      </c>
      <c r="B43" s="1041">
        <v>4990951</v>
      </c>
      <c r="C43" s="1042">
        <v>2023</v>
      </c>
      <c r="D43" s="1043"/>
      <c r="E43" s="1043"/>
      <c r="F43" s="1043">
        <v>4990951</v>
      </c>
      <c r="G43" s="829">
        <f t="shared" si="1"/>
        <v>0</v>
      </c>
    </row>
    <row r="44" spans="1:7" s="551" customFormat="1" ht="21.2" customHeight="1" x14ac:dyDescent="0.2">
      <c r="A44" s="1040" t="s">
        <v>555</v>
      </c>
      <c r="B44" s="1041">
        <v>812800</v>
      </c>
      <c r="C44" s="1042">
        <v>2023</v>
      </c>
      <c r="D44" s="1043"/>
      <c r="E44" s="1043"/>
      <c r="F44" s="1043">
        <v>812800</v>
      </c>
      <c r="G44" s="829">
        <f t="shared" si="1"/>
        <v>0</v>
      </c>
    </row>
    <row r="45" spans="1:7" s="551" customFormat="1" ht="21.2" customHeight="1" x14ac:dyDescent="0.2">
      <c r="A45" s="1044" t="s">
        <v>1032</v>
      </c>
      <c r="B45" s="979">
        <v>25400</v>
      </c>
      <c r="C45" s="980">
        <v>2023</v>
      </c>
      <c r="D45" s="981">
        <v>0</v>
      </c>
      <c r="E45" s="981"/>
      <c r="F45" s="981">
        <v>25400</v>
      </c>
      <c r="G45" s="982">
        <f t="shared" si="1"/>
        <v>0</v>
      </c>
    </row>
    <row r="46" spans="1:7" s="551" customFormat="1" ht="21.2" customHeight="1" x14ac:dyDescent="0.2">
      <c r="A46" s="940" t="s">
        <v>823</v>
      </c>
      <c r="B46" s="826">
        <v>36147000</v>
      </c>
      <c r="C46" s="827">
        <v>2023</v>
      </c>
      <c r="D46" s="1057"/>
      <c r="E46" s="1093"/>
      <c r="F46" s="826">
        <v>36147000</v>
      </c>
      <c r="G46" s="1102">
        <f t="shared" ref="G46" si="6">B46-D46-F46-E46</f>
        <v>0</v>
      </c>
    </row>
    <row r="47" spans="1:7" s="551" customFormat="1" ht="21.2" customHeight="1" thickBot="1" x14ac:dyDescent="0.25">
      <c r="A47" s="1213" t="s">
        <v>1050</v>
      </c>
      <c r="B47" s="1214">
        <v>1200000</v>
      </c>
      <c r="C47" s="1215">
        <v>2023</v>
      </c>
      <c r="D47" s="1057"/>
      <c r="E47" s="1093"/>
      <c r="F47" s="1214">
        <v>1200000</v>
      </c>
      <c r="G47" s="1102">
        <f t="shared" si="1"/>
        <v>0</v>
      </c>
    </row>
    <row r="48" spans="1:7" s="400" customFormat="1" ht="21.2" customHeight="1" thickBot="1" x14ac:dyDescent="0.25">
      <c r="A48" s="941" t="s">
        <v>686</v>
      </c>
      <c r="B48" s="830">
        <f>SUM(B49:B50)</f>
        <v>910786</v>
      </c>
      <c r="C48" s="831"/>
      <c r="D48" s="830">
        <f>SUM(D49:D49)</f>
        <v>0</v>
      </c>
      <c r="E48" s="830"/>
      <c r="F48" s="830">
        <f>SUM(F49:F50)</f>
        <v>910786</v>
      </c>
      <c r="G48" s="832">
        <f>B48-D48-F48-E48</f>
        <v>0</v>
      </c>
    </row>
    <row r="49" spans="1:7" s="549" customFormat="1" ht="19.5" customHeight="1" x14ac:dyDescent="0.2">
      <c r="A49" s="968" t="s">
        <v>824</v>
      </c>
      <c r="B49" s="1379">
        <f>803896+81490</f>
        <v>885386</v>
      </c>
      <c r="C49" s="851">
        <v>2023</v>
      </c>
      <c r="D49" s="850"/>
      <c r="E49" s="850"/>
      <c r="F49" s="1380">
        <f>803896+81490</f>
        <v>885386</v>
      </c>
      <c r="G49" s="970">
        <f>B49-D49-F49-E49</f>
        <v>0</v>
      </c>
    </row>
    <row r="50" spans="1:7" s="549" customFormat="1" ht="19.5" customHeight="1" thickBot="1" x14ac:dyDescent="0.25">
      <c r="A50" s="1040" t="s">
        <v>555</v>
      </c>
      <c r="B50" s="1162">
        <v>25400</v>
      </c>
      <c r="C50" s="1108">
        <v>2023</v>
      </c>
      <c r="D50" s="1109"/>
      <c r="E50" s="1109"/>
      <c r="F50" s="1109">
        <v>25400</v>
      </c>
      <c r="G50" s="967">
        <f>B50-D50-F50-E50</f>
        <v>0</v>
      </c>
    </row>
    <row r="51" spans="1:7" s="400" customFormat="1" ht="19.5" customHeight="1" thickBot="1" x14ac:dyDescent="0.25">
      <c r="A51" s="569" t="s">
        <v>647</v>
      </c>
      <c r="B51" s="942">
        <f>B48+B42+B38+B35+B31</f>
        <v>53499884</v>
      </c>
      <c r="C51" s="611"/>
      <c r="D51" s="611">
        <f>D48+D42+D38+D35+D31</f>
        <v>0</v>
      </c>
      <c r="E51" s="611"/>
      <c r="F51" s="611">
        <f>F48+F42+F38+F35+F31</f>
        <v>53499884</v>
      </c>
      <c r="G51" s="977">
        <f>B51-D51-F51-E51</f>
        <v>0</v>
      </c>
    </row>
    <row r="52" spans="1:7" s="400" customFormat="1" ht="19.5" customHeight="1" thickBot="1" x14ac:dyDescent="0.25">
      <c r="A52" s="569" t="s">
        <v>688</v>
      </c>
      <c r="B52" s="942">
        <f>B51+B7</f>
        <v>1353689468</v>
      </c>
      <c r="C52" s="611"/>
      <c r="D52" s="611">
        <f>D51+D7</f>
        <v>303602765</v>
      </c>
      <c r="E52" s="611">
        <f>+E51+E7</f>
        <v>69347863</v>
      </c>
      <c r="F52" s="611">
        <f>F51+F7</f>
        <v>980738840</v>
      </c>
      <c r="G52" s="977">
        <f>B52-D52-F52-E52</f>
        <v>0</v>
      </c>
    </row>
    <row r="53" spans="1:7" x14ac:dyDescent="0.2">
      <c r="F53" s="400">
        <f>'1. sz.mell. '!C121</f>
        <v>980738840</v>
      </c>
    </row>
    <row r="54" spans="1:7" x14ac:dyDescent="0.2">
      <c r="F54" s="400">
        <f>F52-F53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6"/>
  <sheetViews>
    <sheetView view="pageBreakPreview" zoomScale="115" zoomScaleNormal="130" zoomScaleSheetLayoutView="115" workbookViewId="0">
      <selection activeCell="A2" sqref="A2"/>
    </sheetView>
  </sheetViews>
  <sheetFormatPr defaultColWidth="9.33203125"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253" t="str">
        <f>CONCATENATE("8. melléklet"," ",ALAPADATOK!A7," ",ALAPADATOK!B7," ",ALAPADATOK!C7," ",ALAPADATOK!D7," ",ALAPADATOK!E7," ",ALAPADATOK!F7," ",ALAPADATOK!G7," ",ALAPADATOK!H7)</f>
        <v>8. melléklet a .. / 2023. ( …... ) önkormányzati rendelethez</v>
      </c>
      <c r="B1" s="1253"/>
      <c r="C1" s="1253"/>
      <c r="D1" s="1253"/>
      <c r="E1" s="1253"/>
      <c r="F1" s="1253"/>
      <c r="G1" s="1253"/>
    </row>
    <row r="3" spans="1:8" ht="24.75" customHeight="1" x14ac:dyDescent="0.2">
      <c r="A3" s="1254" t="s">
        <v>5</v>
      </c>
      <c r="B3" s="1254"/>
      <c r="C3" s="1254"/>
      <c r="D3" s="1254"/>
      <c r="E3" s="1254"/>
      <c r="F3" s="1254"/>
      <c r="G3" s="1254"/>
    </row>
    <row r="4" spans="1:8" ht="23.25" customHeight="1" thickBot="1" x14ac:dyDescent="0.3">
      <c r="B4" s="929"/>
      <c r="C4" s="929"/>
      <c r="D4" s="929"/>
      <c r="E4" s="929"/>
      <c r="F4" s="929"/>
      <c r="G4" s="925"/>
    </row>
    <row r="5" spans="1:8" s="126" customFormat="1" ht="48.75" customHeight="1" thickBot="1" x14ac:dyDescent="0.25">
      <c r="A5" s="570" t="s">
        <v>861</v>
      </c>
      <c r="B5" s="571" t="s">
        <v>60</v>
      </c>
      <c r="C5" s="571" t="s">
        <v>61</v>
      </c>
      <c r="D5" s="571" t="s">
        <v>1031</v>
      </c>
      <c r="E5" s="402" t="s">
        <v>981</v>
      </c>
      <c r="F5" s="571" t="s">
        <v>976</v>
      </c>
      <c r="G5" s="572" t="s">
        <v>986</v>
      </c>
      <c r="H5" s="264"/>
    </row>
    <row r="6" spans="1:8" ht="15" customHeight="1" thickBot="1" x14ac:dyDescent="0.25">
      <c r="A6" s="1055">
        <v>1</v>
      </c>
      <c r="B6" s="573">
        <v>2</v>
      </c>
      <c r="C6" s="574">
        <v>3</v>
      </c>
      <c r="D6" s="574">
        <v>4</v>
      </c>
      <c r="E6" s="574">
        <v>5</v>
      </c>
      <c r="F6" s="574">
        <v>6</v>
      </c>
      <c r="G6" s="575">
        <v>7</v>
      </c>
    </row>
    <row r="7" spans="1:8" ht="15" customHeight="1" thickBot="1" x14ac:dyDescent="0.25">
      <c r="A7" s="1163" t="s">
        <v>566</v>
      </c>
      <c r="B7" s="1164">
        <f>SUM(B8:B23)</f>
        <v>2714523247</v>
      </c>
      <c r="C7" s="1165"/>
      <c r="D7" s="1166">
        <f>SUM(D8:D23)</f>
        <v>855866112</v>
      </c>
      <c r="E7" s="1166">
        <f>SUM(E8:E23)</f>
        <v>40906892</v>
      </c>
      <c r="F7" s="1166">
        <f>SUM(F8:F23)</f>
        <v>1817750243</v>
      </c>
      <c r="G7" s="1166">
        <f>SUM(G8:G23)</f>
        <v>0</v>
      </c>
    </row>
    <row r="8" spans="1:8" s="549" customFormat="1" ht="15.95" customHeight="1" x14ac:dyDescent="0.2">
      <c r="A8" s="1171" t="s">
        <v>640</v>
      </c>
      <c r="B8" s="1172">
        <f>80112238+101702816+14410+27198151+76736922</f>
        <v>285764537</v>
      </c>
      <c r="C8" s="1141" t="s">
        <v>983</v>
      </c>
      <c r="D8" s="1173">
        <f>80000+18962079+24663455+171245195</f>
        <v>214950729</v>
      </c>
      <c r="E8" s="1173">
        <f>27198151-24663455</f>
        <v>2534696</v>
      </c>
      <c r="F8" s="1173">
        <f>162787385+76736922-171245195</f>
        <v>68279112</v>
      </c>
      <c r="G8" s="1142">
        <f>B8-D8-E8-F8</f>
        <v>0</v>
      </c>
    </row>
    <row r="9" spans="1:8" ht="15.95" customHeight="1" x14ac:dyDescent="0.2">
      <c r="A9" s="1174" t="s">
        <v>556</v>
      </c>
      <c r="B9" s="1175">
        <v>6278880</v>
      </c>
      <c r="C9" s="978" t="s">
        <v>1035</v>
      </c>
      <c r="D9" s="1135"/>
      <c r="E9" s="1135"/>
      <c r="F9" s="1135">
        <v>6278880</v>
      </c>
      <c r="G9" s="1145">
        <f t="shared" ref="G9:G16" si="0">B9-D9-E9-F9</f>
        <v>0</v>
      </c>
    </row>
    <row r="10" spans="1:8" ht="15.95" customHeight="1" x14ac:dyDescent="0.2">
      <c r="A10" s="1174" t="s">
        <v>1041</v>
      </c>
      <c r="B10" s="1175">
        <v>18415000</v>
      </c>
      <c r="C10" s="978" t="s">
        <v>1033</v>
      </c>
      <c r="D10" s="1135"/>
      <c r="E10" s="1135"/>
      <c r="F10" s="1135">
        <v>18415000</v>
      </c>
      <c r="G10" s="1145">
        <f t="shared" si="0"/>
        <v>0</v>
      </c>
    </row>
    <row r="11" spans="1:8" ht="15.95" customHeight="1" x14ac:dyDescent="0.2">
      <c r="A11" s="1176" t="s">
        <v>1043</v>
      </c>
      <c r="B11" s="1175">
        <v>11303000</v>
      </c>
      <c r="C11" s="978">
        <v>2023</v>
      </c>
      <c r="D11" s="1135"/>
      <c r="E11" s="1135"/>
      <c r="F11" s="1135">
        <v>11303000</v>
      </c>
      <c r="G11" s="1145">
        <f t="shared" si="0"/>
        <v>0</v>
      </c>
    </row>
    <row r="12" spans="1:8" ht="15.95" customHeight="1" x14ac:dyDescent="0.2">
      <c r="A12" s="1393" t="s">
        <v>1057</v>
      </c>
      <c r="B12" s="1389">
        <v>4640000</v>
      </c>
      <c r="C12" s="1390">
        <v>2023</v>
      </c>
      <c r="D12" s="1391"/>
      <c r="E12" s="1391"/>
      <c r="F12" s="1391">
        <v>4640000</v>
      </c>
      <c r="G12" s="1392">
        <f t="shared" ref="G12" si="1">B12-D12-E12-F12</f>
        <v>0</v>
      </c>
    </row>
    <row r="13" spans="1:8" ht="25.5" x14ac:dyDescent="0.2">
      <c r="A13" s="1177" t="s">
        <v>845</v>
      </c>
      <c r="B13" s="1175">
        <f>586618264+158386931-1937394-523096-19331097-6985000-2695000-40856453+5908</f>
        <v>672683063</v>
      </c>
      <c r="C13" s="978" t="s">
        <v>900</v>
      </c>
      <c r="D13" s="1135">
        <v>542386598</v>
      </c>
      <c r="E13" s="1135"/>
      <c r="F13" s="1135">
        <f>586618264+158386931-1937394-523096-19331097-6985000-2695000-40856453-542386598+4652+1256</f>
        <v>130296465</v>
      </c>
      <c r="G13" s="1145">
        <f t="shared" si="0"/>
        <v>0</v>
      </c>
    </row>
    <row r="14" spans="1:8" ht="25.5" x14ac:dyDescent="0.2">
      <c r="A14" s="1177" t="s">
        <v>846</v>
      </c>
      <c r="B14" s="1389">
        <f>189589237+747061+207385+38195-44089+173228+46772+1326829</f>
        <v>192084618</v>
      </c>
      <c r="C14" s="978" t="s">
        <v>900</v>
      </c>
      <c r="D14" s="1135">
        <f>43608761</f>
        <v>43608761</v>
      </c>
      <c r="E14" s="1135">
        <f>39317017-1103646+158824+44090-44089</f>
        <v>38372196</v>
      </c>
      <c r="F14" s="1391">
        <f>153782518+1673065-4081388+1671+588237+207385-44090+38195-43608761+173228+46772+1326829</f>
        <v>110103661</v>
      </c>
      <c r="G14" s="1145">
        <f t="shared" si="0"/>
        <v>0</v>
      </c>
    </row>
    <row r="15" spans="1:8" ht="25.5" x14ac:dyDescent="0.2">
      <c r="A15" s="1177" t="s">
        <v>847</v>
      </c>
      <c r="B15" s="1175">
        <f>50000000+4968345</f>
        <v>54968345</v>
      </c>
      <c r="C15" s="978" t="s">
        <v>900</v>
      </c>
      <c r="D15" s="1135">
        <f>1000000+45499999</f>
        <v>46499999</v>
      </c>
      <c r="E15" s="1135"/>
      <c r="F15" s="1135">
        <f>49000000+4968345-45499999</f>
        <v>8468346</v>
      </c>
      <c r="G15" s="1145">
        <f t="shared" si="0"/>
        <v>0</v>
      </c>
    </row>
    <row r="16" spans="1:8" ht="25.5" x14ac:dyDescent="0.2">
      <c r="A16" s="1388" t="s">
        <v>1056</v>
      </c>
      <c r="B16" s="1389">
        <v>16648030</v>
      </c>
      <c r="C16" s="1390" t="s">
        <v>1033</v>
      </c>
      <c r="D16" s="1391"/>
      <c r="E16" s="1391"/>
      <c r="F16" s="1391">
        <v>16648030</v>
      </c>
      <c r="G16" s="1145">
        <f t="shared" si="0"/>
        <v>0</v>
      </c>
    </row>
    <row r="17" spans="1:7" x14ac:dyDescent="0.2">
      <c r="A17" s="1177" t="s">
        <v>902</v>
      </c>
      <c r="B17" s="1175">
        <v>295820280</v>
      </c>
      <c r="C17" s="978" t="s">
        <v>900</v>
      </c>
      <c r="D17" s="1135">
        <v>5963025</v>
      </c>
      <c r="E17" s="1135"/>
      <c r="F17" s="1135">
        <f>295820280-5963025</f>
        <v>289857255</v>
      </c>
      <c r="G17" s="1145">
        <f>B17-D17-E17-F17</f>
        <v>0</v>
      </c>
    </row>
    <row r="18" spans="1:7" ht="25.5" x14ac:dyDescent="0.2">
      <c r="A18" s="1177" t="s">
        <v>912</v>
      </c>
      <c r="B18" s="1175">
        <f>236673086+5908</f>
        <v>236678994</v>
      </c>
      <c r="C18" s="978" t="s">
        <v>1042</v>
      </c>
      <c r="D18" s="1135">
        <v>27000</v>
      </c>
      <c r="E18" s="1135"/>
      <c r="F18" s="1135">
        <f>236673086+5908-27000</f>
        <v>236651994</v>
      </c>
      <c r="G18" s="1145">
        <f t="shared" ref="G18:G22" si="2">B18-D18-E18-F18</f>
        <v>0</v>
      </c>
    </row>
    <row r="19" spans="1:7" x14ac:dyDescent="0.2">
      <c r="A19" s="1388" t="s">
        <v>1055</v>
      </c>
      <c r="B19" s="1389">
        <v>191814096</v>
      </c>
      <c r="C19" s="1390" t="s">
        <v>1054</v>
      </c>
      <c r="D19" s="1391"/>
      <c r="E19" s="1391"/>
      <c r="F19" s="1391">
        <v>191814096</v>
      </c>
      <c r="G19" s="1392">
        <f t="shared" si="2"/>
        <v>0</v>
      </c>
    </row>
    <row r="20" spans="1:7" x14ac:dyDescent="0.2">
      <c r="A20" s="1177" t="s">
        <v>969</v>
      </c>
      <c r="B20" s="1175">
        <v>350344740</v>
      </c>
      <c r="C20" s="978" t="s">
        <v>1036</v>
      </c>
      <c r="D20" s="1135"/>
      <c r="E20" s="1135"/>
      <c r="F20" s="1135">
        <v>350344740</v>
      </c>
      <c r="G20" s="1145">
        <f t="shared" si="2"/>
        <v>0</v>
      </c>
    </row>
    <row r="21" spans="1:7" x14ac:dyDescent="0.2">
      <c r="A21" s="1177" t="s">
        <v>970</v>
      </c>
      <c r="B21" s="1175">
        <f>98171000+254000</f>
        <v>98425000</v>
      </c>
      <c r="C21" s="978" t="s">
        <v>1035</v>
      </c>
      <c r="D21" s="1135"/>
      <c r="E21" s="1135"/>
      <c r="F21" s="1135">
        <f>98171000+254000</f>
        <v>98425000</v>
      </c>
      <c r="G21" s="1145">
        <f t="shared" si="2"/>
        <v>0</v>
      </c>
    </row>
    <row r="22" spans="1:7" x14ac:dyDescent="0.2">
      <c r="A22" s="1177" t="s">
        <v>971</v>
      </c>
      <c r="B22" s="1178">
        <v>255268500</v>
      </c>
      <c r="C22" s="978" t="s">
        <v>1036</v>
      </c>
      <c r="D22" s="610"/>
      <c r="E22" s="610"/>
      <c r="F22" s="610">
        <v>255268500</v>
      </c>
      <c r="G22" s="1145">
        <f t="shared" si="2"/>
        <v>0</v>
      </c>
    </row>
    <row r="23" spans="1:7" ht="13.5" thickBot="1" x14ac:dyDescent="0.25">
      <c r="A23" s="1179" t="s">
        <v>974</v>
      </c>
      <c r="B23" s="1180">
        <f>2430000+20956164</f>
        <v>23386164</v>
      </c>
      <c r="C23" s="590" t="s">
        <v>1035</v>
      </c>
      <c r="D23" s="615">
        <v>2430000</v>
      </c>
      <c r="E23" s="1181"/>
      <c r="F23" s="615">
        <v>20956164</v>
      </c>
      <c r="G23" s="1182">
        <f t="shared" ref="G23" si="3">B23-D23-E23-F23</f>
        <v>0</v>
      </c>
    </row>
    <row r="24" spans="1:7" ht="13.5" thickBot="1" x14ac:dyDescent="0.25">
      <c r="A24" s="1167" t="s">
        <v>59</v>
      </c>
      <c r="B24" s="1168">
        <f>B7</f>
        <v>2714523247</v>
      </c>
      <c r="C24" s="1169"/>
      <c r="D24" s="1169">
        <f>D7</f>
        <v>855866112</v>
      </c>
      <c r="E24" s="1169">
        <f>E7</f>
        <v>40906892</v>
      </c>
      <c r="F24" s="1169">
        <f>F7</f>
        <v>1817750243</v>
      </c>
      <c r="G24" s="1170">
        <v>0</v>
      </c>
    </row>
    <row r="25" spans="1:7" x14ac:dyDescent="0.2">
      <c r="F25" s="31">
        <f>'1. sz.mell. '!C123</f>
        <v>1817750243</v>
      </c>
    </row>
    <row r="26" spans="1:7" x14ac:dyDescent="0.2">
      <c r="F26" s="31">
        <f>F24-F25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E247"/>
  <sheetViews>
    <sheetView view="pageBreakPreview" zoomScale="115" zoomScaleNormal="115" zoomScaleSheetLayoutView="115" workbookViewId="0">
      <selection activeCell="A2" sqref="A2:E2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272" t="str">
        <f>CONCATENATE("9. melléklet"," ",ALAPADATOK!A7," ",ALAPADATOK!B7," ",ALAPADATOK!C7," ",ALAPADATOK!D7," ",ALAPADATOK!E7," ",ALAPADATOK!F7," ",ALAPADATOK!G7," ",ALAPADATOK!H7)</f>
        <v>9. melléklet a .. / 2023. ( …... ) önkormányzati rendelethez</v>
      </c>
      <c r="B1" s="1272"/>
      <c r="C1" s="1272"/>
      <c r="D1" s="1272"/>
      <c r="E1" s="1272"/>
    </row>
    <row r="2" spans="1:5" ht="15.75" customHeight="1" x14ac:dyDescent="0.2">
      <c r="A2" s="1270" t="s">
        <v>914</v>
      </c>
      <c r="B2" s="1270"/>
      <c r="C2" s="1270"/>
      <c r="D2" s="1270"/>
      <c r="E2" s="1270"/>
    </row>
    <row r="3" spans="1:5" ht="15.75" x14ac:dyDescent="0.2">
      <c r="A3" s="1271"/>
      <c r="B3" s="1270"/>
      <c r="C3" s="1270"/>
      <c r="D3" s="1270"/>
      <c r="E3" s="1270"/>
    </row>
    <row r="4" spans="1:5" ht="31.7" customHeight="1" x14ac:dyDescent="0.2">
      <c r="A4" s="1273" t="s">
        <v>919</v>
      </c>
      <c r="B4" s="1273"/>
      <c r="C4" s="1273"/>
      <c r="D4" s="1273"/>
      <c r="E4" s="1273"/>
    </row>
    <row r="5" spans="1:5" ht="15.75" thickBot="1" x14ac:dyDescent="0.25">
      <c r="A5" s="987"/>
      <c r="B5" s="987"/>
      <c r="C5" s="987"/>
      <c r="D5" s="987"/>
      <c r="E5" s="989" t="s">
        <v>489</v>
      </c>
    </row>
    <row r="6" spans="1:5" ht="13.5" thickBot="1" x14ac:dyDescent="0.25">
      <c r="A6" s="1255" t="s">
        <v>512</v>
      </c>
      <c r="B6" s="1258" t="s">
        <v>915</v>
      </c>
      <c r="C6" s="1259"/>
      <c r="D6" s="1259"/>
      <c r="E6" s="1260"/>
    </row>
    <row r="7" spans="1:5" ht="13.7" customHeight="1" thickBot="1" x14ac:dyDescent="0.25">
      <c r="A7" s="1256"/>
      <c r="B7" s="1261" t="s">
        <v>922</v>
      </c>
      <c r="C7" s="1264" t="s">
        <v>916</v>
      </c>
      <c r="D7" s="1265"/>
      <c r="E7" s="1266"/>
    </row>
    <row r="8" spans="1:5" ht="13.7" customHeight="1" x14ac:dyDescent="0.2">
      <c r="A8" s="1256"/>
      <c r="B8" s="1262"/>
      <c r="C8" s="1261" t="str">
        <f>CONCATENATE(ALAPADATOK!$D$7," előttre ütemezett bevétel, kiadás")</f>
        <v>2023. előttre ütemezett bevétel, kiadás</v>
      </c>
      <c r="D8" s="1261" t="str">
        <f>CONCATENATE(ALAPADATOK!$D$7," évre ütemezett bevétel, kiadás")</f>
        <v>2023. évre ütemezett bevétel, kiadás</v>
      </c>
      <c r="E8" s="1261" t="str">
        <f>CONCATENATE(ALAPADATOK!$D$7," utánra ütemezett bevétel, kiadás")</f>
        <v>2023. utánra ütemezett bevétel, kiadás</v>
      </c>
    </row>
    <row r="9" spans="1:5" ht="13.5" thickBot="1" x14ac:dyDescent="0.25">
      <c r="A9" s="1257"/>
      <c r="B9" s="1268"/>
      <c r="C9" s="1267"/>
      <c r="D9" s="1267"/>
      <c r="E9" s="1268"/>
    </row>
    <row r="10" spans="1:5" ht="13.5" thickBot="1" x14ac:dyDescent="0.25">
      <c r="A10" s="1202" t="s">
        <v>382</v>
      </c>
      <c r="B10" s="990" t="s">
        <v>917</v>
      </c>
      <c r="C10" s="991" t="s">
        <v>384</v>
      </c>
      <c r="D10" s="988" t="s">
        <v>434</v>
      </c>
      <c r="E10" s="992" t="s">
        <v>435</v>
      </c>
    </row>
    <row r="11" spans="1:5" ht="14.25" customHeight="1" x14ac:dyDescent="0.2">
      <c r="A11" s="1203" t="s">
        <v>513</v>
      </c>
      <c r="B11" s="995">
        <f>C11+D11+E11</f>
        <v>3152164</v>
      </c>
      <c r="C11" s="996">
        <v>3136412</v>
      </c>
      <c r="D11" s="996">
        <v>15752</v>
      </c>
      <c r="E11" s="997"/>
    </row>
    <row r="12" spans="1:5" x14ac:dyDescent="0.2">
      <c r="A12" s="1204" t="s">
        <v>514</v>
      </c>
      <c r="B12" s="998">
        <f t="shared" ref="B12:B21" si="0">C12+D12+E12</f>
        <v>0</v>
      </c>
      <c r="C12" s="999"/>
      <c r="D12" s="999"/>
      <c r="E12" s="999"/>
    </row>
    <row r="13" spans="1:5" ht="13.7" customHeight="1" x14ac:dyDescent="0.2">
      <c r="A13" s="1205" t="s">
        <v>918</v>
      </c>
      <c r="B13" s="1000">
        <f t="shared" si="0"/>
        <v>139014928</v>
      </c>
      <c r="C13" s="1001">
        <f>107440289+21560000</f>
        <v>129000289</v>
      </c>
      <c r="D13" s="1001">
        <f>31574639-21560000</f>
        <v>10014639</v>
      </c>
      <c r="E13" s="1001"/>
    </row>
    <row r="14" spans="1:5" ht="12.75" customHeight="1" x14ac:dyDescent="0.2">
      <c r="A14" s="1205" t="s">
        <v>109</v>
      </c>
      <c r="B14" s="1000">
        <f t="shared" si="0"/>
        <v>0</v>
      </c>
      <c r="C14" s="1001"/>
      <c r="D14" s="1001"/>
      <c r="E14" s="1001"/>
    </row>
    <row r="15" spans="1:5" ht="13.5" thickBot="1" x14ac:dyDescent="0.25">
      <c r="A15" s="1205" t="s">
        <v>515</v>
      </c>
      <c r="B15" s="1000">
        <f t="shared" si="0"/>
        <v>0</v>
      </c>
      <c r="C15" s="1001"/>
      <c r="D15" s="1001"/>
      <c r="E15" s="1001"/>
    </row>
    <row r="16" spans="1:5" ht="13.5" thickBot="1" x14ac:dyDescent="0.25">
      <c r="A16" s="1206" t="s">
        <v>516</v>
      </c>
      <c r="B16" s="1002">
        <f>B11+SUM(B13:B15)</f>
        <v>142167092</v>
      </c>
      <c r="C16" s="1002">
        <f>C11+SUM(C13:C15)</f>
        <v>132136701</v>
      </c>
      <c r="D16" s="1002">
        <f>D11+SUM(D13:D15)</f>
        <v>10030391</v>
      </c>
      <c r="E16" s="1003">
        <f>E11+SUM(E13:E15)</f>
        <v>0</v>
      </c>
    </row>
    <row r="17" spans="1:5" x14ac:dyDescent="0.2">
      <c r="A17" s="1207" t="s">
        <v>517</v>
      </c>
      <c r="B17" s="995">
        <f>C17+D17+E17</f>
        <v>7671008</v>
      </c>
      <c r="C17" s="996">
        <f>5335564+2026145+282801</f>
        <v>7644510</v>
      </c>
      <c r="D17" s="996">
        <f>293547+15752-282801</f>
        <v>26498</v>
      </c>
      <c r="E17" s="997"/>
    </row>
    <row r="18" spans="1:5" x14ac:dyDescent="0.2">
      <c r="A18" s="1208" t="s">
        <v>729</v>
      </c>
      <c r="B18" s="1000">
        <f t="shared" si="0"/>
        <v>60183704</v>
      </c>
      <c r="C18" s="1001">
        <f>54543034+1568000</f>
        <v>56111034</v>
      </c>
      <c r="D18" s="1001">
        <f>1050+4071620</f>
        <v>4072670</v>
      </c>
      <c r="E18" s="1001"/>
    </row>
    <row r="19" spans="1:5" x14ac:dyDescent="0.2">
      <c r="A19" s="1208" t="s">
        <v>519</v>
      </c>
      <c r="B19" s="1000">
        <f t="shared" si="0"/>
        <v>9072000</v>
      </c>
      <c r="C19" s="1001">
        <f>5688000+2885669</f>
        <v>8573669</v>
      </c>
      <c r="D19" s="1001">
        <v>498331</v>
      </c>
      <c r="E19" s="1001"/>
    </row>
    <row r="20" spans="1:5" x14ac:dyDescent="0.2">
      <c r="A20" s="1208" t="s">
        <v>520</v>
      </c>
      <c r="B20" s="1000">
        <f t="shared" si="0"/>
        <v>0</v>
      </c>
      <c r="C20" s="1001"/>
      <c r="D20" s="1001"/>
      <c r="E20" s="1001"/>
    </row>
    <row r="21" spans="1:5" ht="13.5" thickBot="1" x14ac:dyDescent="0.25">
      <c r="A21" s="1209" t="s">
        <v>921</v>
      </c>
      <c r="B21" s="1004">
        <f t="shared" si="0"/>
        <v>65240380</v>
      </c>
      <c r="C21" s="1005">
        <f>22670000+14880000+17360000</f>
        <v>54910000</v>
      </c>
      <c r="D21" s="1005">
        <f>31762000-4071620-17360000</f>
        <v>10330380</v>
      </c>
      <c r="E21" s="1006"/>
    </row>
    <row r="22" spans="1:5" ht="13.5" thickBot="1" x14ac:dyDescent="0.25">
      <c r="A22" s="1210" t="s">
        <v>97</v>
      </c>
      <c r="B22" s="1002">
        <f>SUM(B17:B21)</f>
        <v>142167092</v>
      </c>
      <c r="C22" s="1002">
        <f>SUM(C17:C21)</f>
        <v>127239213</v>
      </c>
      <c r="D22" s="1002">
        <f>SUM(D17:D21)</f>
        <v>14927879</v>
      </c>
      <c r="E22" s="1003">
        <f>SUM(E17:E21)</f>
        <v>0</v>
      </c>
    </row>
    <row r="23" spans="1:5" x14ac:dyDescent="0.2">
      <c r="A23" s="993"/>
      <c r="B23" s="993"/>
      <c r="C23" s="993"/>
      <c r="D23" s="993"/>
      <c r="E23" s="993"/>
    </row>
    <row r="24" spans="1:5" ht="14.25" customHeight="1" x14ac:dyDescent="0.2">
      <c r="A24" s="1274" t="s">
        <v>923</v>
      </c>
      <c r="B24" s="1274"/>
      <c r="C24" s="1274"/>
      <c r="D24" s="1274"/>
      <c r="E24" s="1274"/>
    </row>
    <row r="25" spans="1:5" ht="15.75" thickBot="1" x14ac:dyDescent="0.25">
      <c r="A25" s="987"/>
      <c r="B25" s="987"/>
      <c r="C25" s="987"/>
      <c r="D25" s="987"/>
      <c r="E25" s="989" t="s">
        <v>489</v>
      </c>
    </row>
    <row r="26" spans="1:5" ht="13.5" thickBot="1" x14ac:dyDescent="0.25">
      <c r="A26" s="1255" t="s">
        <v>512</v>
      </c>
      <c r="B26" s="1258" t="s">
        <v>915</v>
      </c>
      <c r="C26" s="1259"/>
      <c r="D26" s="1259"/>
      <c r="E26" s="1260"/>
    </row>
    <row r="27" spans="1:5" ht="13.5" thickBot="1" x14ac:dyDescent="0.25">
      <c r="A27" s="1256"/>
      <c r="B27" s="1261" t="str">
        <f>B7</f>
        <v>A projektre jóváhagyott összes
 bevétel, kiadás</v>
      </c>
      <c r="C27" s="1264" t="s">
        <v>916</v>
      </c>
      <c r="D27" s="1265"/>
      <c r="E27" s="1266"/>
    </row>
    <row r="28" spans="1:5" ht="12.75" customHeight="1" x14ac:dyDescent="0.2">
      <c r="A28" s="1256"/>
      <c r="B28" s="1262"/>
      <c r="C28" s="1261" t="str">
        <f>CONCATENATE(ALAPADATOK!$D$7," előttre ütemezett bevétel, kiadás")</f>
        <v>2023. előttre ütemezett bevétel, kiadás</v>
      </c>
      <c r="D28" s="1261" t="str">
        <f>CONCATENATE(ALAPADATOK!$D$7," évre ütemezett bevétel, kiadás")</f>
        <v>2023. évre ütemezett bevétel, kiadás</v>
      </c>
      <c r="E28" s="1261" t="str">
        <f>CONCATENATE(ALAPADATOK!$D$7," utánra ütemezett bevétel, kiadás")</f>
        <v>2023. utánra ütemezett bevétel, kiadás</v>
      </c>
    </row>
    <row r="29" spans="1:5" ht="13.5" thickBot="1" x14ac:dyDescent="0.25">
      <c r="A29" s="1257"/>
      <c r="B29" s="1263"/>
      <c r="C29" s="1267"/>
      <c r="D29" s="1267"/>
      <c r="E29" s="1268"/>
    </row>
    <row r="30" spans="1:5" ht="13.5" thickBot="1" x14ac:dyDescent="0.25">
      <c r="A30" s="1202" t="s">
        <v>382</v>
      </c>
      <c r="B30" s="990" t="s">
        <v>917</v>
      </c>
      <c r="C30" s="991" t="s">
        <v>384</v>
      </c>
      <c r="D30" s="988" t="s">
        <v>434</v>
      </c>
      <c r="E30" s="992" t="s">
        <v>435</v>
      </c>
    </row>
    <row r="31" spans="1:5" x14ac:dyDescent="0.2">
      <c r="A31" s="1203" t="s">
        <v>513</v>
      </c>
      <c r="B31" s="995">
        <f>C31+D31+E31</f>
        <v>3091787</v>
      </c>
      <c r="C31" s="996"/>
      <c r="D31" s="996">
        <f>2038794+302601+161965+50000+120000+254000+104424+60003</f>
        <v>3091787</v>
      </c>
      <c r="E31" s="997"/>
    </row>
    <row r="32" spans="1:5" x14ac:dyDescent="0.2">
      <c r="A32" s="1204" t="s">
        <v>514</v>
      </c>
      <c r="B32" s="998">
        <f>C32+D32+E32</f>
        <v>0</v>
      </c>
      <c r="C32" s="999"/>
      <c r="D32" s="999"/>
      <c r="E32" s="999"/>
    </row>
    <row r="33" spans="1:5" x14ac:dyDescent="0.2">
      <c r="A33" s="1205" t="s">
        <v>918</v>
      </c>
      <c r="B33" s="1000">
        <f>C33+D33+E33</f>
        <v>446705578</v>
      </c>
      <c r="C33" s="1001">
        <f>363618656+83086922</f>
        <v>446705578</v>
      </c>
      <c r="D33" s="1001"/>
      <c r="E33" s="1001"/>
    </row>
    <row r="34" spans="1:5" x14ac:dyDescent="0.2">
      <c r="A34" s="1205" t="s">
        <v>109</v>
      </c>
      <c r="B34" s="1000">
        <f>C34+D34+E34</f>
        <v>0</v>
      </c>
      <c r="C34" s="1001"/>
      <c r="D34" s="1001"/>
      <c r="E34" s="1001"/>
    </row>
    <row r="35" spans="1:5" ht="13.5" thickBot="1" x14ac:dyDescent="0.25">
      <c r="A35" s="1205" t="s">
        <v>515</v>
      </c>
      <c r="B35" s="1000">
        <f>C35+D35+E35</f>
        <v>243600</v>
      </c>
      <c r="C35" s="1001">
        <v>243600</v>
      </c>
      <c r="D35" s="1001"/>
      <c r="E35" s="1001"/>
    </row>
    <row r="36" spans="1:5" ht="13.5" thickBot="1" x14ac:dyDescent="0.25">
      <c r="A36" s="1206" t="s">
        <v>516</v>
      </c>
      <c r="B36" s="1002">
        <f>B31+SUM(B33:B35)</f>
        <v>450040965</v>
      </c>
      <c r="C36" s="1002">
        <f>C31+SUM(C33:C35)</f>
        <v>446949178</v>
      </c>
      <c r="D36" s="1002">
        <f>D31+SUM(D33:D35)</f>
        <v>3091787</v>
      </c>
      <c r="E36" s="1003">
        <f>E31+SUM(E33:E35)</f>
        <v>0</v>
      </c>
    </row>
    <row r="37" spans="1:5" x14ac:dyDescent="0.2">
      <c r="A37" s="1207" t="s">
        <v>517</v>
      </c>
      <c r="B37" s="995">
        <f>C37+D37+E37</f>
        <v>0</v>
      </c>
      <c r="C37" s="996"/>
      <c r="D37" s="996"/>
      <c r="E37" s="997"/>
    </row>
    <row r="38" spans="1:5" x14ac:dyDescent="0.2">
      <c r="A38" s="1208" t="s">
        <v>518</v>
      </c>
      <c r="B38" s="1000">
        <f>C38+D38+E38</f>
        <v>368656673</v>
      </c>
      <c r="C38" s="1001">
        <f>14306979+265947451</f>
        <v>280254430</v>
      </c>
      <c r="D38" s="1001">
        <f>277448345+60422773+16314149-265947451+164427</f>
        <v>88402243</v>
      </c>
      <c r="E38" s="1001"/>
    </row>
    <row r="39" spans="1:5" x14ac:dyDescent="0.2">
      <c r="A39" s="1208" t="s">
        <v>519</v>
      </c>
      <c r="B39" s="1000">
        <f>C39+D39+E39</f>
        <v>81384292</v>
      </c>
      <c r="C39" s="1001">
        <f>73954556+4937562</f>
        <v>78892118</v>
      </c>
      <c r="D39" s="1001">
        <f>6843771+161965+50000+120000-4937562+254000</f>
        <v>2492174</v>
      </c>
      <c r="E39" s="1001"/>
    </row>
    <row r="40" spans="1:5" x14ac:dyDescent="0.2">
      <c r="A40" s="1208" t="s">
        <v>520</v>
      </c>
      <c r="B40" s="1000">
        <f>C40+D40+E40</f>
        <v>0</v>
      </c>
      <c r="C40" s="1001"/>
      <c r="D40" s="1001"/>
      <c r="E40" s="1001"/>
    </row>
    <row r="41" spans="1:5" ht="13.5" thickBot="1" x14ac:dyDescent="0.25">
      <c r="A41" s="1209" t="s">
        <v>521</v>
      </c>
      <c r="B41" s="1004">
        <f>C41+D41+E41</f>
        <v>0</v>
      </c>
      <c r="C41" s="1005"/>
      <c r="D41" s="1005"/>
      <c r="E41" s="1006"/>
    </row>
    <row r="42" spans="1:5" ht="13.5" thickBot="1" x14ac:dyDescent="0.25">
      <c r="A42" s="1210" t="s">
        <v>97</v>
      </c>
      <c r="B42" s="1002">
        <f>SUM(B37:B41)</f>
        <v>450040965</v>
      </c>
      <c r="C42" s="1002">
        <f>SUM(C37:C41)</f>
        <v>359146548</v>
      </c>
      <c r="D42" s="1002">
        <f>SUM(D37:D41)</f>
        <v>90894417</v>
      </c>
      <c r="E42" s="1003">
        <f>SUM(E37:E41)</f>
        <v>0</v>
      </c>
    </row>
    <row r="43" spans="1:5" x14ac:dyDescent="0.2">
      <c r="A43" s="1007"/>
      <c r="B43" s="1007"/>
      <c r="C43" s="1007"/>
      <c r="D43" s="1007"/>
      <c r="E43" s="1007"/>
    </row>
    <row r="44" spans="1:5" ht="14.25" customHeight="1" x14ac:dyDescent="0.2">
      <c r="A44" s="1273" t="s">
        <v>924</v>
      </c>
      <c r="B44" s="1273"/>
      <c r="C44" s="1273"/>
      <c r="D44" s="1273"/>
      <c r="E44" s="1273"/>
    </row>
    <row r="45" spans="1:5" ht="15.75" thickBot="1" x14ac:dyDescent="0.25">
      <c r="A45" s="987"/>
      <c r="B45" s="987"/>
      <c r="C45" s="987"/>
      <c r="D45" s="987"/>
      <c r="E45" s="989" t="s">
        <v>489</v>
      </c>
    </row>
    <row r="46" spans="1:5" ht="13.5" thickBot="1" x14ac:dyDescent="0.25">
      <c r="A46" s="1255" t="s">
        <v>512</v>
      </c>
      <c r="B46" s="1258" t="s">
        <v>915</v>
      </c>
      <c r="C46" s="1259"/>
      <c r="D46" s="1259"/>
      <c r="E46" s="1260"/>
    </row>
    <row r="47" spans="1:5" ht="13.5" thickBot="1" x14ac:dyDescent="0.25">
      <c r="A47" s="1256"/>
      <c r="B47" s="1261" t="str">
        <f>B27</f>
        <v>A projektre jóváhagyott összes
 bevétel, kiadás</v>
      </c>
      <c r="C47" s="1264" t="s">
        <v>916</v>
      </c>
      <c r="D47" s="1265"/>
      <c r="E47" s="1266"/>
    </row>
    <row r="48" spans="1:5" ht="12.75" customHeight="1" x14ac:dyDescent="0.2">
      <c r="A48" s="1256"/>
      <c r="B48" s="1262"/>
      <c r="C48" s="1261" t="str">
        <f>CONCATENATE(ALAPADATOK!$D$7," előttre ütemezett bevétel, kiadás")</f>
        <v>2023. előttre ütemezett bevétel, kiadás</v>
      </c>
      <c r="D48" s="1261" t="str">
        <f>CONCATENATE(ALAPADATOK!$D$7," évre ütemezett bevétel, kiadás")</f>
        <v>2023. évre ütemezett bevétel, kiadás</v>
      </c>
      <c r="E48" s="1261" t="str">
        <f>CONCATENATE(ALAPADATOK!$D$7," utánra ütemezett bevétel, kiadás")</f>
        <v>2023. utánra ütemezett bevétel, kiadás</v>
      </c>
    </row>
    <row r="49" spans="1:5" ht="13.5" thickBot="1" x14ac:dyDescent="0.25">
      <c r="A49" s="1257"/>
      <c r="B49" s="1263"/>
      <c r="C49" s="1267"/>
      <c r="D49" s="1267"/>
      <c r="E49" s="1268"/>
    </row>
    <row r="50" spans="1:5" ht="13.5" thickBot="1" x14ac:dyDescent="0.25">
      <c r="A50" s="1202" t="s">
        <v>382</v>
      </c>
      <c r="B50" s="990" t="s">
        <v>917</v>
      </c>
      <c r="C50" s="991" t="s">
        <v>384</v>
      </c>
      <c r="D50" s="988" t="s">
        <v>434</v>
      </c>
      <c r="E50" s="992" t="s">
        <v>435</v>
      </c>
    </row>
    <row r="51" spans="1:5" x14ac:dyDescent="0.2">
      <c r="A51" s="1203" t="s">
        <v>513</v>
      </c>
      <c r="B51" s="995">
        <f>C51+D51+E51</f>
        <v>2941747</v>
      </c>
      <c r="C51" s="996"/>
      <c r="D51" s="996">
        <f>885800+610800+850800+200000+254000+56037+84310</f>
        <v>2941747</v>
      </c>
      <c r="E51" s="997"/>
    </row>
    <row r="52" spans="1:5" x14ac:dyDescent="0.2">
      <c r="A52" s="1204" t="s">
        <v>514</v>
      </c>
      <c r="B52" s="998">
        <f>C52+D52+E52</f>
        <v>0</v>
      </c>
      <c r="C52" s="999"/>
      <c r="D52" s="999"/>
      <c r="E52" s="999"/>
    </row>
    <row r="53" spans="1:5" x14ac:dyDescent="0.2">
      <c r="A53" s="1205" t="s">
        <v>918</v>
      </c>
      <c r="B53" s="1000">
        <f>C53+D53+E53</f>
        <v>192258856</v>
      </c>
      <c r="C53" s="1001">
        <v>168611550</v>
      </c>
      <c r="D53" s="1001">
        <v>23647306</v>
      </c>
      <c r="E53" s="1001"/>
    </row>
    <row r="54" spans="1:5" x14ac:dyDescent="0.2">
      <c r="A54" s="1205" t="s">
        <v>109</v>
      </c>
      <c r="B54" s="1000">
        <f>C54+D54+E54</f>
        <v>0</v>
      </c>
      <c r="C54" s="1001"/>
      <c r="D54" s="1001"/>
      <c r="E54" s="1001"/>
    </row>
    <row r="55" spans="1:5" ht="13.5" thickBot="1" x14ac:dyDescent="0.25">
      <c r="A55" s="1205" t="s">
        <v>515</v>
      </c>
      <c r="B55" s="1000">
        <f>C55+D55+E55</f>
        <v>0</v>
      </c>
      <c r="C55" s="1001"/>
      <c r="D55" s="1001"/>
      <c r="E55" s="1001"/>
    </row>
    <row r="56" spans="1:5" ht="13.5" thickBot="1" x14ac:dyDescent="0.25">
      <c r="A56" s="1206" t="s">
        <v>516</v>
      </c>
      <c r="B56" s="1002">
        <f>B51+SUM(B53:B55)</f>
        <v>195200603</v>
      </c>
      <c r="C56" s="1002">
        <f>C51+SUM(C53:C55)</f>
        <v>168611550</v>
      </c>
      <c r="D56" s="1002">
        <f>D51+SUM(D53:D55)</f>
        <v>26589053</v>
      </c>
      <c r="E56" s="1003">
        <f>E51+SUM(E53:E55)</f>
        <v>0</v>
      </c>
    </row>
    <row r="57" spans="1:5" x14ac:dyDescent="0.2">
      <c r="A57" s="1207" t="s">
        <v>517</v>
      </c>
      <c r="B57" s="995">
        <f t="shared" ref="B57:B62" si="1">C57+D57+E57</f>
        <v>0</v>
      </c>
      <c r="C57" s="996"/>
      <c r="D57" s="996"/>
      <c r="E57" s="997"/>
    </row>
    <row r="58" spans="1:5" x14ac:dyDescent="0.2">
      <c r="A58" s="1208" t="s">
        <v>518</v>
      </c>
      <c r="B58" s="1000">
        <f t="shared" si="1"/>
        <v>173731535</v>
      </c>
      <c r="C58" s="1001">
        <f>8103000+370000</f>
        <v>8473000</v>
      </c>
      <c r="D58" s="1217">
        <f>149722828+56037+15479670</f>
        <v>165258535</v>
      </c>
      <c r="E58" s="1001"/>
    </row>
    <row r="59" spans="1:5" x14ac:dyDescent="0.2">
      <c r="A59" s="1208" t="s">
        <v>519</v>
      </c>
      <c r="B59" s="1000">
        <f t="shared" si="1"/>
        <v>10744330</v>
      </c>
      <c r="C59" s="1001">
        <f>4702725+1853585</f>
        <v>6556310</v>
      </c>
      <c r="D59" s="1001">
        <f>4041695+610800+850800+200000-1853585+254000+84310</f>
        <v>4188020</v>
      </c>
      <c r="E59" s="1001"/>
    </row>
    <row r="60" spans="1:5" x14ac:dyDescent="0.2">
      <c r="A60" s="1208" t="s">
        <v>520</v>
      </c>
      <c r="B60" s="1000">
        <f t="shared" si="1"/>
        <v>0</v>
      </c>
      <c r="C60" s="1001"/>
      <c r="D60" s="1001"/>
      <c r="E60" s="1001"/>
    </row>
    <row r="61" spans="1:5" x14ac:dyDescent="0.2">
      <c r="A61" s="1211" t="s">
        <v>521</v>
      </c>
      <c r="B61" s="1000">
        <f t="shared" si="1"/>
        <v>0</v>
      </c>
      <c r="C61" s="1005"/>
      <c r="D61" s="1005">
        <v>0</v>
      </c>
      <c r="E61" s="1005"/>
    </row>
    <row r="62" spans="1:5" ht="13.5" thickBot="1" x14ac:dyDescent="0.25">
      <c r="A62" s="1209" t="s">
        <v>920</v>
      </c>
      <c r="B62" s="1004">
        <f t="shared" si="1"/>
        <v>10724738</v>
      </c>
      <c r="C62" s="1005"/>
      <c r="D62" s="1398">
        <f>26204408-15479670</f>
        <v>10724738</v>
      </c>
      <c r="E62" s="1006"/>
    </row>
    <row r="63" spans="1:5" ht="13.5" thickBot="1" x14ac:dyDescent="0.25">
      <c r="A63" s="1210" t="s">
        <v>97</v>
      </c>
      <c r="B63" s="1002">
        <f>SUM(B57:B62)</f>
        <v>195200603</v>
      </c>
      <c r="C63" s="1002">
        <f>SUM(C57:C62)</f>
        <v>15029310</v>
      </c>
      <c r="D63" s="1002">
        <f>SUM(D57:D62)</f>
        <v>180171293</v>
      </c>
      <c r="E63" s="1003">
        <f>SUM(E57:E62)</f>
        <v>0</v>
      </c>
    </row>
    <row r="64" spans="1:5" x14ac:dyDescent="0.2">
      <c r="A64" s="994"/>
      <c r="B64" s="994"/>
      <c r="C64" s="994"/>
      <c r="D64" s="994"/>
      <c r="E64" s="994"/>
    </row>
    <row r="65" spans="1:5" ht="14.25" x14ac:dyDescent="0.2">
      <c r="A65" s="1269" t="s">
        <v>925</v>
      </c>
      <c r="B65" s="1269"/>
      <c r="C65" s="1269"/>
      <c r="D65" s="1269"/>
      <c r="E65" s="1269"/>
    </row>
    <row r="66" spans="1:5" ht="15.75" thickBot="1" x14ac:dyDescent="0.25">
      <c r="A66" s="987"/>
      <c r="B66" s="987"/>
      <c r="C66" s="987"/>
      <c r="D66" s="987"/>
      <c r="E66" s="989" t="s">
        <v>489</v>
      </c>
    </row>
    <row r="67" spans="1:5" x14ac:dyDescent="0.2">
      <c r="A67" s="1255" t="s">
        <v>512</v>
      </c>
      <c r="B67" s="1258" t="s">
        <v>915</v>
      </c>
      <c r="C67" s="1259"/>
      <c r="D67" s="1259"/>
      <c r="E67" s="1260"/>
    </row>
    <row r="68" spans="1:5" ht="13.5" thickBot="1" x14ac:dyDescent="0.25">
      <c r="A68" s="1256"/>
      <c r="B68" s="1261" t="str">
        <f>B47</f>
        <v>A projektre jóváhagyott összes
 bevétel, kiadás</v>
      </c>
      <c r="C68" s="1264" t="s">
        <v>916</v>
      </c>
      <c r="D68" s="1265"/>
      <c r="E68" s="1266"/>
    </row>
    <row r="69" spans="1:5" ht="12.75" customHeight="1" x14ac:dyDescent="0.2">
      <c r="A69" s="1256"/>
      <c r="B69" s="1262"/>
      <c r="C69" s="1261" t="str">
        <f>CONCATENATE(ALAPADATOK!$D$7," előttre ütemezett bevétel, kiadás")</f>
        <v>2023. előttre ütemezett bevétel, kiadás</v>
      </c>
      <c r="D69" s="1261" t="str">
        <f>CONCATENATE(ALAPADATOK!$D$7," évre ütemezett bevétel, kiadás")</f>
        <v>2023. évre ütemezett bevétel, kiadás</v>
      </c>
      <c r="E69" s="1261" t="str">
        <f>CONCATENATE(ALAPADATOK!$D$7," utánra ütemezett bevétel, kiadás")</f>
        <v>2023. utánra ütemezett bevétel, kiadás</v>
      </c>
    </row>
    <row r="70" spans="1:5" ht="13.5" thickBot="1" x14ac:dyDescent="0.25">
      <c r="A70" s="1257"/>
      <c r="B70" s="1263"/>
      <c r="C70" s="1267"/>
      <c r="D70" s="1267"/>
      <c r="E70" s="1268"/>
    </row>
    <row r="71" spans="1:5" ht="13.5" thickBot="1" x14ac:dyDescent="0.25">
      <c r="A71" s="1202" t="s">
        <v>382</v>
      </c>
      <c r="B71" s="990" t="s">
        <v>917</v>
      </c>
      <c r="C71" s="991" t="s">
        <v>384</v>
      </c>
      <c r="D71" s="988" t="s">
        <v>434</v>
      </c>
      <c r="E71" s="992" t="s">
        <v>435</v>
      </c>
    </row>
    <row r="72" spans="1:5" x14ac:dyDescent="0.2">
      <c r="A72" s="1203" t="s">
        <v>513</v>
      </c>
      <c r="B72" s="995">
        <f>C72+D72+E72</f>
        <v>55616</v>
      </c>
      <c r="C72" s="996">
        <v>50000</v>
      </c>
      <c r="D72" s="996">
        <v>5616</v>
      </c>
      <c r="E72" s="997"/>
    </row>
    <row r="73" spans="1:5" x14ac:dyDescent="0.2">
      <c r="A73" s="1204" t="s">
        <v>514</v>
      </c>
      <c r="B73" s="998">
        <f>C73+D73+E73</f>
        <v>0</v>
      </c>
      <c r="C73" s="999"/>
      <c r="D73" s="999"/>
      <c r="E73" s="999"/>
    </row>
    <row r="74" spans="1:5" x14ac:dyDescent="0.2">
      <c r="A74" s="1205" t="s">
        <v>918</v>
      </c>
      <c r="B74" s="1000">
        <f>C74+D74+E74</f>
        <v>236673075</v>
      </c>
      <c r="C74" s="1001">
        <f>114194760+4141777</f>
        <v>118336537</v>
      </c>
      <c r="D74" s="1001">
        <f>236673075-114194760-4141777</f>
        <v>118336538</v>
      </c>
      <c r="E74" s="1001"/>
    </row>
    <row r="75" spans="1:5" x14ac:dyDescent="0.2">
      <c r="A75" s="1205" t="s">
        <v>109</v>
      </c>
      <c r="B75" s="1000">
        <f>C75+D75+E75</f>
        <v>0</v>
      </c>
      <c r="C75" s="1001"/>
      <c r="D75" s="1001"/>
      <c r="E75" s="1001"/>
    </row>
    <row r="76" spans="1:5" ht="13.5" thickBot="1" x14ac:dyDescent="0.25">
      <c r="A76" s="1205" t="s">
        <v>515</v>
      </c>
      <c r="B76" s="1000">
        <f>C76+D76+E76</f>
        <v>12456775</v>
      </c>
      <c r="C76" s="1001">
        <v>12456775</v>
      </c>
      <c r="D76" s="1001">
        <v>0</v>
      </c>
      <c r="E76" s="1001"/>
    </row>
    <row r="77" spans="1:5" ht="13.5" thickBot="1" x14ac:dyDescent="0.25">
      <c r="A77" s="1206" t="s">
        <v>516</v>
      </c>
      <c r="B77" s="1002">
        <f>B72+SUM(B74:B76)</f>
        <v>249185466</v>
      </c>
      <c r="C77" s="1002">
        <f>C72+SUM(C74:C76)</f>
        <v>130843312</v>
      </c>
      <c r="D77" s="1002">
        <f>D72+SUM(D74:D76)</f>
        <v>118342154</v>
      </c>
      <c r="E77" s="1003">
        <f>E72+SUM(E74:E76)</f>
        <v>0</v>
      </c>
    </row>
    <row r="78" spans="1:5" x14ac:dyDescent="0.2">
      <c r="A78" s="1207" t="s">
        <v>517</v>
      </c>
      <c r="B78" s="995">
        <f>C78+D78+E78</f>
        <v>0</v>
      </c>
      <c r="C78" s="996"/>
      <c r="D78" s="996"/>
      <c r="E78" s="997"/>
    </row>
    <row r="79" spans="1:5" x14ac:dyDescent="0.2">
      <c r="A79" s="1208" t="s">
        <v>518</v>
      </c>
      <c r="B79" s="1000">
        <f>C79+D79+E79</f>
        <v>240388935</v>
      </c>
      <c r="C79" s="1001">
        <f>1245677+2489200</f>
        <v>3734877</v>
      </c>
      <c r="D79" s="1001">
        <f>239164381+5908-2489200-27031</f>
        <v>236654058</v>
      </c>
      <c r="E79" s="1001"/>
    </row>
    <row r="80" spans="1:5" x14ac:dyDescent="0.2">
      <c r="A80" s="1208" t="s">
        <v>519</v>
      </c>
      <c r="B80" s="1000">
        <f>C80+D80+E80</f>
        <v>8796531</v>
      </c>
      <c r="C80" s="1001">
        <v>2546800</v>
      </c>
      <c r="D80" s="1001">
        <v>6249731</v>
      </c>
      <c r="E80" s="1001"/>
    </row>
    <row r="81" spans="1:5" x14ac:dyDescent="0.2">
      <c r="A81" s="1208" t="s">
        <v>520</v>
      </c>
      <c r="B81" s="1000">
        <f>C81+D81+E81</f>
        <v>0</v>
      </c>
      <c r="C81" s="1001"/>
      <c r="D81" s="1001"/>
      <c r="E81" s="1001"/>
    </row>
    <row r="82" spans="1:5" ht="13.5" thickBot="1" x14ac:dyDescent="0.25">
      <c r="A82" s="1209"/>
      <c r="B82" s="1004">
        <f>C82+D82+E82</f>
        <v>0</v>
      </c>
      <c r="C82" s="1005"/>
      <c r="D82" s="1005"/>
      <c r="E82" s="1006"/>
    </row>
    <row r="83" spans="1:5" ht="13.5" thickBot="1" x14ac:dyDescent="0.25">
      <c r="A83" s="1210" t="s">
        <v>97</v>
      </c>
      <c r="B83" s="1002">
        <f>SUM(B78:B82)</f>
        <v>249185466</v>
      </c>
      <c r="C83" s="1002">
        <f>SUM(C78:C82)</f>
        <v>6281677</v>
      </c>
      <c r="D83" s="1002">
        <f>SUM(D78:D82)</f>
        <v>242903789</v>
      </c>
      <c r="E83" s="1003">
        <f>SUM(E78:E82)</f>
        <v>0</v>
      </c>
    </row>
    <row r="84" spans="1:5" x14ac:dyDescent="0.2">
      <c r="A84" s="994"/>
      <c r="B84" s="994"/>
      <c r="C84" s="994"/>
      <c r="D84" s="994"/>
      <c r="E84" s="994"/>
    </row>
    <row r="85" spans="1:5" ht="14.25" x14ac:dyDescent="0.2">
      <c r="A85" s="1269" t="s">
        <v>1060</v>
      </c>
      <c r="B85" s="1269"/>
      <c r="C85" s="1269"/>
      <c r="D85" s="1269"/>
      <c r="E85" s="1269"/>
    </row>
    <row r="86" spans="1:5" ht="15.75" thickBot="1" x14ac:dyDescent="0.25">
      <c r="A86" s="987"/>
      <c r="B86" s="987"/>
      <c r="C86" s="987"/>
      <c r="D86" s="987"/>
      <c r="E86" s="989" t="s">
        <v>489</v>
      </c>
    </row>
    <row r="87" spans="1:5" ht="13.5" thickBot="1" x14ac:dyDescent="0.25">
      <c r="A87" s="1255" t="s">
        <v>512</v>
      </c>
      <c r="B87" s="1258" t="s">
        <v>915</v>
      </c>
      <c r="C87" s="1259"/>
      <c r="D87" s="1259"/>
      <c r="E87" s="1260"/>
    </row>
    <row r="88" spans="1:5" ht="13.5" thickBot="1" x14ac:dyDescent="0.25">
      <c r="A88" s="1256"/>
      <c r="B88" s="1261" t="str">
        <f>B68</f>
        <v>A projektre jóváhagyott összes
 bevétel, kiadás</v>
      </c>
      <c r="C88" s="1264" t="s">
        <v>916</v>
      </c>
      <c r="D88" s="1265"/>
      <c r="E88" s="1266"/>
    </row>
    <row r="89" spans="1:5" x14ac:dyDescent="0.2">
      <c r="A89" s="1256"/>
      <c r="B89" s="1262"/>
      <c r="C89" s="1261" t="str">
        <f>CONCATENATE(ALAPADATOK!$D$7," előttre ütemezett bevétel, kiadás")</f>
        <v>2023. előttre ütemezett bevétel, kiadás</v>
      </c>
      <c r="D89" s="1261" t="str">
        <f>CONCATENATE(ALAPADATOK!$D$7," évre ütemezett bevétel, kiadás")</f>
        <v>2023. évre ütemezett bevétel, kiadás</v>
      </c>
      <c r="E89" s="1261" t="str">
        <f>CONCATENATE(ALAPADATOK!$D$7," utánra ütemezett bevétel, kiadás")</f>
        <v>2023. utánra ütemezett bevétel, kiadás</v>
      </c>
    </row>
    <row r="90" spans="1:5" ht="13.5" thickBot="1" x14ac:dyDescent="0.25">
      <c r="A90" s="1257"/>
      <c r="B90" s="1263"/>
      <c r="C90" s="1267"/>
      <c r="D90" s="1267"/>
      <c r="E90" s="1268"/>
    </row>
    <row r="91" spans="1:5" ht="13.5" thickBot="1" x14ac:dyDescent="0.25">
      <c r="A91" s="1202" t="s">
        <v>382</v>
      </c>
      <c r="B91" s="990" t="s">
        <v>917</v>
      </c>
      <c r="C91" s="991" t="s">
        <v>384</v>
      </c>
      <c r="D91" s="988" t="s">
        <v>434</v>
      </c>
      <c r="E91" s="992" t="s">
        <v>435</v>
      </c>
    </row>
    <row r="92" spans="1:5" x14ac:dyDescent="0.2">
      <c r="A92" s="1203" t="s">
        <v>513</v>
      </c>
      <c r="B92" s="995">
        <f>C92+D92+E92</f>
        <v>0</v>
      </c>
      <c r="C92" s="996"/>
      <c r="D92" s="996"/>
      <c r="E92" s="997"/>
    </row>
    <row r="93" spans="1:5" x14ac:dyDescent="0.2">
      <c r="A93" s="1204" t="s">
        <v>514</v>
      </c>
      <c r="B93" s="998">
        <f>C93+D93+E93</f>
        <v>0</v>
      </c>
      <c r="C93" s="999"/>
      <c r="D93" s="999"/>
      <c r="E93" s="999"/>
    </row>
    <row r="94" spans="1:5" x14ac:dyDescent="0.2">
      <c r="A94" s="1205" t="s">
        <v>918</v>
      </c>
      <c r="B94" s="1000">
        <f>C94+D94+E94</f>
        <v>174999035</v>
      </c>
      <c r="C94" s="1001">
        <v>100247065</v>
      </c>
      <c r="D94" s="1001">
        <f>174999035-100247065</f>
        <v>74751970</v>
      </c>
      <c r="E94" s="1001"/>
    </row>
    <row r="95" spans="1:5" x14ac:dyDescent="0.2">
      <c r="A95" s="1205" t="s">
        <v>109</v>
      </c>
      <c r="B95" s="1000">
        <f>C95+D95+E95</f>
        <v>0</v>
      </c>
      <c r="C95" s="1001"/>
      <c r="D95" s="1001"/>
      <c r="E95" s="1001"/>
    </row>
    <row r="96" spans="1:5" ht="13.5" thickBot="1" x14ac:dyDescent="0.25">
      <c r="A96" s="1205" t="s">
        <v>515</v>
      </c>
      <c r="B96" s="1000">
        <f>C96+D96+E96</f>
        <v>0</v>
      </c>
      <c r="C96" s="1001"/>
      <c r="D96" s="1001"/>
      <c r="E96" s="1001"/>
    </row>
    <row r="97" spans="1:5" ht="13.5" thickBot="1" x14ac:dyDescent="0.25">
      <c r="A97" s="1206" t="s">
        <v>516</v>
      </c>
      <c r="B97" s="1091">
        <f>B92+SUM(B94:B96)</f>
        <v>174999035</v>
      </c>
      <c r="C97" s="1091">
        <f>C92+SUM(C94:C96)</f>
        <v>100247065</v>
      </c>
      <c r="D97" s="1091">
        <f>D92+SUM(D94:D96)</f>
        <v>74751970</v>
      </c>
      <c r="E97" s="1003">
        <f>E92+SUM(E94:E96)</f>
        <v>0</v>
      </c>
    </row>
    <row r="98" spans="1:5" x14ac:dyDescent="0.2">
      <c r="A98" s="1207" t="s">
        <v>517</v>
      </c>
      <c r="B98" s="995">
        <f>C98+D98+E98</f>
        <v>1900001</v>
      </c>
      <c r="C98" s="996"/>
      <c r="D98" s="996">
        <f>1681417+218584</f>
        <v>1900001</v>
      </c>
      <c r="E98" s="997"/>
    </row>
    <row r="99" spans="1:5" x14ac:dyDescent="0.2">
      <c r="A99" s="1208" t="s">
        <v>518</v>
      </c>
      <c r="B99" s="1000">
        <f>C99+D99+E99</f>
        <v>137436248</v>
      </c>
      <c r="C99" s="1001">
        <f>3478023+939066+500000</f>
        <v>4917089</v>
      </c>
      <c r="D99" s="1001">
        <f>137436248-3478023-939066-500000</f>
        <v>132519159</v>
      </c>
      <c r="E99" s="1001"/>
    </row>
    <row r="100" spans="1:5" x14ac:dyDescent="0.2">
      <c r="A100" s="1208" t="s">
        <v>519</v>
      </c>
      <c r="B100" s="1000">
        <f>C100+D100+E100</f>
        <v>2200010</v>
      </c>
      <c r="C100" s="1001"/>
      <c r="D100" s="1001">
        <f>35662786-33462776</f>
        <v>2200010</v>
      </c>
      <c r="E100" s="1001"/>
    </row>
    <row r="101" spans="1:5" x14ac:dyDescent="0.2">
      <c r="A101" s="1208" t="s">
        <v>520</v>
      </c>
      <c r="B101" s="1000">
        <f>C101+D101+E101</f>
        <v>0</v>
      </c>
      <c r="C101" s="1001"/>
      <c r="D101" s="1001"/>
      <c r="E101" s="1001"/>
    </row>
    <row r="102" spans="1:5" ht="13.5" thickBot="1" x14ac:dyDescent="0.25">
      <c r="A102" s="1209" t="s">
        <v>920</v>
      </c>
      <c r="B102" s="1004">
        <f>C102+D102+E102</f>
        <v>33462776</v>
      </c>
      <c r="C102" s="1005"/>
      <c r="D102" s="1005">
        <v>33462776</v>
      </c>
      <c r="E102" s="1006"/>
    </row>
    <row r="103" spans="1:5" ht="13.5" thickBot="1" x14ac:dyDescent="0.25">
      <c r="A103" s="1210" t="s">
        <v>97</v>
      </c>
      <c r="B103" s="1091">
        <f>SUM(B98:B102)</f>
        <v>174999035</v>
      </c>
      <c r="C103" s="1091">
        <f>SUM(C98:C102)</f>
        <v>4917089</v>
      </c>
      <c r="D103" s="1091">
        <f>SUM(D98:D102)</f>
        <v>170081946</v>
      </c>
      <c r="E103" s="1003">
        <f>SUM(E98:E102)</f>
        <v>0</v>
      </c>
    </row>
    <row r="105" spans="1:5" ht="14.25" x14ac:dyDescent="0.2">
      <c r="A105" s="1269" t="s">
        <v>1061</v>
      </c>
      <c r="B105" s="1269"/>
      <c r="C105" s="1269"/>
      <c r="D105" s="1269"/>
      <c r="E105" s="1269"/>
    </row>
    <row r="106" spans="1:5" ht="15.75" thickBot="1" x14ac:dyDescent="0.25">
      <c r="A106" s="987"/>
      <c r="B106" s="987"/>
      <c r="C106" s="987"/>
      <c r="D106" s="987"/>
      <c r="E106" s="989" t="s">
        <v>489</v>
      </c>
    </row>
    <row r="107" spans="1:5" ht="13.5" thickBot="1" x14ac:dyDescent="0.25">
      <c r="A107" s="1255" t="s">
        <v>512</v>
      </c>
      <c r="B107" s="1258" t="s">
        <v>915</v>
      </c>
      <c r="C107" s="1259"/>
      <c r="D107" s="1259"/>
      <c r="E107" s="1260"/>
    </row>
    <row r="108" spans="1:5" ht="13.5" thickBot="1" x14ac:dyDescent="0.25">
      <c r="A108" s="1256"/>
      <c r="B108" s="1261" t="str">
        <f>B88</f>
        <v>A projektre jóváhagyott összes
 bevétel, kiadás</v>
      </c>
      <c r="C108" s="1264" t="s">
        <v>916</v>
      </c>
      <c r="D108" s="1265"/>
      <c r="E108" s="1266"/>
    </row>
    <row r="109" spans="1:5" x14ac:dyDescent="0.2">
      <c r="A109" s="1256"/>
      <c r="B109" s="1262"/>
      <c r="C109" s="1261" t="str">
        <f>CONCATENATE(ALAPADATOK!$D$7," előttre ütemezett bevétel, kiadás")</f>
        <v>2023. előttre ütemezett bevétel, kiadás</v>
      </c>
      <c r="D109" s="1261" t="str">
        <f>CONCATENATE(ALAPADATOK!$D$7," évre ütemezett bevétel, kiadás")</f>
        <v>2023. évre ütemezett bevétel, kiadás</v>
      </c>
      <c r="E109" s="1261" t="str">
        <f>CONCATENATE(ALAPADATOK!$D$7," utánra ütemezett bevétel, kiadás")</f>
        <v>2023. utánra ütemezett bevétel, kiadás</v>
      </c>
    </row>
    <row r="110" spans="1:5" ht="13.5" thickBot="1" x14ac:dyDescent="0.25">
      <c r="A110" s="1257"/>
      <c r="B110" s="1263"/>
      <c r="C110" s="1267"/>
      <c r="D110" s="1267"/>
      <c r="E110" s="1268"/>
    </row>
    <row r="111" spans="1:5" ht="13.5" thickBot="1" x14ac:dyDescent="0.25">
      <c r="A111" s="1202" t="s">
        <v>382</v>
      </c>
      <c r="B111" s="990" t="s">
        <v>917</v>
      </c>
      <c r="C111" s="991" t="s">
        <v>384</v>
      </c>
      <c r="D111" s="988" t="s">
        <v>434</v>
      </c>
      <c r="E111" s="992" t="s">
        <v>435</v>
      </c>
    </row>
    <row r="112" spans="1:5" x14ac:dyDescent="0.2">
      <c r="A112" s="1203" t="s">
        <v>513</v>
      </c>
      <c r="B112" s="995">
        <f>C112+D112+E112</f>
        <v>0</v>
      </c>
      <c r="C112" s="996"/>
      <c r="D112" s="996"/>
      <c r="E112" s="997"/>
    </row>
    <row r="113" spans="1:5" x14ac:dyDescent="0.2">
      <c r="A113" s="1204" t="s">
        <v>514</v>
      </c>
      <c r="B113" s="998">
        <f>C113+D113+E113</f>
        <v>0</v>
      </c>
      <c r="C113" s="999"/>
      <c r="D113" s="999"/>
      <c r="E113" s="999"/>
    </row>
    <row r="114" spans="1:5" x14ac:dyDescent="0.2">
      <c r="A114" s="1205" t="s">
        <v>918</v>
      </c>
      <c r="B114" s="1000">
        <f>C114+D114+E114</f>
        <v>420256132</v>
      </c>
      <c r="C114" s="1001">
        <v>413906132</v>
      </c>
      <c r="D114" s="1001"/>
      <c r="E114" s="1001">
        <v>6350000</v>
      </c>
    </row>
    <row r="115" spans="1:5" x14ac:dyDescent="0.2">
      <c r="A115" s="1205" t="s">
        <v>109</v>
      </c>
      <c r="B115" s="1000">
        <f>C115+D115+E115</f>
        <v>0</v>
      </c>
      <c r="C115" s="1001"/>
      <c r="D115" s="1001"/>
      <c r="E115" s="1001"/>
    </row>
    <row r="116" spans="1:5" ht="13.5" thickBot="1" x14ac:dyDescent="0.25">
      <c r="A116" s="1205" t="s">
        <v>515</v>
      </c>
      <c r="B116" s="1000">
        <f>C116+D116+E116</f>
        <v>0</v>
      </c>
      <c r="C116" s="1001"/>
      <c r="D116" s="1001"/>
      <c r="E116" s="1001"/>
    </row>
    <row r="117" spans="1:5" ht="13.5" thickBot="1" x14ac:dyDescent="0.25">
      <c r="A117" s="1206" t="s">
        <v>516</v>
      </c>
      <c r="B117" s="1002">
        <f>B112+SUM(B114:B116)</f>
        <v>420256132</v>
      </c>
      <c r="C117" s="1002">
        <f>C112+SUM(C114:C116)</f>
        <v>413906132</v>
      </c>
      <c r="D117" s="1002">
        <f>D112+SUM(D114:D116)</f>
        <v>0</v>
      </c>
      <c r="E117" s="1003">
        <f>E112+SUM(E114:E116)</f>
        <v>6350000</v>
      </c>
    </row>
    <row r="118" spans="1:5" x14ac:dyDescent="0.2">
      <c r="A118" s="1207" t="s">
        <v>517</v>
      </c>
      <c r="B118" s="1103">
        <f>C118+D118+E118</f>
        <v>0</v>
      </c>
      <c r="C118" s="1104"/>
      <c r="D118" s="1104"/>
      <c r="E118" s="997"/>
    </row>
    <row r="119" spans="1:5" x14ac:dyDescent="0.2">
      <c r="A119" s="1208" t="s">
        <v>518</v>
      </c>
      <c r="B119" s="1000">
        <f>C119+D119+E119</f>
        <v>396572740</v>
      </c>
      <c r="C119" s="1001">
        <f>11938000+480000</f>
        <v>12418000</v>
      </c>
      <c r="D119" s="1001">
        <f>46228000+350344740-11938000-480000</f>
        <v>384154740</v>
      </c>
      <c r="E119" s="1001"/>
    </row>
    <row r="120" spans="1:5" x14ac:dyDescent="0.2">
      <c r="A120" s="1208" t="s">
        <v>519</v>
      </c>
      <c r="B120" s="1000">
        <f>C120+D120+E120</f>
        <v>17333392</v>
      </c>
      <c r="C120" s="1001"/>
      <c r="D120" s="1001">
        <v>17333392</v>
      </c>
      <c r="E120" s="1001"/>
    </row>
    <row r="121" spans="1:5" x14ac:dyDescent="0.2">
      <c r="A121" s="1208" t="s">
        <v>520</v>
      </c>
      <c r="B121" s="1000">
        <f>C121+D121+E121</f>
        <v>0</v>
      </c>
      <c r="C121" s="1001"/>
      <c r="D121" s="1001"/>
      <c r="E121" s="1001"/>
    </row>
    <row r="122" spans="1:5" ht="13.5" thickBot="1" x14ac:dyDescent="0.25">
      <c r="A122" s="1209" t="s">
        <v>972</v>
      </c>
      <c r="B122" s="1004">
        <f>C122+D122+E122</f>
        <v>6350000</v>
      </c>
      <c r="C122" s="1107"/>
      <c r="D122" s="1107"/>
      <c r="E122" s="1006">
        <v>6350000</v>
      </c>
    </row>
    <row r="123" spans="1:5" ht="13.5" thickBot="1" x14ac:dyDescent="0.25">
      <c r="A123" s="1210" t="s">
        <v>97</v>
      </c>
      <c r="B123" s="1002">
        <f>SUM(B118:B122)</f>
        <v>420256132</v>
      </c>
      <c r="C123" s="1002">
        <f>SUM(C118:C122)</f>
        <v>12418000</v>
      </c>
      <c r="D123" s="1002">
        <f>SUM(D118:D122)</f>
        <v>401488132</v>
      </c>
      <c r="E123" s="1003">
        <f>SUM(E118:E122)</f>
        <v>6350000</v>
      </c>
    </row>
    <row r="125" spans="1:5" ht="30.75" customHeight="1" x14ac:dyDescent="0.2">
      <c r="A125" s="1269" t="s">
        <v>1062</v>
      </c>
      <c r="B125" s="1269"/>
      <c r="C125" s="1269"/>
      <c r="D125" s="1269"/>
      <c r="E125" s="1269"/>
    </row>
    <row r="126" spans="1:5" ht="15.75" thickBot="1" x14ac:dyDescent="0.25">
      <c r="A126" s="987"/>
      <c r="B126" s="987"/>
      <c r="C126" s="987"/>
      <c r="D126" s="987"/>
      <c r="E126" s="989" t="s">
        <v>489</v>
      </c>
    </row>
    <row r="127" spans="1:5" ht="13.5" thickBot="1" x14ac:dyDescent="0.25">
      <c r="A127" s="1255" t="s">
        <v>512</v>
      </c>
      <c r="B127" s="1258" t="s">
        <v>915</v>
      </c>
      <c r="C127" s="1259"/>
      <c r="D127" s="1259"/>
      <c r="E127" s="1260"/>
    </row>
    <row r="128" spans="1:5" ht="13.5" thickBot="1" x14ac:dyDescent="0.25">
      <c r="A128" s="1256"/>
      <c r="B128" s="1261" t="str">
        <f>B108</f>
        <v>A projektre jóváhagyott összes
 bevétel, kiadás</v>
      </c>
      <c r="C128" s="1264" t="s">
        <v>916</v>
      </c>
      <c r="D128" s="1265"/>
      <c r="E128" s="1266"/>
    </row>
    <row r="129" spans="1:5" x14ac:dyDescent="0.2">
      <c r="A129" s="1256"/>
      <c r="B129" s="1262"/>
      <c r="C129" s="1261" t="str">
        <f>CONCATENATE(ALAPADATOK!$D$7," előttre ütemezett bevétel, kiadás")</f>
        <v>2023. előttre ütemezett bevétel, kiadás</v>
      </c>
      <c r="D129" s="1261" t="str">
        <f>CONCATENATE(ALAPADATOK!$D$7," évre ütemezett bevétel, kiadás")</f>
        <v>2023. évre ütemezett bevétel, kiadás</v>
      </c>
      <c r="E129" s="1261" t="str">
        <f>CONCATENATE(ALAPADATOK!$D$7," utánra ütemezett bevétel, kiadás")</f>
        <v>2023. utánra ütemezett bevétel, kiadás</v>
      </c>
    </row>
    <row r="130" spans="1:5" ht="13.5" thickBot="1" x14ac:dyDescent="0.25">
      <c r="A130" s="1257"/>
      <c r="B130" s="1263"/>
      <c r="C130" s="1267"/>
      <c r="D130" s="1267"/>
      <c r="E130" s="1268"/>
    </row>
    <row r="131" spans="1:5" ht="13.5" thickBot="1" x14ac:dyDescent="0.25">
      <c r="A131" s="1202" t="s">
        <v>382</v>
      </c>
      <c r="B131" s="990" t="s">
        <v>917</v>
      </c>
      <c r="C131" s="991" t="s">
        <v>384</v>
      </c>
      <c r="D131" s="988" t="s">
        <v>434</v>
      </c>
      <c r="E131" s="992" t="s">
        <v>435</v>
      </c>
    </row>
    <row r="132" spans="1:5" x14ac:dyDescent="0.2">
      <c r="A132" s="1203" t="s">
        <v>513</v>
      </c>
      <c r="B132" s="995">
        <f>C132+D132+E132</f>
        <v>818800</v>
      </c>
      <c r="C132" s="996"/>
      <c r="D132" s="996">
        <v>818800</v>
      </c>
      <c r="E132" s="997"/>
    </row>
    <row r="133" spans="1:5" x14ac:dyDescent="0.2">
      <c r="A133" s="1204" t="s">
        <v>514</v>
      </c>
      <c r="B133" s="998">
        <f>C133+D133+E133</f>
        <v>0</v>
      </c>
      <c r="C133" s="999"/>
      <c r="D133" s="999"/>
      <c r="E133" s="999"/>
    </row>
    <row r="134" spans="1:5" x14ac:dyDescent="0.2">
      <c r="A134" s="1205" t="s">
        <v>918</v>
      </c>
      <c r="B134" s="1000">
        <f>C134+D134+E134</f>
        <v>113731780</v>
      </c>
      <c r="C134" s="1001">
        <v>109134050</v>
      </c>
      <c r="D134" s="1001">
        <v>58400</v>
      </c>
      <c r="E134" s="1001">
        <f>4597730-58400</f>
        <v>4539330</v>
      </c>
    </row>
    <row r="135" spans="1:5" x14ac:dyDescent="0.2">
      <c r="A135" s="1205" t="s">
        <v>109</v>
      </c>
      <c r="B135" s="1000">
        <f>C135+D135+E135</f>
        <v>0</v>
      </c>
      <c r="C135" s="1001"/>
      <c r="D135" s="1001"/>
      <c r="E135" s="1001"/>
    </row>
    <row r="136" spans="1:5" ht="13.5" thickBot="1" x14ac:dyDescent="0.25">
      <c r="A136" s="1205" t="s">
        <v>515</v>
      </c>
      <c r="B136" s="1000">
        <f>C136+D136+E136</f>
        <v>0</v>
      </c>
      <c r="C136" s="1001"/>
      <c r="D136" s="1001"/>
      <c r="E136" s="1001"/>
    </row>
    <row r="137" spans="1:5" ht="13.5" thickBot="1" x14ac:dyDescent="0.25">
      <c r="A137" s="1206" t="s">
        <v>516</v>
      </c>
      <c r="B137" s="1002">
        <f>B132+SUM(B134:B136)</f>
        <v>114550580</v>
      </c>
      <c r="C137" s="1002">
        <f>C132+SUM(C134:C136)</f>
        <v>109134050</v>
      </c>
      <c r="D137" s="1002">
        <f>D132+SUM(D134:D136)</f>
        <v>877200</v>
      </c>
      <c r="E137" s="1003">
        <f>E132+SUM(E134:E136)</f>
        <v>4539330</v>
      </c>
    </row>
    <row r="138" spans="1:5" x14ac:dyDescent="0.2">
      <c r="A138" s="1207" t="s">
        <v>517</v>
      </c>
      <c r="B138" s="1103">
        <f>C138+D138+E138</f>
        <v>0</v>
      </c>
      <c r="C138" s="1104"/>
      <c r="D138" s="1104"/>
      <c r="E138" s="997"/>
    </row>
    <row r="139" spans="1:5" x14ac:dyDescent="0.2">
      <c r="A139" s="1208" t="s">
        <v>518</v>
      </c>
      <c r="B139" s="1000">
        <f>C139+D139+E139</f>
        <v>105594150</v>
      </c>
      <c r="C139" s="1001">
        <v>254000</v>
      </c>
      <c r="D139" s="1001">
        <f>6915150+98171000-254000+508000</f>
        <v>105340150</v>
      </c>
      <c r="E139" s="1001"/>
    </row>
    <row r="140" spans="1:5" x14ac:dyDescent="0.2">
      <c r="A140" s="1208" t="s">
        <v>519</v>
      </c>
      <c r="B140" s="1000">
        <f>C140+D140+E140</f>
        <v>4417100</v>
      </c>
      <c r="C140" s="1001">
        <v>210800</v>
      </c>
      <c r="D140" s="1001">
        <f>4047900-210800+369200</f>
        <v>4206300</v>
      </c>
      <c r="E140" s="1001"/>
    </row>
    <row r="141" spans="1:5" x14ac:dyDescent="0.2">
      <c r="A141" s="1208" t="s">
        <v>520</v>
      </c>
      <c r="B141" s="1000">
        <f>C141+D141+E141</f>
        <v>0</v>
      </c>
      <c r="C141" s="1001"/>
      <c r="D141" s="1001"/>
      <c r="E141" s="1001"/>
    </row>
    <row r="142" spans="1:5" ht="13.5" thickBot="1" x14ac:dyDescent="0.25">
      <c r="A142" s="1209" t="s">
        <v>972</v>
      </c>
      <c r="B142" s="1004">
        <f>C142+D142+E142</f>
        <v>4539330</v>
      </c>
      <c r="C142" s="1005"/>
      <c r="D142" s="1005"/>
      <c r="E142" s="1006">
        <f>4597730-58400</f>
        <v>4539330</v>
      </c>
    </row>
    <row r="143" spans="1:5" ht="13.5" thickBot="1" x14ac:dyDescent="0.25">
      <c r="A143" s="1210" t="s">
        <v>97</v>
      </c>
      <c r="B143" s="1002">
        <f>SUM(B138:B142)</f>
        <v>114550580</v>
      </c>
      <c r="C143" s="1002">
        <f>SUM(C138:C142)</f>
        <v>464800</v>
      </c>
      <c r="D143" s="1002">
        <f>SUM(D138:D142)</f>
        <v>109546450</v>
      </c>
      <c r="E143" s="1003">
        <f>SUM(E138:E142)</f>
        <v>4539330</v>
      </c>
    </row>
    <row r="145" spans="1:5" ht="14.25" x14ac:dyDescent="0.2">
      <c r="A145" s="1269" t="s">
        <v>1063</v>
      </c>
      <c r="B145" s="1269"/>
      <c r="C145" s="1269"/>
      <c r="D145" s="1269"/>
      <c r="E145" s="1269"/>
    </row>
    <row r="146" spans="1:5" ht="15.75" thickBot="1" x14ac:dyDescent="0.25">
      <c r="A146" s="987"/>
      <c r="B146" s="987"/>
      <c r="C146" s="987"/>
      <c r="D146" s="987"/>
      <c r="E146" s="989" t="s">
        <v>489</v>
      </c>
    </row>
    <row r="147" spans="1:5" ht="13.5" thickBot="1" x14ac:dyDescent="0.25">
      <c r="A147" s="1255" t="s">
        <v>512</v>
      </c>
      <c r="B147" s="1258" t="s">
        <v>915</v>
      </c>
      <c r="C147" s="1259"/>
      <c r="D147" s="1259"/>
      <c r="E147" s="1260"/>
    </row>
    <row r="148" spans="1:5" ht="13.5" thickBot="1" x14ac:dyDescent="0.25">
      <c r="A148" s="1256"/>
      <c r="B148" s="1261" t="str">
        <f>B128</f>
        <v>A projektre jóváhagyott összes
 bevétel, kiadás</v>
      </c>
      <c r="C148" s="1264" t="s">
        <v>916</v>
      </c>
      <c r="D148" s="1265"/>
      <c r="E148" s="1266"/>
    </row>
    <row r="149" spans="1:5" x14ac:dyDescent="0.2">
      <c r="A149" s="1256"/>
      <c r="B149" s="1262"/>
      <c r="C149" s="1261" t="str">
        <f>CONCATENATE(ALAPADATOK!$D$7," előttre ütemezett bevétel, kiadás")</f>
        <v>2023. előttre ütemezett bevétel, kiadás</v>
      </c>
      <c r="D149" s="1261" t="str">
        <f>CONCATENATE(ALAPADATOK!$D$7," évre ütemezett bevétel, kiadás")</f>
        <v>2023. évre ütemezett bevétel, kiadás</v>
      </c>
      <c r="E149" s="1261" t="str">
        <f>CONCATENATE(ALAPADATOK!$D$7," utánra ütemezett bevétel, kiadás")</f>
        <v>2023. utánra ütemezett bevétel, kiadás</v>
      </c>
    </row>
    <row r="150" spans="1:5" ht="13.5" thickBot="1" x14ac:dyDescent="0.25">
      <c r="A150" s="1257"/>
      <c r="B150" s="1263"/>
      <c r="C150" s="1267"/>
      <c r="D150" s="1267"/>
      <c r="E150" s="1268"/>
    </row>
    <row r="151" spans="1:5" ht="13.5" thickBot="1" x14ac:dyDescent="0.25">
      <c r="A151" s="1202" t="s">
        <v>382</v>
      </c>
      <c r="B151" s="990" t="s">
        <v>917</v>
      </c>
      <c r="C151" s="991" t="s">
        <v>384</v>
      </c>
      <c r="D151" s="988" t="s">
        <v>434</v>
      </c>
      <c r="E151" s="992" t="s">
        <v>435</v>
      </c>
    </row>
    <row r="152" spans="1:5" x14ac:dyDescent="0.2">
      <c r="A152" s="1203" t="s">
        <v>513</v>
      </c>
      <c r="B152" s="995">
        <f>C152+D152+E152</f>
        <v>0</v>
      </c>
      <c r="C152" s="996"/>
      <c r="D152" s="996"/>
      <c r="E152" s="997"/>
    </row>
    <row r="153" spans="1:5" x14ac:dyDescent="0.2">
      <c r="A153" s="1204" t="s">
        <v>514</v>
      </c>
      <c r="B153" s="998">
        <f>C153+D153+E153</f>
        <v>0</v>
      </c>
      <c r="C153" s="999"/>
      <c r="D153" s="999"/>
      <c r="E153" s="999"/>
    </row>
    <row r="154" spans="1:5" x14ac:dyDescent="0.2">
      <c r="A154" s="1205" t="s">
        <v>918</v>
      </c>
      <c r="B154" s="1000">
        <f>C154+D154+E154</f>
        <v>308632940</v>
      </c>
      <c r="C154" s="1001">
        <v>197288627</v>
      </c>
      <c r="D154" s="1001">
        <f>295932940-197288627</f>
        <v>98644313</v>
      </c>
      <c r="E154" s="1001">
        <v>12700000</v>
      </c>
    </row>
    <row r="155" spans="1:5" x14ac:dyDescent="0.2">
      <c r="A155" s="1205" t="s">
        <v>109</v>
      </c>
      <c r="B155" s="1000">
        <f>C155+D155+E155</f>
        <v>0</v>
      </c>
      <c r="C155" s="1001"/>
      <c r="D155" s="1001"/>
      <c r="E155" s="1001"/>
    </row>
    <row r="156" spans="1:5" ht="13.5" thickBot="1" x14ac:dyDescent="0.25">
      <c r="A156" s="1205" t="s">
        <v>515</v>
      </c>
      <c r="B156" s="1106">
        <f>C156+D156+E156</f>
        <v>0</v>
      </c>
      <c r="C156" s="1105"/>
      <c r="D156" s="1105"/>
      <c r="E156" s="1001"/>
    </row>
    <row r="157" spans="1:5" ht="13.5" thickBot="1" x14ac:dyDescent="0.25">
      <c r="A157" s="1206" t="s">
        <v>516</v>
      </c>
      <c r="B157" s="1002">
        <f>B152+SUM(B154:B156)</f>
        <v>308632940</v>
      </c>
      <c r="C157" s="1002">
        <f>C152+SUM(C154:C156)</f>
        <v>197288627</v>
      </c>
      <c r="D157" s="1002">
        <f>D152+SUM(D154:D156)</f>
        <v>98644313</v>
      </c>
      <c r="E157" s="1003">
        <f>E152+SUM(E154:E156)</f>
        <v>12700000</v>
      </c>
    </row>
    <row r="158" spans="1:5" x14ac:dyDescent="0.2">
      <c r="A158" s="1207" t="s">
        <v>517</v>
      </c>
      <c r="B158" s="995">
        <f t="shared" ref="B158:B163" si="2">C158+D158+E158</f>
        <v>0</v>
      </c>
      <c r="C158" s="996"/>
      <c r="D158" s="996"/>
      <c r="E158" s="997"/>
    </row>
    <row r="159" spans="1:5" x14ac:dyDescent="0.2">
      <c r="A159" s="1208" t="s">
        <v>518</v>
      </c>
      <c r="B159" s="1000">
        <f t="shared" si="2"/>
        <v>278341940</v>
      </c>
      <c r="C159" s="1001">
        <v>13542440</v>
      </c>
      <c r="D159" s="1001">
        <f>23073440+255268500-13542440</f>
        <v>264799500</v>
      </c>
      <c r="E159" s="1001"/>
    </row>
    <row r="160" spans="1:5" x14ac:dyDescent="0.2">
      <c r="A160" s="1208" t="s">
        <v>519</v>
      </c>
      <c r="B160" s="1000">
        <f t="shared" si="2"/>
        <v>10922000</v>
      </c>
      <c r="C160" s="1001"/>
      <c r="D160" s="1001">
        <f>17591000-6669000</f>
        <v>10922000</v>
      </c>
      <c r="E160" s="1001"/>
    </row>
    <row r="161" spans="1:5" x14ac:dyDescent="0.2">
      <c r="A161" s="1208" t="s">
        <v>520</v>
      </c>
      <c r="B161" s="1000">
        <f t="shared" si="2"/>
        <v>0</v>
      </c>
      <c r="C161" s="1001"/>
      <c r="D161" s="1001"/>
      <c r="E161" s="1001"/>
    </row>
    <row r="162" spans="1:5" x14ac:dyDescent="0.2">
      <c r="A162" s="1209" t="s">
        <v>920</v>
      </c>
      <c r="B162" s="1000">
        <f t="shared" si="2"/>
        <v>6669000</v>
      </c>
      <c r="C162" s="1005"/>
      <c r="D162" s="1005">
        <v>6669000</v>
      </c>
      <c r="E162" s="1005"/>
    </row>
    <row r="163" spans="1:5" ht="13.5" thickBot="1" x14ac:dyDescent="0.25">
      <c r="A163" s="1209" t="s">
        <v>972</v>
      </c>
      <c r="B163" s="1004">
        <f t="shared" si="2"/>
        <v>12700000</v>
      </c>
      <c r="C163" s="1005"/>
      <c r="D163" s="1005"/>
      <c r="E163" s="1006">
        <v>12700000</v>
      </c>
    </row>
    <row r="164" spans="1:5" ht="13.5" thickBot="1" x14ac:dyDescent="0.25">
      <c r="A164" s="1210" t="s">
        <v>97</v>
      </c>
      <c r="B164" s="1002">
        <f>SUM(B158:B163)</f>
        <v>308632940</v>
      </c>
      <c r="C164" s="1002">
        <f>SUM(C158:C163)</f>
        <v>13542440</v>
      </c>
      <c r="D164" s="1002">
        <f>SUM(D158:D163)</f>
        <v>282390500</v>
      </c>
      <c r="E164" s="1003">
        <f>SUM(E158:E163)</f>
        <v>12700000</v>
      </c>
    </row>
    <row r="165" spans="1:5" x14ac:dyDescent="0.2">
      <c r="A165" s="1394"/>
      <c r="B165" s="1395"/>
      <c r="C165" s="1395"/>
      <c r="D165" s="1395"/>
      <c r="E165" s="1396"/>
    </row>
    <row r="166" spans="1:5" ht="39" customHeight="1" x14ac:dyDescent="0.2">
      <c r="A166" s="1397" t="s">
        <v>1064</v>
      </c>
      <c r="B166" s="1397"/>
      <c r="C166" s="1397"/>
      <c r="D166" s="1397"/>
      <c r="E166" s="1397"/>
    </row>
    <row r="167" spans="1:5" ht="15.75" thickBot="1" x14ac:dyDescent="0.25">
      <c r="A167" s="987"/>
      <c r="B167" s="987"/>
      <c r="C167" s="987"/>
      <c r="D167" s="987"/>
      <c r="E167" s="989" t="s">
        <v>489</v>
      </c>
    </row>
    <row r="168" spans="1:5" ht="13.5" thickBot="1" x14ac:dyDescent="0.25">
      <c r="A168" s="1255" t="s">
        <v>512</v>
      </c>
      <c r="B168" s="1258" t="s">
        <v>915</v>
      </c>
      <c r="C168" s="1259"/>
      <c r="D168" s="1259"/>
      <c r="E168" s="1260"/>
    </row>
    <row r="169" spans="1:5" ht="13.5" thickBot="1" x14ac:dyDescent="0.25">
      <c r="A169" s="1256"/>
      <c r="B169" s="1261" t="str">
        <f>B148</f>
        <v>A projektre jóváhagyott összes
 bevétel, kiadás</v>
      </c>
      <c r="C169" s="1264" t="s">
        <v>916</v>
      </c>
      <c r="D169" s="1265"/>
      <c r="E169" s="1266"/>
    </row>
    <row r="170" spans="1:5" x14ac:dyDescent="0.2">
      <c r="A170" s="1256"/>
      <c r="B170" s="1262"/>
      <c r="C170" s="1261" t="str">
        <f>CONCATENATE(ALAPADATOK!$D$7," előttre ütemezett bevétel, kiadás")</f>
        <v>2023. előttre ütemezett bevétel, kiadás</v>
      </c>
      <c r="D170" s="1261" t="str">
        <f>CONCATENATE(ALAPADATOK!$D$7," évre ütemezett bevétel, kiadás")</f>
        <v>2023. évre ütemezett bevétel, kiadás</v>
      </c>
      <c r="E170" s="1261" t="str">
        <f>CONCATENATE(ALAPADATOK!$D$7," utánra ütemezett bevétel, kiadás")</f>
        <v>2023. utánra ütemezett bevétel, kiadás</v>
      </c>
    </row>
    <row r="171" spans="1:5" ht="13.5" thickBot="1" x14ac:dyDescent="0.25">
      <c r="A171" s="1257"/>
      <c r="B171" s="1263"/>
      <c r="C171" s="1267"/>
      <c r="D171" s="1267"/>
      <c r="E171" s="1268"/>
    </row>
    <row r="172" spans="1:5" ht="13.5" thickBot="1" x14ac:dyDescent="0.25">
      <c r="A172" s="1202" t="s">
        <v>382</v>
      </c>
      <c r="B172" s="990" t="s">
        <v>917</v>
      </c>
      <c r="C172" s="991" t="s">
        <v>384</v>
      </c>
      <c r="D172" s="988" t="s">
        <v>434</v>
      </c>
      <c r="E172" s="992" t="s">
        <v>435</v>
      </c>
    </row>
    <row r="173" spans="1:5" x14ac:dyDescent="0.2">
      <c r="A173" s="1203" t="s">
        <v>513</v>
      </c>
      <c r="B173" s="995">
        <f>C173+D173+E173</f>
        <v>0</v>
      </c>
      <c r="C173" s="996"/>
      <c r="D173" s="996"/>
      <c r="E173" s="997"/>
    </row>
    <row r="174" spans="1:5" x14ac:dyDescent="0.2">
      <c r="A174" s="1204" t="s">
        <v>514</v>
      </c>
      <c r="B174" s="998">
        <f>C174+D174+E174</f>
        <v>0</v>
      </c>
      <c r="C174" s="999"/>
      <c r="D174" s="999"/>
      <c r="E174" s="999"/>
    </row>
    <row r="175" spans="1:5" x14ac:dyDescent="0.2">
      <c r="A175" s="1205" t="s">
        <v>918</v>
      </c>
      <c r="B175" s="1216">
        <f>C175+D175+E175</f>
        <v>26932805</v>
      </c>
      <c r="C175" s="1000"/>
      <c r="D175" s="1217">
        <v>26932805</v>
      </c>
      <c r="E175" s="1001"/>
    </row>
    <row r="176" spans="1:5" x14ac:dyDescent="0.2">
      <c r="A176" s="1205" t="s">
        <v>109</v>
      </c>
      <c r="B176" s="1000">
        <f>C176+D176+E176</f>
        <v>0</v>
      </c>
      <c r="C176" s="1001"/>
      <c r="D176" s="1001"/>
      <c r="E176" s="1001"/>
    </row>
    <row r="177" spans="1:5" ht="13.5" thickBot="1" x14ac:dyDescent="0.25">
      <c r="A177" s="1205" t="s">
        <v>515</v>
      </c>
      <c r="B177" s="1106">
        <f>C177+D177+E177</f>
        <v>0</v>
      </c>
      <c r="C177" s="1105"/>
      <c r="D177" s="1105"/>
      <c r="E177" s="1001"/>
    </row>
    <row r="178" spans="1:5" ht="13.5" thickBot="1" x14ac:dyDescent="0.25">
      <c r="A178" s="1206" t="s">
        <v>516</v>
      </c>
      <c r="B178" s="1002">
        <f>B173+SUM(B175:B177)</f>
        <v>26932805</v>
      </c>
      <c r="C178" s="1002">
        <f>C173+SUM(C175:C177)</f>
        <v>0</v>
      </c>
      <c r="D178" s="1002">
        <f>D173+SUM(D175:D177)</f>
        <v>26932805</v>
      </c>
      <c r="E178" s="1003">
        <f>E173+SUM(E175:E177)</f>
        <v>0</v>
      </c>
    </row>
    <row r="179" spans="1:5" x14ac:dyDescent="0.2">
      <c r="A179" s="1207" t="s">
        <v>517</v>
      </c>
      <c r="B179" s="1218">
        <f t="shared" ref="B179:B184" si="3">C179+D179+E179</f>
        <v>23306205</v>
      </c>
      <c r="C179" s="996"/>
      <c r="D179" s="1220">
        <f>10432500+1220603</f>
        <v>11653103</v>
      </c>
      <c r="E179" s="1221">
        <f>10432500+1220602</f>
        <v>11653102</v>
      </c>
    </row>
    <row r="180" spans="1:5" x14ac:dyDescent="0.2">
      <c r="A180" s="1208" t="s">
        <v>518</v>
      </c>
      <c r="B180" s="1219">
        <f t="shared" si="3"/>
        <v>1200000</v>
      </c>
      <c r="C180" s="1001"/>
      <c r="D180" s="1217">
        <v>600000</v>
      </c>
      <c r="E180" s="1217">
        <v>600000</v>
      </c>
    </row>
    <row r="181" spans="1:5" x14ac:dyDescent="0.2">
      <c r="A181" s="1208" t="s">
        <v>519</v>
      </c>
      <c r="B181" s="1216">
        <f t="shared" si="3"/>
        <v>2426600</v>
      </c>
      <c r="C181" s="1001"/>
      <c r="D181" s="1217">
        <v>1125600</v>
      </c>
      <c r="E181" s="1217">
        <v>1301000</v>
      </c>
    </row>
    <row r="182" spans="1:5" x14ac:dyDescent="0.2">
      <c r="A182" s="1208" t="s">
        <v>520</v>
      </c>
      <c r="B182" s="1000">
        <f t="shared" si="3"/>
        <v>0</v>
      </c>
      <c r="C182" s="1001"/>
      <c r="D182" s="1001"/>
      <c r="E182" s="1001"/>
    </row>
    <row r="183" spans="1:5" x14ac:dyDescent="0.2">
      <c r="A183" s="1209" t="s">
        <v>920</v>
      </c>
      <c r="B183" s="1000">
        <f t="shared" si="3"/>
        <v>0</v>
      </c>
      <c r="C183" s="1005"/>
      <c r="D183" s="1005"/>
      <c r="E183" s="1005"/>
    </row>
    <row r="184" spans="1:5" ht="13.5" thickBot="1" x14ac:dyDescent="0.25">
      <c r="A184" s="1209" t="s">
        <v>972</v>
      </c>
      <c r="B184" s="1004">
        <f t="shared" si="3"/>
        <v>0</v>
      </c>
      <c r="C184" s="1005"/>
      <c r="D184" s="1005"/>
      <c r="E184" s="1006"/>
    </row>
    <row r="185" spans="1:5" ht="13.5" thickBot="1" x14ac:dyDescent="0.25">
      <c r="A185" s="1210" t="s">
        <v>97</v>
      </c>
      <c r="B185" s="1002">
        <f>SUM(B179:B184)</f>
        <v>26932805</v>
      </c>
      <c r="C185" s="1002">
        <f>SUM(C179:C184)</f>
        <v>0</v>
      </c>
      <c r="D185" s="1002">
        <f>SUM(D179:D184)</f>
        <v>13378703</v>
      </c>
      <c r="E185" s="1003">
        <f>SUM(E179:E184)</f>
        <v>13554102</v>
      </c>
    </row>
    <row r="187" spans="1:5" ht="30.75" customHeight="1" x14ac:dyDescent="0.2">
      <c r="A187" s="1397" t="s">
        <v>1065</v>
      </c>
      <c r="B187" s="1397"/>
      <c r="C187" s="1397"/>
      <c r="D187" s="1397"/>
      <c r="E187" s="1397"/>
    </row>
    <row r="188" spans="1:5" ht="15.75" thickBot="1" x14ac:dyDescent="0.25">
      <c r="A188" s="987"/>
      <c r="B188" s="987"/>
      <c r="C188" s="987"/>
      <c r="D188" s="987"/>
      <c r="E188" s="989" t="s">
        <v>489</v>
      </c>
    </row>
    <row r="189" spans="1:5" ht="13.5" thickBot="1" x14ac:dyDescent="0.25">
      <c r="A189" s="1255" t="s">
        <v>512</v>
      </c>
      <c r="B189" s="1258" t="s">
        <v>915</v>
      </c>
      <c r="C189" s="1259"/>
      <c r="D189" s="1259"/>
      <c r="E189" s="1260"/>
    </row>
    <row r="190" spans="1:5" ht="13.5" thickBot="1" x14ac:dyDescent="0.25">
      <c r="A190" s="1256"/>
      <c r="B190" s="1261" t="str">
        <f>B169</f>
        <v>A projektre jóváhagyott összes
 bevétel, kiadás</v>
      </c>
      <c r="C190" s="1264" t="s">
        <v>916</v>
      </c>
      <c r="D190" s="1265"/>
      <c r="E190" s="1266"/>
    </row>
    <row r="191" spans="1:5" x14ac:dyDescent="0.2">
      <c r="A191" s="1256"/>
      <c r="B191" s="1262"/>
      <c r="C191" s="1261" t="str">
        <f>CONCATENATE(ALAPADATOK!$D$7," előttre ütemezett bevétel, kiadás")</f>
        <v>2023. előttre ütemezett bevétel, kiadás</v>
      </c>
      <c r="D191" s="1261" t="str">
        <f>CONCATENATE(ALAPADATOK!$D$7," évre ütemezett bevétel, kiadás")</f>
        <v>2023. évre ütemezett bevétel, kiadás</v>
      </c>
      <c r="E191" s="1261" t="str">
        <f>CONCATENATE(ALAPADATOK!$D$7," utánra ütemezett bevétel, kiadás")</f>
        <v>2023. utánra ütemezett bevétel, kiadás</v>
      </c>
    </row>
    <row r="192" spans="1:5" ht="13.5" thickBot="1" x14ac:dyDescent="0.25">
      <c r="A192" s="1257"/>
      <c r="B192" s="1263"/>
      <c r="C192" s="1267"/>
      <c r="D192" s="1267"/>
      <c r="E192" s="1268"/>
    </row>
    <row r="193" spans="1:5" ht="13.5" thickBot="1" x14ac:dyDescent="0.25">
      <c r="A193" s="1202" t="s">
        <v>382</v>
      </c>
      <c r="B193" s="990" t="s">
        <v>917</v>
      </c>
      <c r="C193" s="991" t="s">
        <v>384</v>
      </c>
      <c r="D193" s="988" t="s">
        <v>434</v>
      </c>
      <c r="E193" s="992" t="s">
        <v>435</v>
      </c>
    </row>
    <row r="194" spans="1:5" x14ac:dyDescent="0.2">
      <c r="A194" s="1203" t="s">
        <v>513</v>
      </c>
      <c r="B194" s="995">
        <f>C194+D194+E194</f>
        <v>0</v>
      </c>
      <c r="C194" s="996"/>
      <c r="D194" s="996"/>
      <c r="E194" s="997"/>
    </row>
    <row r="195" spans="1:5" x14ac:dyDescent="0.2">
      <c r="A195" s="1204" t="s">
        <v>514</v>
      </c>
      <c r="B195" s="998">
        <f>C195+D195+E195</f>
        <v>0</v>
      </c>
      <c r="C195" s="999"/>
      <c r="D195" s="999"/>
      <c r="E195" s="999"/>
    </row>
    <row r="196" spans="1:5" x14ac:dyDescent="0.2">
      <c r="A196" s="1205" t="s">
        <v>918</v>
      </c>
      <c r="B196" s="1216">
        <f>C196+D196+E196</f>
        <v>25935258</v>
      </c>
      <c r="C196" s="1000"/>
      <c r="D196" s="1217">
        <v>25935258</v>
      </c>
      <c r="E196" s="1001"/>
    </row>
    <row r="197" spans="1:5" x14ac:dyDescent="0.2">
      <c r="A197" s="1205" t="s">
        <v>109</v>
      </c>
      <c r="B197" s="1000">
        <f>C197+D197+E197</f>
        <v>0</v>
      </c>
      <c r="C197" s="1001"/>
      <c r="D197" s="1001"/>
      <c r="E197" s="1001"/>
    </row>
    <row r="198" spans="1:5" ht="13.5" thickBot="1" x14ac:dyDescent="0.25">
      <c r="A198" s="1205" t="s">
        <v>515</v>
      </c>
      <c r="B198" s="1106">
        <f>C198+D198+E198</f>
        <v>0</v>
      </c>
      <c r="C198" s="1105"/>
      <c r="D198" s="1105"/>
      <c r="E198" s="1001"/>
    </row>
    <row r="199" spans="1:5" ht="13.5" thickBot="1" x14ac:dyDescent="0.25">
      <c r="A199" s="1206" t="s">
        <v>516</v>
      </c>
      <c r="B199" s="1002">
        <f>B194+SUM(B196:B198)</f>
        <v>25935258</v>
      </c>
      <c r="C199" s="1002">
        <f>C194+SUM(C196:C198)</f>
        <v>0</v>
      </c>
      <c r="D199" s="1002">
        <f>D194+SUM(D196:D198)</f>
        <v>25935258</v>
      </c>
      <c r="E199" s="1003">
        <f>E194+SUM(E196:E198)</f>
        <v>0</v>
      </c>
    </row>
    <row r="200" spans="1:5" x14ac:dyDescent="0.2">
      <c r="A200" s="1207" t="s">
        <v>517</v>
      </c>
      <c r="B200" s="1218">
        <f t="shared" ref="B200:B205" si="4">C200+D200+E200</f>
        <v>6444591</v>
      </c>
      <c r="C200" s="996"/>
      <c r="D200" s="1220">
        <v>6444591</v>
      </c>
      <c r="E200" s="1221"/>
    </row>
    <row r="201" spans="1:5" x14ac:dyDescent="0.2">
      <c r="A201" s="1208" t="s">
        <v>518</v>
      </c>
      <c r="B201" s="1219">
        <f t="shared" si="4"/>
        <v>0</v>
      </c>
      <c r="C201" s="1001"/>
      <c r="D201" s="1217"/>
      <c r="E201" s="1217"/>
    </row>
    <row r="202" spans="1:5" x14ac:dyDescent="0.2">
      <c r="A202" s="1208" t="s">
        <v>519</v>
      </c>
      <c r="B202" s="1216">
        <f t="shared" si="4"/>
        <v>19490667</v>
      </c>
      <c r="C202" s="1001"/>
      <c r="D202" s="1217">
        <v>19490667</v>
      </c>
      <c r="E202" s="1217"/>
    </row>
    <row r="203" spans="1:5" x14ac:dyDescent="0.2">
      <c r="A203" s="1208" t="s">
        <v>520</v>
      </c>
      <c r="B203" s="1000">
        <f t="shared" si="4"/>
        <v>0</v>
      </c>
      <c r="C203" s="1001"/>
      <c r="D203" s="1001"/>
      <c r="E203" s="1001"/>
    </row>
    <row r="204" spans="1:5" x14ac:dyDescent="0.2">
      <c r="A204" s="1209" t="s">
        <v>920</v>
      </c>
      <c r="B204" s="1000">
        <f t="shared" si="4"/>
        <v>0</v>
      </c>
      <c r="C204" s="1005"/>
      <c r="D204" s="1005"/>
      <c r="E204" s="1005"/>
    </row>
    <row r="205" spans="1:5" ht="13.5" thickBot="1" x14ac:dyDescent="0.25">
      <c r="A205" s="1209" t="s">
        <v>972</v>
      </c>
      <c r="B205" s="1004">
        <f t="shared" si="4"/>
        <v>0</v>
      </c>
      <c r="C205" s="1005"/>
      <c r="D205" s="1005"/>
      <c r="E205" s="1006"/>
    </row>
    <row r="206" spans="1:5" ht="13.5" thickBot="1" x14ac:dyDescent="0.25">
      <c r="A206" s="1210" t="s">
        <v>97</v>
      </c>
      <c r="B206" s="1002">
        <f>SUM(B200:B205)</f>
        <v>25935258</v>
      </c>
      <c r="C206" s="1002">
        <f>SUM(C200:C205)</f>
        <v>0</v>
      </c>
      <c r="D206" s="1002">
        <f>SUM(D200:D205)</f>
        <v>25935258</v>
      </c>
      <c r="E206" s="1003">
        <f>SUM(E200:E205)</f>
        <v>0</v>
      </c>
    </row>
    <row r="208" spans="1:5" ht="14.25" x14ac:dyDescent="0.2">
      <c r="A208" s="1269" t="s">
        <v>1066</v>
      </c>
      <c r="B208" s="1269"/>
      <c r="C208" s="1269"/>
      <c r="D208" s="1269"/>
      <c r="E208" s="1269"/>
    </row>
    <row r="209" spans="1:5" ht="15.75" thickBot="1" x14ac:dyDescent="0.25">
      <c r="A209" s="987"/>
      <c r="B209" s="987"/>
      <c r="C209" s="987"/>
      <c r="D209" s="987"/>
      <c r="E209" s="989" t="s">
        <v>489</v>
      </c>
    </row>
    <row r="210" spans="1:5" ht="13.5" thickBot="1" x14ac:dyDescent="0.25">
      <c r="A210" s="1255" t="s">
        <v>512</v>
      </c>
      <c r="B210" s="1258" t="s">
        <v>915</v>
      </c>
      <c r="C210" s="1259"/>
      <c r="D210" s="1259"/>
      <c r="E210" s="1260"/>
    </row>
    <row r="211" spans="1:5" ht="13.5" thickBot="1" x14ac:dyDescent="0.25">
      <c r="A211" s="1256"/>
      <c r="B211" s="1261" t="str">
        <f>B168</f>
        <v>Támogatási szerződés szerinti bevételek, kiadások</v>
      </c>
      <c r="C211" s="1264" t="s">
        <v>916</v>
      </c>
      <c r="D211" s="1265"/>
      <c r="E211" s="1266"/>
    </row>
    <row r="212" spans="1:5" x14ac:dyDescent="0.2">
      <c r="A212" s="1256"/>
      <c r="B212" s="1262"/>
      <c r="C212" s="1261" t="str">
        <f>CONCATENATE(ALAPADATOK!$D$7," előttre ütemezett bevétel, kiadás")</f>
        <v>2023. előttre ütemezett bevétel, kiadás</v>
      </c>
      <c r="D212" s="1261" t="str">
        <f>CONCATENATE(ALAPADATOK!$D$7," évre ütemezett bevétel, kiadás")</f>
        <v>2023. évre ütemezett bevétel, kiadás</v>
      </c>
      <c r="E212" s="1261" t="str">
        <f>CONCATENATE(ALAPADATOK!$D$7," utánra ütemezett bevétel, kiadás")</f>
        <v>2023. utánra ütemezett bevétel, kiadás</v>
      </c>
    </row>
    <row r="213" spans="1:5" ht="13.5" thickBot="1" x14ac:dyDescent="0.25">
      <c r="A213" s="1257"/>
      <c r="B213" s="1263"/>
      <c r="C213" s="1267"/>
      <c r="D213" s="1267"/>
      <c r="E213" s="1268"/>
    </row>
    <row r="214" spans="1:5" ht="13.5" thickBot="1" x14ac:dyDescent="0.25">
      <c r="A214" s="1202" t="s">
        <v>382</v>
      </c>
      <c r="B214" s="990" t="s">
        <v>917</v>
      </c>
      <c r="C214" s="991" t="s">
        <v>384</v>
      </c>
      <c r="D214" s="988" t="s">
        <v>434</v>
      </c>
      <c r="E214" s="992" t="s">
        <v>435</v>
      </c>
    </row>
    <row r="215" spans="1:5" x14ac:dyDescent="0.2">
      <c r="A215" s="1203" t="s">
        <v>513</v>
      </c>
      <c r="B215" s="995">
        <f>C215+D215+E215</f>
        <v>0</v>
      </c>
      <c r="C215" s="996"/>
      <c r="D215" s="996"/>
      <c r="E215" s="997"/>
    </row>
    <row r="216" spans="1:5" x14ac:dyDescent="0.2">
      <c r="A216" s="1204" t="s">
        <v>514</v>
      </c>
      <c r="B216" s="998">
        <f>C216+D216+E216</f>
        <v>0</v>
      </c>
      <c r="C216" s="999"/>
      <c r="D216" s="999"/>
      <c r="E216" s="999"/>
    </row>
    <row r="217" spans="1:5" x14ac:dyDescent="0.2">
      <c r="A217" s="1205" t="s">
        <v>918</v>
      </c>
      <c r="B217" s="1000">
        <f>C217+D217+E217</f>
        <v>197264096</v>
      </c>
      <c r="C217" s="1001"/>
      <c r="D217" s="1001">
        <v>197264096</v>
      </c>
      <c r="E217" s="1001"/>
    </row>
    <row r="218" spans="1:5" x14ac:dyDescent="0.2">
      <c r="A218" s="1205" t="s">
        <v>109</v>
      </c>
      <c r="B218" s="1000">
        <f>C218+D218+E218</f>
        <v>0</v>
      </c>
      <c r="C218" s="1001"/>
      <c r="D218" s="1001"/>
      <c r="E218" s="1001"/>
    </row>
    <row r="219" spans="1:5" ht="13.5" thickBot="1" x14ac:dyDescent="0.25">
      <c r="A219" s="1205" t="s">
        <v>515</v>
      </c>
      <c r="B219" s="1000">
        <f>C219+D219+E219</f>
        <v>0</v>
      </c>
      <c r="C219" s="1001"/>
      <c r="D219" s="1001">
        <v>0</v>
      </c>
      <c r="E219" s="1001"/>
    </row>
    <row r="220" spans="1:5" ht="13.5" thickBot="1" x14ac:dyDescent="0.25">
      <c r="A220" s="1206" t="s">
        <v>516</v>
      </c>
      <c r="B220" s="1002">
        <f>B215+SUM(B217:B219)</f>
        <v>197264096</v>
      </c>
      <c r="C220" s="1002">
        <f>C215+SUM(C217:C219)</f>
        <v>0</v>
      </c>
      <c r="D220" s="1002">
        <f>D215+SUM(D217:D219)</f>
        <v>197264096</v>
      </c>
      <c r="E220" s="1003">
        <f>E215+SUM(E217:E219)</f>
        <v>0</v>
      </c>
    </row>
    <row r="221" spans="1:5" x14ac:dyDescent="0.2">
      <c r="A221" s="1207" t="s">
        <v>517</v>
      </c>
      <c r="B221" s="995">
        <f>C221+D221+E221</f>
        <v>3300000</v>
      </c>
      <c r="C221" s="996"/>
      <c r="D221" s="996">
        <f>2954342+345658</f>
        <v>3300000</v>
      </c>
      <c r="E221" s="997"/>
    </row>
    <row r="222" spans="1:5" x14ac:dyDescent="0.2">
      <c r="A222" s="1208" t="s">
        <v>518</v>
      </c>
      <c r="B222" s="1000">
        <f>C222+D222+E222</f>
        <v>191814096</v>
      </c>
      <c r="C222" s="1001"/>
      <c r="D222" s="1001">
        <v>191814096</v>
      </c>
      <c r="E222" s="1001"/>
    </row>
    <row r="223" spans="1:5" x14ac:dyDescent="0.2">
      <c r="A223" s="1208" t="s">
        <v>519</v>
      </c>
      <c r="B223" s="1000">
        <f>C223+D223+E223</f>
        <v>1950000</v>
      </c>
      <c r="C223" s="1001"/>
      <c r="D223" s="1001">
        <v>1950000</v>
      </c>
      <c r="E223" s="1001"/>
    </row>
    <row r="224" spans="1:5" x14ac:dyDescent="0.2">
      <c r="A224" s="1208" t="s">
        <v>520</v>
      </c>
      <c r="B224" s="1000">
        <f>C224+D224+E224</f>
        <v>0</v>
      </c>
      <c r="C224" s="1001"/>
      <c r="D224" s="1001"/>
      <c r="E224" s="1001"/>
    </row>
    <row r="225" spans="1:5" ht="13.5" thickBot="1" x14ac:dyDescent="0.25">
      <c r="A225" s="1209"/>
      <c r="B225" s="1004">
        <f>C225+D225+E225</f>
        <v>0</v>
      </c>
      <c r="C225" s="1005"/>
      <c r="D225" s="1005"/>
      <c r="E225" s="1006"/>
    </row>
    <row r="226" spans="1:5" ht="13.5" thickBot="1" x14ac:dyDescent="0.25">
      <c r="A226" s="1210" t="s">
        <v>97</v>
      </c>
      <c r="B226" s="1002">
        <f>SUM(B221:B225)</f>
        <v>197064096</v>
      </c>
      <c r="C226" s="1002">
        <f>SUM(C221:C225)</f>
        <v>0</v>
      </c>
      <c r="D226" s="1002">
        <f>SUM(D221:D225)</f>
        <v>197064096</v>
      </c>
      <c r="E226" s="1003">
        <f>SUM(E221:E225)</f>
        <v>0</v>
      </c>
    </row>
    <row r="228" spans="1:5" ht="14.25" x14ac:dyDescent="0.2">
      <c r="A228" s="1273" t="s">
        <v>1058</v>
      </c>
      <c r="B228" s="1273"/>
      <c r="C228" s="1273"/>
      <c r="D228" s="1273"/>
      <c r="E228" s="1273"/>
    </row>
    <row r="229" spans="1:5" ht="15.75" thickBot="1" x14ac:dyDescent="0.25">
      <c r="A229" s="987"/>
      <c r="B229" s="987"/>
      <c r="C229" s="987"/>
      <c r="D229" s="987"/>
      <c r="E229" s="989" t="s">
        <v>489</v>
      </c>
    </row>
    <row r="230" spans="1:5" ht="13.5" thickBot="1" x14ac:dyDescent="0.25">
      <c r="A230" s="1255" t="s">
        <v>512</v>
      </c>
      <c r="B230" s="1258" t="s">
        <v>915</v>
      </c>
      <c r="C230" s="1259"/>
      <c r="D230" s="1259"/>
      <c r="E230" s="1260"/>
    </row>
    <row r="231" spans="1:5" ht="13.5" thickBot="1" x14ac:dyDescent="0.25">
      <c r="A231" s="1256"/>
      <c r="B231" s="1261" t="str">
        <f>B211</f>
        <v>Támogatási szerződés szerinti bevételek, kiadások</v>
      </c>
      <c r="C231" s="1264" t="s">
        <v>916</v>
      </c>
      <c r="D231" s="1265"/>
      <c r="E231" s="1266"/>
    </row>
    <row r="232" spans="1:5" x14ac:dyDescent="0.2">
      <c r="A232" s="1256"/>
      <c r="B232" s="1262"/>
      <c r="C232" s="1261" t="str">
        <f>CONCATENATE(ALAPADATOK!$D$7," előttre ütemezett bevétel, kiadás")</f>
        <v>2023. előttre ütemezett bevétel, kiadás</v>
      </c>
      <c r="D232" s="1261" t="str">
        <f>CONCATENATE(ALAPADATOK!$D$7," évre ütemezett bevétel, kiadás")</f>
        <v>2023. évre ütemezett bevétel, kiadás</v>
      </c>
      <c r="E232" s="1261" t="str">
        <f>CONCATENATE(ALAPADATOK!$D$7," utánra ütemezett bevétel, kiadás")</f>
        <v>2023. utánra ütemezett bevétel, kiadás</v>
      </c>
    </row>
    <row r="233" spans="1:5" ht="13.5" thickBot="1" x14ac:dyDescent="0.25">
      <c r="A233" s="1257"/>
      <c r="B233" s="1263"/>
      <c r="C233" s="1267"/>
      <c r="D233" s="1267"/>
      <c r="E233" s="1268"/>
    </row>
    <row r="234" spans="1:5" ht="13.5" thickBot="1" x14ac:dyDescent="0.25">
      <c r="A234" s="1202" t="s">
        <v>382</v>
      </c>
      <c r="B234" s="990" t="s">
        <v>917</v>
      </c>
      <c r="C234" s="991" t="s">
        <v>384</v>
      </c>
      <c r="D234" s="988" t="s">
        <v>434</v>
      </c>
      <c r="E234" s="992" t="s">
        <v>435</v>
      </c>
    </row>
    <row r="235" spans="1:5" x14ac:dyDescent="0.2">
      <c r="A235" s="1203" t="s">
        <v>513</v>
      </c>
      <c r="B235" s="995">
        <f>C235+D235+E235</f>
        <v>0</v>
      </c>
      <c r="C235" s="996"/>
      <c r="D235" s="996"/>
      <c r="E235" s="997"/>
    </row>
    <row r="236" spans="1:5" x14ac:dyDescent="0.2">
      <c r="A236" s="1204" t="s">
        <v>514</v>
      </c>
      <c r="B236" s="998">
        <f>C236+D236+E236</f>
        <v>0</v>
      </c>
      <c r="C236" s="999"/>
      <c r="D236" s="999"/>
      <c r="E236" s="999"/>
    </row>
    <row r="237" spans="1:5" x14ac:dyDescent="0.2">
      <c r="A237" s="1205" t="s">
        <v>918</v>
      </c>
      <c r="B237" s="1000">
        <f>C237+D237+E237</f>
        <v>81338135</v>
      </c>
      <c r="C237" s="1001"/>
      <c r="D237" s="1001">
        <f>2660593+78677542</f>
        <v>81338135</v>
      </c>
      <c r="E237" s="1001"/>
    </row>
    <row r="238" spans="1:5" x14ac:dyDescent="0.2">
      <c r="A238" s="1205" t="s">
        <v>109</v>
      </c>
      <c r="B238" s="1000">
        <f>C238+D238+E238</f>
        <v>0</v>
      </c>
      <c r="C238" s="1001"/>
      <c r="D238" s="1001"/>
      <c r="E238" s="1001"/>
    </row>
    <row r="239" spans="1:5" ht="13.5" thickBot="1" x14ac:dyDescent="0.25">
      <c r="A239" s="1205" t="s">
        <v>1059</v>
      </c>
      <c r="B239" s="1000">
        <f>C239+D239+E239</f>
        <v>21502228</v>
      </c>
      <c r="C239" s="1001"/>
      <c r="D239" s="1001">
        <v>21502228</v>
      </c>
      <c r="E239" s="1001"/>
    </row>
    <row r="240" spans="1:5" ht="13.5" thickBot="1" x14ac:dyDescent="0.25">
      <c r="A240" s="1206" t="s">
        <v>516</v>
      </c>
      <c r="B240" s="1002">
        <f>B235+SUM(B237:B239)</f>
        <v>102840363</v>
      </c>
      <c r="C240" s="1002">
        <f>C235+SUM(C237:C239)</f>
        <v>0</v>
      </c>
      <c r="D240" s="1002">
        <f>D235+SUM(D237:D239)</f>
        <v>102840363</v>
      </c>
      <c r="E240" s="1003">
        <f>E235+SUM(E237:E239)</f>
        <v>0</v>
      </c>
    </row>
    <row r="241" spans="1:5" x14ac:dyDescent="0.2">
      <c r="A241" s="1207" t="s">
        <v>517</v>
      </c>
      <c r="B241" s="995">
        <f t="shared" ref="B241:B246" si="5">C241+D241+E241</f>
        <v>1140254</v>
      </c>
      <c r="C241" s="996"/>
      <c r="D241" s="996">
        <f>1020818+119436</f>
        <v>1140254</v>
      </c>
      <c r="E241" s="997"/>
    </row>
    <row r="242" spans="1:5" x14ac:dyDescent="0.2">
      <c r="A242" s="1208" t="s">
        <v>518</v>
      </c>
      <c r="B242" s="1000">
        <f t="shared" si="5"/>
        <v>99839478</v>
      </c>
      <c r="C242" s="1001"/>
      <c r="D242" s="1001">
        <f>5540023+73137519+21161936</f>
        <v>99839478</v>
      </c>
      <c r="E242" s="1001"/>
    </row>
    <row r="243" spans="1:5" x14ac:dyDescent="0.2">
      <c r="A243" s="1208" t="s">
        <v>519</v>
      </c>
      <c r="B243" s="1000">
        <f t="shared" si="5"/>
        <v>1860631</v>
      </c>
      <c r="C243" s="1001"/>
      <c r="D243" s="1001">
        <f>840254+380085+340292+300000</f>
        <v>1860631</v>
      </c>
      <c r="E243" s="1001"/>
    </row>
    <row r="244" spans="1:5" x14ac:dyDescent="0.2">
      <c r="A244" s="1208" t="s">
        <v>520</v>
      </c>
      <c r="B244" s="1000">
        <f t="shared" si="5"/>
        <v>0</v>
      </c>
      <c r="C244" s="1001"/>
      <c r="D244" s="1001"/>
      <c r="E244" s="1001"/>
    </row>
    <row r="245" spans="1:5" x14ac:dyDescent="0.2">
      <c r="A245" s="1211" t="s">
        <v>521</v>
      </c>
      <c r="B245" s="1000">
        <f t="shared" si="5"/>
        <v>0</v>
      </c>
      <c r="C245" s="1005"/>
      <c r="D245" s="1005">
        <v>0</v>
      </c>
      <c r="E245" s="1005"/>
    </row>
    <row r="246" spans="1:5" ht="13.5" thickBot="1" x14ac:dyDescent="0.25">
      <c r="A246" s="1209" t="s">
        <v>920</v>
      </c>
      <c r="B246" s="1004">
        <f t="shared" si="5"/>
        <v>0</v>
      </c>
      <c r="C246" s="1005"/>
      <c r="D246" s="1398"/>
      <c r="E246" s="1006"/>
    </row>
    <row r="247" spans="1:5" ht="13.5" thickBot="1" x14ac:dyDescent="0.25">
      <c r="A247" s="1210" t="s">
        <v>97</v>
      </c>
      <c r="B247" s="1002">
        <f>SUM(B241:B246)</f>
        <v>102840363</v>
      </c>
      <c r="C247" s="1002">
        <f>SUM(C241:C246)</f>
        <v>0</v>
      </c>
      <c r="D247" s="1002">
        <f>SUM(D241:D246)</f>
        <v>102840363</v>
      </c>
      <c r="E247" s="1003">
        <f>SUM(E241:E246)</f>
        <v>0</v>
      </c>
    </row>
  </sheetData>
  <mergeCells count="99">
    <mergeCell ref="A187:E187"/>
    <mergeCell ref="A189:A192"/>
    <mergeCell ref="B189:E189"/>
    <mergeCell ref="B190:B192"/>
    <mergeCell ref="C190:E190"/>
    <mergeCell ref="C191:C192"/>
    <mergeCell ref="D191:D192"/>
    <mergeCell ref="E191:E192"/>
    <mergeCell ref="A228:E228"/>
    <mergeCell ref="A230:A233"/>
    <mergeCell ref="B230:E230"/>
    <mergeCell ref="B231:B233"/>
    <mergeCell ref="C231:E231"/>
    <mergeCell ref="C232:C233"/>
    <mergeCell ref="D232:D233"/>
    <mergeCell ref="E232:E233"/>
    <mergeCell ref="A208:E208"/>
    <mergeCell ref="A210:A213"/>
    <mergeCell ref="B210:E210"/>
    <mergeCell ref="B211:B213"/>
    <mergeCell ref="C211:E211"/>
    <mergeCell ref="C212:C213"/>
    <mergeCell ref="D212:D213"/>
    <mergeCell ref="E212:E213"/>
    <mergeCell ref="A145:E145"/>
    <mergeCell ref="A147:A150"/>
    <mergeCell ref="B147:E147"/>
    <mergeCell ref="B148:B150"/>
    <mergeCell ref="C148:E148"/>
    <mergeCell ref="C149:C150"/>
    <mergeCell ref="D149:D150"/>
    <mergeCell ref="E149:E150"/>
    <mergeCell ref="A125:E125"/>
    <mergeCell ref="A127:A130"/>
    <mergeCell ref="B127:E127"/>
    <mergeCell ref="B128:B130"/>
    <mergeCell ref="C128:E128"/>
    <mergeCell ref="C129:C130"/>
    <mergeCell ref="D129:D130"/>
    <mergeCell ref="E129:E130"/>
    <mergeCell ref="A105:E105"/>
    <mergeCell ref="A107:A110"/>
    <mergeCell ref="B107:E107"/>
    <mergeCell ref="B108:B110"/>
    <mergeCell ref="C108:E108"/>
    <mergeCell ref="C109:C110"/>
    <mergeCell ref="D109:D110"/>
    <mergeCell ref="E109:E110"/>
    <mergeCell ref="A1:E1"/>
    <mergeCell ref="A4:E4"/>
    <mergeCell ref="A24:E24"/>
    <mergeCell ref="A44:E44"/>
    <mergeCell ref="A67:A70"/>
    <mergeCell ref="B67:E67"/>
    <mergeCell ref="B68:B70"/>
    <mergeCell ref="C68:E68"/>
    <mergeCell ref="C69:C70"/>
    <mergeCell ref="D69:D70"/>
    <mergeCell ref="E69:E70"/>
    <mergeCell ref="A65:E65"/>
    <mergeCell ref="A46:A49"/>
    <mergeCell ref="B46:E46"/>
    <mergeCell ref="B47:B49"/>
    <mergeCell ref="C47:E47"/>
    <mergeCell ref="C48:C49"/>
    <mergeCell ref="D48:D49"/>
    <mergeCell ref="E48:E49"/>
    <mergeCell ref="A26:A29"/>
    <mergeCell ref="B26:E26"/>
    <mergeCell ref="B27:B29"/>
    <mergeCell ref="C27:E27"/>
    <mergeCell ref="C28:C29"/>
    <mergeCell ref="D28:D29"/>
    <mergeCell ref="E28:E29"/>
    <mergeCell ref="A2:E2"/>
    <mergeCell ref="A3:E3"/>
    <mergeCell ref="A6:A9"/>
    <mergeCell ref="B6:E6"/>
    <mergeCell ref="B7:B9"/>
    <mergeCell ref="C7:E7"/>
    <mergeCell ref="C8:C9"/>
    <mergeCell ref="D8:D9"/>
    <mergeCell ref="E8:E9"/>
    <mergeCell ref="A85:E85"/>
    <mergeCell ref="A87:A90"/>
    <mergeCell ref="B87:E87"/>
    <mergeCell ref="B88:B90"/>
    <mergeCell ref="C88:E88"/>
    <mergeCell ref="C89:C90"/>
    <mergeCell ref="D89:D90"/>
    <mergeCell ref="E89:E90"/>
    <mergeCell ref="A166:E166"/>
    <mergeCell ref="A168:A171"/>
    <mergeCell ref="B168:E168"/>
    <mergeCell ref="B169:B171"/>
    <mergeCell ref="C169:E169"/>
    <mergeCell ref="C170:C171"/>
    <mergeCell ref="D170:D171"/>
    <mergeCell ref="E170:E17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3" max="16383" man="1"/>
    <brk id="123" max="16383" man="1"/>
    <brk id="18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4"/>
  <sheetViews>
    <sheetView zoomScale="115" zoomScaleNormal="115" zoomScaleSheetLayoutView="85" workbookViewId="0">
      <selection activeCell="G5" sqref="G5"/>
    </sheetView>
  </sheetViews>
  <sheetFormatPr defaultColWidth="9.33203125" defaultRowHeight="12.75" x14ac:dyDescent="0.2"/>
  <cols>
    <col min="1" max="1" width="19.5" style="646" customWidth="1"/>
    <col min="2" max="2" width="72" style="329" customWidth="1"/>
    <col min="3" max="3" width="25" style="163" customWidth="1"/>
    <col min="4" max="4" width="16.6640625" style="621" hidden="1" customWidth="1"/>
    <col min="5" max="5" width="11.83203125" style="621" hidden="1" customWidth="1"/>
    <col min="6" max="6" width="12" style="620" hidden="1" customWidth="1"/>
    <col min="7" max="16384" width="9.33203125" style="301"/>
  </cols>
  <sheetData>
    <row r="1" spans="1:7" x14ac:dyDescent="0.2">
      <c r="A1" s="1275" t="str">
        <f>CONCATENATE("10. melléklet"," ",ALAPADATOK!A7," ",ALAPADATOK!B7," ",ALAPADATOK!C7," ",ALAPADATOK!D7," ",ALAPADATOK!E7," ",ALAPADATOK!F7," ",ALAPADATOK!G7," ",ALAPADATOK!H7)</f>
        <v>10. melléklet a .. / 2023. ( …... ) önkormányzati rendelethez</v>
      </c>
      <c r="B1" s="1275"/>
      <c r="C1" s="1275"/>
    </row>
    <row r="2" spans="1:7" x14ac:dyDescent="0.2">
      <c r="A2" s="931"/>
      <c r="B2" s="931"/>
      <c r="C2" s="658"/>
    </row>
    <row r="3" spans="1:7" s="1" customFormat="1" ht="16.5" customHeight="1" thickBot="1" x14ac:dyDescent="0.25">
      <c r="A3" s="1236" t="s">
        <v>862</v>
      </c>
      <c r="B3" s="1236"/>
      <c r="C3" s="1236"/>
      <c r="D3" s="621"/>
      <c r="E3" s="621"/>
      <c r="F3" s="620"/>
    </row>
    <row r="4" spans="1:7" ht="13.5" thickBot="1" x14ac:dyDescent="0.25">
      <c r="A4" s="172" t="s">
        <v>153</v>
      </c>
      <c r="B4" s="79" t="s">
        <v>50</v>
      </c>
      <c r="C4" s="154" t="s">
        <v>863</v>
      </c>
    </row>
    <row r="5" spans="1:7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621"/>
      <c r="E5" s="621"/>
      <c r="F5" s="322"/>
    </row>
    <row r="6" spans="1:7" s="32" customFormat="1" ht="15.95" customHeight="1" thickBot="1" x14ac:dyDescent="0.25">
      <c r="A6" s="81"/>
      <c r="B6" s="82" t="s">
        <v>52</v>
      </c>
      <c r="C6" s="155"/>
      <c r="D6" s="621"/>
      <c r="E6" s="621"/>
      <c r="F6" s="322"/>
    </row>
    <row r="7" spans="1:7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2224660652</v>
      </c>
      <c r="D7" s="323">
        <f>'15. sz. mell. Önk.'!C7+'16. sz. mell. Önk.'!C7</f>
        <v>2224660652</v>
      </c>
      <c r="E7" s="323">
        <f t="shared" ref="E7:E71" si="1">C7-D7</f>
        <v>0</v>
      </c>
      <c r="F7" s="322">
        <f>C7-D7</f>
        <v>0</v>
      </c>
    </row>
    <row r="8" spans="1:7" s="38" customFormat="1" ht="12.2" customHeight="1" thickBot="1" x14ac:dyDescent="0.25">
      <c r="A8" s="193" t="s">
        <v>85</v>
      </c>
      <c r="B8" s="180" t="s">
        <v>180</v>
      </c>
      <c r="C8" s="214">
        <f>434444567+10772160</f>
        <v>445216727</v>
      </c>
      <c r="D8" s="323">
        <f>'15. sz. mell. Önk.'!C8+'16. sz. mell. Önk.'!C8</f>
        <v>445216727</v>
      </c>
      <c r="E8" s="324">
        <f t="shared" si="1"/>
        <v>0</v>
      </c>
      <c r="F8" s="322">
        <f t="shared" ref="F8:F72" si="2">C8-D8</f>
        <v>0</v>
      </c>
    </row>
    <row r="9" spans="1:7" s="39" customFormat="1" ht="12.2" customHeight="1" thickBot="1" x14ac:dyDescent="0.25">
      <c r="A9" s="194" t="s">
        <v>86</v>
      </c>
      <c r="B9" s="181" t="s">
        <v>181</v>
      </c>
      <c r="C9" s="114">
        <f>289696140+35794691</f>
        <v>325490831</v>
      </c>
      <c r="D9" s="323">
        <f>'15. sz. mell. Önk.'!C9+'16. sz. mell. Önk.'!C9</f>
        <v>325490831</v>
      </c>
      <c r="E9" s="325">
        <f t="shared" si="1"/>
        <v>0</v>
      </c>
      <c r="F9" s="322">
        <f t="shared" si="2"/>
        <v>0</v>
      </c>
    </row>
    <row r="10" spans="1:7" s="39" customFormat="1" ht="12.2" customHeight="1" thickBot="1" x14ac:dyDescent="0.25">
      <c r="A10" s="194" t="s">
        <v>87</v>
      </c>
      <c r="B10" s="181" t="s">
        <v>702</v>
      </c>
      <c r="C10" s="114">
        <f t="shared" ref="C10" si="3">SUM(C11:C12)</f>
        <v>1150437314</v>
      </c>
      <c r="D10" s="323">
        <f>'15. sz. mell. Önk.'!C10+'16. sz. mell. Önk.'!C10</f>
        <v>1150437314</v>
      </c>
      <c r="E10" s="325">
        <f t="shared" si="1"/>
        <v>0</v>
      </c>
      <c r="F10" s="322">
        <f t="shared" si="2"/>
        <v>0</v>
      </c>
      <c r="G10" s="1053"/>
    </row>
    <row r="11" spans="1:7" s="39" customFormat="1" ht="12.2" customHeight="1" thickBot="1" x14ac:dyDescent="0.25">
      <c r="A11" s="194" t="s">
        <v>700</v>
      </c>
      <c r="B11" s="181" t="s">
        <v>703</v>
      </c>
      <c r="C11" s="114">
        <f>767229507+65453632</f>
        <v>832683139</v>
      </c>
      <c r="D11" s="323">
        <f>'15. sz. mell. Önk.'!C11+'16. sz. mell. Önk.'!C11</f>
        <v>832683139</v>
      </c>
      <c r="E11" s="325">
        <f t="shared" si="1"/>
        <v>0</v>
      </c>
      <c r="F11" s="322">
        <f t="shared" si="2"/>
        <v>0</v>
      </c>
    </row>
    <row r="12" spans="1:7" s="39" customFormat="1" ht="12.2" customHeight="1" thickBot="1" x14ac:dyDescent="0.25">
      <c r="A12" s="194" t="s">
        <v>701</v>
      </c>
      <c r="B12" s="181" t="s">
        <v>704</v>
      </c>
      <c r="C12" s="114">
        <f>309539518+8214657</f>
        <v>317754175</v>
      </c>
      <c r="D12" s="323">
        <f>'15. sz. mell. Önk.'!C12+'16. sz. mell. Önk.'!C12</f>
        <v>317754175</v>
      </c>
      <c r="E12" s="325">
        <f t="shared" si="1"/>
        <v>0</v>
      </c>
      <c r="F12" s="322">
        <f t="shared" si="2"/>
        <v>0</v>
      </c>
    </row>
    <row r="13" spans="1:7" s="39" customFormat="1" ht="12.2" customHeight="1" thickBot="1" x14ac:dyDescent="0.25">
      <c r="A13" s="194" t="s">
        <v>88</v>
      </c>
      <c r="B13" s="181" t="s">
        <v>183</v>
      </c>
      <c r="C13" s="114">
        <f>54423347+4812000</f>
        <v>59235347</v>
      </c>
      <c r="D13" s="323">
        <f>'15. sz. mell. Önk.'!C13+'16. sz. mell. Önk.'!C13</f>
        <v>59235347</v>
      </c>
      <c r="E13" s="325">
        <f t="shared" si="1"/>
        <v>0</v>
      </c>
      <c r="F13" s="322">
        <f t="shared" si="2"/>
        <v>0</v>
      </c>
    </row>
    <row r="14" spans="1:7" s="39" customFormat="1" ht="12.2" customHeight="1" thickBot="1" x14ac:dyDescent="0.25">
      <c r="A14" s="194" t="s">
        <v>111</v>
      </c>
      <c r="B14" s="181" t="s">
        <v>443</v>
      </c>
      <c r="C14" s="114">
        <f>328722245-84441812</f>
        <v>244280433</v>
      </c>
      <c r="D14" s="323">
        <f>'15. sz. mell. Önk.'!C14+'16. sz. mell. Önk.'!C14</f>
        <v>244280433</v>
      </c>
      <c r="E14" s="325">
        <f t="shared" si="1"/>
        <v>0</v>
      </c>
      <c r="F14" s="322">
        <f t="shared" si="2"/>
        <v>0</v>
      </c>
    </row>
    <row r="15" spans="1:7" s="38" customFormat="1" ht="12.2" customHeight="1" thickBot="1" x14ac:dyDescent="0.25">
      <c r="A15" s="195" t="s">
        <v>89</v>
      </c>
      <c r="B15" s="182" t="s">
        <v>386</v>
      </c>
      <c r="C15" s="246"/>
      <c r="D15" s="323">
        <f>'15. sz. mell. Önk.'!C15+'16. sz. mell. Önk.'!C15</f>
        <v>0</v>
      </c>
      <c r="E15" s="326">
        <f t="shared" si="1"/>
        <v>0</v>
      </c>
      <c r="F15" s="322">
        <f t="shared" si="2"/>
        <v>0</v>
      </c>
    </row>
    <row r="16" spans="1:7" s="38" customFormat="1" ht="12.2" customHeight="1" thickBot="1" x14ac:dyDescent="0.25">
      <c r="A16" s="25" t="s">
        <v>17</v>
      </c>
      <c r="B16" s="105" t="s">
        <v>184</v>
      </c>
      <c r="C16" s="255">
        <f t="shared" ref="C16" si="4">+C17+C18+C19+C20+C21</f>
        <v>138620750</v>
      </c>
      <c r="D16" s="323">
        <f>'15. sz. mell. Önk.'!C16+'16. sz. mell. Önk.'!C16</f>
        <v>138620750</v>
      </c>
      <c r="E16" s="323">
        <f t="shared" si="1"/>
        <v>0</v>
      </c>
      <c r="F16" s="322">
        <f t="shared" si="2"/>
        <v>0</v>
      </c>
    </row>
    <row r="17" spans="1:8" s="38" customFormat="1" ht="12.2" customHeight="1" thickBot="1" x14ac:dyDescent="0.25">
      <c r="A17" s="193" t="s">
        <v>91</v>
      </c>
      <c r="B17" s="180" t="s">
        <v>185</v>
      </c>
      <c r="C17" s="655"/>
      <c r="D17" s="323">
        <f>'15. sz. mell. Önk.'!C17+'16. sz. mell. Önk.'!C17</f>
        <v>0</v>
      </c>
      <c r="E17" s="324">
        <f t="shared" si="1"/>
        <v>0</v>
      </c>
      <c r="F17" s="322">
        <f t="shared" si="2"/>
        <v>0</v>
      </c>
    </row>
    <row r="18" spans="1:8" s="38" customFormat="1" ht="12.2" customHeight="1" thickBot="1" x14ac:dyDescent="0.25">
      <c r="A18" s="194" t="s">
        <v>92</v>
      </c>
      <c r="B18" s="181" t="s">
        <v>186</v>
      </c>
      <c r="C18" s="246"/>
      <c r="D18" s="323">
        <f>'15. sz. mell. Önk.'!C18+'16. sz. mell. Önk.'!C18</f>
        <v>0</v>
      </c>
      <c r="E18" s="325">
        <f t="shared" si="1"/>
        <v>0</v>
      </c>
      <c r="F18" s="322">
        <f t="shared" si="2"/>
        <v>0</v>
      </c>
    </row>
    <row r="19" spans="1:8" s="38" customFormat="1" ht="12.2" customHeight="1" thickBot="1" x14ac:dyDescent="0.25">
      <c r="A19" s="194" t="s">
        <v>93</v>
      </c>
      <c r="B19" s="181" t="s">
        <v>352</v>
      </c>
      <c r="C19" s="246"/>
      <c r="D19" s="323">
        <f>'15. sz. mell. Önk.'!C19+'16. sz. mell. Önk.'!C19</f>
        <v>0</v>
      </c>
      <c r="E19" s="325">
        <f t="shared" si="1"/>
        <v>0</v>
      </c>
      <c r="F19" s="322">
        <f t="shared" si="2"/>
        <v>0</v>
      </c>
    </row>
    <row r="20" spans="1:8" s="38" customFormat="1" ht="12.2" customHeight="1" thickBot="1" x14ac:dyDescent="0.25">
      <c r="A20" s="194" t="s">
        <v>94</v>
      </c>
      <c r="B20" s="181" t="s">
        <v>353</v>
      </c>
      <c r="C20" s="246"/>
      <c r="D20" s="323">
        <f>'15. sz. mell. Önk.'!C20+'16. sz. mell. Önk.'!C20</f>
        <v>0</v>
      </c>
      <c r="E20" s="325">
        <f t="shared" si="1"/>
        <v>0</v>
      </c>
      <c r="F20" s="322">
        <f t="shared" si="2"/>
        <v>0</v>
      </c>
    </row>
    <row r="21" spans="1:8" s="38" customFormat="1" ht="12.2" customHeight="1" thickBot="1" x14ac:dyDescent="0.25">
      <c r="A21" s="194" t="s">
        <v>95</v>
      </c>
      <c r="B21" s="181" t="s">
        <v>187</v>
      </c>
      <c r="C21" s="246">
        <f>104774899+33845851</f>
        <v>138620750</v>
      </c>
      <c r="D21" s="323">
        <f>'15. sz. mell. Önk.'!C21+'16. sz. mell. Önk.'!C21</f>
        <v>138620750</v>
      </c>
      <c r="E21" s="325">
        <f t="shared" si="1"/>
        <v>0</v>
      </c>
      <c r="F21" s="322">
        <f t="shared" si="2"/>
        <v>0</v>
      </c>
    </row>
    <row r="22" spans="1:8" s="39" customFormat="1" ht="12.2" customHeight="1" thickBot="1" x14ac:dyDescent="0.25">
      <c r="A22" s="195" t="s">
        <v>104</v>
      </c>
      <c r="B22" s="182" t="s">
        <v>188</v>
      </c>
      <c r="C22" s="249">
        <f>53054899+33845851</f>
        <v>86900750</v>
      </c>
      <c r="D22" s="323">
        <f>'15. sz. mell. Önk.'!C22+'16. sz. mell. Önk.'!C22</f>
        <v>86900750</v>
      </c>
      <c r="E22" s="326">
        <f t="shared" si="1"/>
        <v>0</v>
      </c>
      <c r="F22" s="322">
        <f t="shared" si="2"/>
        <v>0</v>
      </c>
    </row>
    <row r="23" spans="1:8" s="39" customFormat="1" ht="12.2" customHeight="1" thickBot="1" x14ac:dyDescent="0.25">
      <c r="A23" s="25" t="s">
        <v>18</v>
      </c>
      <c r="B23" s="18" t="s">
        <v>189</v>
      </c>
      <c r="C23" s="255">
        <f t="shared" ref="C23" si="5">+C24+C25+C26+C27+C28</f>
        <v>543031505</v>
      </c>
      <c r="D23" s="323">
        <f>'15. sz. mell. Önk.'!C23+'16. sz. mell. Önk.'!C23</f>
        <v>543031505</v>
      </c>
      <c r="E23" s="323">
        <f t="shared" si="1"/>
        <v>0</v>
      </c>
      <c r="F23" s="322">
        <f t="shared" si="2"/>
        <v>0</v>
      </c>
    </row>
    <row r="24" spans="1:8" s="39" customFormat="1" ht="12.2" customHeight="1" thickBot="1" x14ac:dyDescent="0.25">
      <c r="A24" s="193" t="s">
        <v>74</v>
      </c>
      <c r="B24" s="180" t="s">
        <v>190</v>
      </c>
      <c r="C24" s="655"/>
      <c r="D24" s="323">
        <f>'15. sz. mell. Önk.'!C24+'16. sz. mell. Önk.'!C24</f>
        <v>0</v>
      </c>
      <c r="E24" s="324">
        <f t="shared" si="1"/>
        <v>0</v>
      </c>
      <c r="F24" s="322">
        <f t="shared" si="2"/>
        <v>0</v>
      </c>
    </row>
    <row r="25" spans="1:8" s="38" customFormat="1" ht="12.2" customHeight="1" thickBot="1" x14ac:dyDescent="0.25">
      <c r="A25" s="194" t="s">
        <v>75</v>
      </c>
      <c r="B25" s="181" t="s">
        <v>191</v>
      </c>
      <c r="C25" s="246"/>
      <c r="D25" s="323">
        <f>'15. sz. mell. Önk.'!C25+'16. sz. mell. Önk.'!C25</f>
        <v>0</v>
      </c>
      <c r="E25" s="325">
        <f t="shared" si="1"/>
        <v>0</v>
      </c>
      <c r="F25" s="322">
        <f t="shared" si="2"/>
        <v>0</v>
      </c>
    </row>
    <row r="26" spans="1:8" s="39" customFormat="1" ht="12.2" customHeight="1" thickBot="1" x14ac:dyDescent="0.25">
      <c r="A26" s="194" t="s">
        <v>76</v>
      </c>
      <c r="B26" s="181" t="s">
        <v>354</v>
      </c>
      <c r="C26" s="246"/>
      <c r="D26" s="323">
        <f>'15. sz. mell. Önk.'!C26+'16. sz. mell. Önk.'!C26</f>
        <v>0</v>
      </c>
      <c r="E26" s="325">
        <f t="shared" si="1"/>
        <v>0</v>
      </c>
      <c r="F26" s="322">
        <f t="shared" si="2"/>
        <v>0</v>
      </c>
    </row>
    <row r="27" spans="1:8" s="39" customFormat="1" ht="12.2" customHeight="1" thickBot="1" x14ac:dyDescent="0.25">
      <c r="A27" s="194" t="s">
        <v>77</v>
      </c>
      <c r="B27" s="181" t="s">
        <v>355</v>
      </c>
      <c r="C27" s="246"/>
      <c r="D27" s="323">
        <f>'15. sz. mell. Önk.'!C27+'16. sz. mell. Önk.'!C27</f>
        <v>0</v>
      </c>
      <c r="E27" s="325">
        <f t="shared" si="1"/>
        <v>0</v>
      </c>
      <c r="F27" s="322">
        <f t="shared" si="2"/>
        <v>0</v>
      </c>
    </row>
    <row r="28" spans="1:8" s="39" customFormat="1" ht="12.2" customHeight="1" thickBot="1" x14ac:dyDescent="0.25">
      <c r="A28" s="194" t="s">
        <v>122</v>
      </c>
      <c r="B28" s="181" t="s">
        <v>192</v>
      </c>
      <c r="C28" s="246">
        <f>272339867+270691638</f>
        <v>543031505</v>
      </c>
      <c r="D28" s="323">
        <f>'15. sz. mell. Önk.'!C28+'16. sz. mell. Önk.'!C28</f>
        <v>543031505</v>
      </c>
      <c r="E28" s="325">
        <f t="shared" si="1"/>
        <v>0</v>
      </c>
      <c r="F28" s="322">
        <f t="shared" si="2"/>
        <v>0</v>
      </c>
      <c r="H28" s="1088"/>
    </row>
    <row r="29" spans="1:8" s="39" customFormat="1" ht="12.2" customHeight="1" thickBot="1" x14ac:dyDescent="0.25">
      <c r="A29" s="195" t="s">
        <v>123</v>
      </c>
      <c r="B29" s="182" t="s">
        <v>193</v>
      </c>
      <c r="C29" s="249">
        <f>272339867+270691638</f>
        <v>543031505</v>
      </c>
      <c r="D29" s="323">
        <f>'15. sz. mell. Önk.'!C29+'16. sz. mell. Önk.'!C29</f>
        <v>543031505</v>
      </c>
      <c r="E29" s="326">
        <f t="shared" si="1"/>
        <v>0</v>
      </c>
      <c r="F29" s="322">
        <f t="shared" si="2"/>
        <v>0</v>
      </c>
    </row>
    <row r="30" spans="1:8" s="39" customFormat="1" ht="12.2" customHeight="1" thickBot="1" x14ac:dyDescent="0.25">
      <c r="A30" s="25" t="s">
        <v>124</v>
      </c>
      <c r="B30" s="18" t="s">
        <v>194</v>
      </c>
      <c r="C30" s="257">
        <f t="shared" ref="C30" si="6">+C31++C35+C36</f>
        <v>639195000</v>
      </c>
      <c r="D30" s="323">
        <f>'15. sz. mell. Önk.'!C30+'16. sz. mell. Önk.'!C30</f>
        <v>639195000</v>
      </c>
      <c r="E30" s="323">
        <f t="shared" si="1"/>
        <v>0</v>
      </c>
      <c r="F30" s="322">
        <f t="shared" si="2"/>
        <v>0</v>
      </c>
    </row>
    <row r="31" spans="1:8" s="39" customFormat="1" ht="12.2" customHeight="1" thickBot="1" x14ac:dyDescent="0.25">
      <c r="A31" s="193" t="s">
        <v>195</v>
      </c>
      <c r="B31" s="180" t="s">
        <v>554</v>
      </c>
      <c r="C31" s="1127">
        <f t="shared" ref="C31" si="7">SUM(C32:C33)</f>
        <v>615395000</v>
      </c>
      <c r="D31" s="323">
        <f>'15. sz. mell. Önk.'!C31+'16. sz. mell. Önk.'!C31</f>
        <v>615395000</v>
      </c>
      <c r="E31" s="324">
        <f t="shared" si="1"/>
        <v>0</v>
      </c>
      <c r="F31" s="322">
        <f t="shared" si="2"/>
        <v>0</v>
      </c>
    </row>
    <row r="32" spans="1:8" s="39" customFormat="1" ht="12.2" customHeight="1" thickBot="1" x14ac:dyDescent="0.25">
      <c r="A32" s="194" t="s">
        <v>196</v>
      </c>
      <c r="B32" s="181" t="s">
        <v>201</v>
      </c>
      <c r="C32" s="246">
        <v>109395000</v>
      </c>
      <c r="D32" s="323">
        <f>'15. sz. mell. Önk.'!C32+'16. sz. mell. Önk.'!C32</f>
        <v>109395000</v>
      </c>
      <c r="E32" s="325">
        <f t="shared" si="1"/>
        <v>0</v>
      </c>
      <c r="F32" s="322">
        <f t="shared" si="2"/>
        <v>0</v>
      </c>
    </row>
    <row r="33" spans="1:6" s="39" customFormat="1" ht="12.2" customHeight="1" thickBot="1" x14ac:dyDescent="0.25">
      <c r="A33" s="194" t="s">
        <v>197</v>
      </c>
      <c r="B33" s="232" t="s">
        <v>553</v>
      </c>
      <c r="C33" s="246">
        <v>506000000</v>
      </c>
      <c r="D33" s="323">
        <f>'15. sz. mell. Önk.'!C33+'16. sz. mell. Önk.'!C33</f>
        <v>506000000</v>
      </c>
      <c r="E33" s="325">
        <f t="shared" si="1"/>
        <v>0</v>
      </c>
      <c r="F33" s="322">
        <f t="shared" si="2"/>
        <v>0</v>
      </c>
    </row>
    <row r="34" spans="1:6" s="39" customFormat="1" ht="12.2" customHeight="1" thickBot="1" x14ac:dyDescent="0.25">
      <c r="A34" s="194" t="s">
        <v>198</v>
      </c>
      <c r="B34" s="181" t="s">
        <v>469</v>
      </c>
      <c r="C34" s="246"/>
      <c r="D34" s="323">
        <f>'15. sz. mell. Önk.'!C34+'16. sz. mell. Önk.'!C34</f>
        <v>0</v>
      </c>
      <c r="E34" s="325">
        <f t="shared" si="1"/>
        <v>0</v>
      </c>
      <c r="F34" s="322">
        <f t="shared" si="2"/>
        <v>0</v>
      </c>
    </row>
    <row r="35" spans="1:6" s="39" customFormat="1" ht="12.2" customHeight="1" thickBot="1" x14ac:dyDescent="0.25">
      <c r="A35" s="194" t="s">
        <v>199</v>
      </c>
      <c r="B35" s="181" t="s">
        <v>203</v>
      </c>
      <c r="C35" s="246">
        <f>1000000</f>
        <v>1000000</v>
      </c>
      <c r="D35" s="323">
        <f>'15. sz. mell. Önk.'!C35+'16. sz. mell. Önk.'!C35</f>
        <v>1000000</v>
      </c>
      <c r="E35" s="325">
        <f t="shared" si="1"/>
        <v>0</v>
      </c>
      <c r="F35" s="322">
        <f t="shared" si="2"/>
        <v>0</v>
      </c>
    </row>
    <row r="36" spans="1:6" s="39" customFormat="1" ht="12.2" customHeight="1" thickBot="1" x14ac:dyDescent="0.25">
      <c r="A36" s="195" t="s">
        <v>200</v>
      </c>
      <c r="B36" s="182" t="s">
        <v>204</v>
      </c>
      <c r="C36" s="249">
        <v>22800000</v>
      </c>
      <c r="D36" s="323">
        <f>'15. sz. mell. Önk.'!C36+'16. sz. mell. Önk.'!C36</f>
        <v>22800000</v>
      </c>
      <c r="E36" s="326">
        <f t="shared" si="1"/>
        <v>0</v>
      </c>
      <c r="F36" s="322">
        <f t="shared" si="2"/>
        <v>0</v>
      </c>
    </row>
    <row r="37" spans="1:6" s="39" customFormat="1" ht="12.2" customHeight="1" thickBot="1" x14ac:dyDescent="0.25">
      <c r="A37" s="25" t="s">
        <v>20</v>
      </c>
      <c r="B37" s="18" t="s">
        <v>387</v>
      </c>
      <c r="C37" s="255">
        <f t="shared" ref="C37" si="8">SUM(C38:C48)</f>
        <v>119162023</v>
      </c>
      <c r="D37" s="323">
        <f>'15. sz. mell. Önk.'!C37+'16. sz. mell. Önk.'!C37</f>
        <v>119162023</v>
      </c>
      <c r="E37" s="323">
        <f t="shared" si="1"/>
        <v>0</v>
      </c>
      <c r="F37" s="322">
        <f t="shared" si="2"/>
        <v>0</v>
      </c>
    </row>
    <row r="38" spans="1:6" s="39" customFormat="1" ht="12.2" customHeight="1" thickBot="1" x14ac:dyDescent="0.25">
      <c r="A38" s="193" t="s">
        <v>78</v>
      </c>
      <c r="B38" s="180" t="s">
        <v>207</v>
      </c>
      <c r="C38" s="655"/>
      <c r="D38" s="323">
        <f>'15. sz. mell. Önk.'!C38+'16. sz. mell. Önk.'!C38</f>
        <v>0</v>
      </c>
      <c r="E38" s="324">
        <f t="shared" si="1"/>
        <v>0</v>
      </c>
      <c r="F38" s="322">
        <f t="shared" si="2"/>
        <v>0</v>
      </c>
    </row>
    <row r="39" spans="1:6" s="39" customFormat="1" ht="12.2" customHeight="1" thickBot="1" x14ac:dyDescent="0.25">
      <c r="A39" s="194" t="s">
        <v>79</v>
      </c>
      <c r="B39" s="181" t="s">
        <v>208</v>
      </c>
      <c r="C39" s="246">
        <v>20852803</v>
      </c>
      <c r="D39" s="323">
        <f>'15. sz. mell. Önk.'!C39+'16. sz. mell. Önk.'!C39</f>
        <v>20852803</v>
      </c>
      <c r="E39" s="325">
        <f t="shared" si="1"/>
        <v>0</v>
      </c>
      <c r="F39" s="322">
        <f t="shared" si="2"/>
        <v>0</v>
      </c>
    </row>
    <row r="40" spans="1:6" s="39" customFormat="1" ht="12.2" customHeight="1" thickBot="1" x14ac:dyDescent="0.25">
      <c r="A40" s="194" t="s">
        <v>80</v>
      </c>
      <c r="B40" s="181" t="s">
        <v>209</v>
      </c>
      <c r="C40" s="246">
        <v>19433473</v>
      </c>
      <c r="D40" s="323">
        <f>'15. sz. mell. Önk.'!C40+'16. sz. mell. Önk.'!C40</f>
        <v>19433473</v>
      </c>
      <c r="E40" s="325">
        <f t="shared" si="1"/>
        <v>0</v>
      </c>
      <c r="F40" s="322">
        <f t="shared" si="2"/>
        <v>0</v>
      </c>
    </row>
    <row r="41" spans="1:6" s="39" customFormat="1" ht="12.2" customHeight="1" thickBot="1" x14ac:dyDescent="0.25">
      <c r="A41" s="194" t="s">
        <v>126</v>
      </c>
      <c r="B41" s="181" t="s">
        <v>210</v>
      </c>
      <c r="C41" s="246">
        <v>3700000</v>
      </c>
      <c r="D41" s="323">
        <f>'15. sz. mell. Önk.'!C41+'16. sz. mell. Önk.'!C41</f>
        <v>3700000</v>
      </c>
      <c r="E41" s="325">
        <f t="shared" si="1"/>
        <v>0</v>
      </c>
      <c r="F41" s="322">
        <f t="shared" si="2"/>
        <v>0</v>
      </c>
    </row>
    <row r="42" spans="1:6" s="39" customFormat="1" ht="12.2" customHeight="1" thickBot="1" x14ac:dyDescent="0.25">
      <c r="A42" s="194" t="s">
        <v>127</v>
      </c>
      <c r="B42" s="181" t="s">
        <v>211</v>
      </c>
      <c r="C42" s="246"/>
      <c r="D42" s="323">
        <f>'15. sz. mell. Önk.'!C42+'16. sz. mell. Önk.'!C42</f>
        <v>0</v>
      </c>
      <c r="E42" s="325">
        <f t="shared" si="1"/>
        <v>0</v>
      </c>
      <c r="F42" s="322">
        <f t="shared" si="2"/>
        <v>0</v>
      </c>
    </row>
    <row r="43" spans="1:6" s="39" customFormat="1" ht="12.2" customHeight="1" thickBot="1" x14ac:dyDescent="0.25">
      <c r="A43" s="194" t="s">
        <v>128</v>
      </c>
      <c r="B43" s="181" t="s">
        <v>212</v>
      </c>
      <c r="C43" s="246">
        <v>21841670</v>
      </c>
      <c r="D43" s="323">
        <f>'15. sz. mell. Önk.'!C43+'16. sz. mell. Önk.'!C43</f>
        <v>21841670</v>
      </c>
      <c r="E43" s="325">
        <f t="shared" si="1"/>
        <v>0</v>
      </c>
      <c r="F43" s="322">
        <f t="shared" si="2"/>
        <v>0</v>
      </c>
    </row>
    <row r="44" spans="1:6" s="39" customFormat="1" ht="12.2" customHeight="1" thickBot="1" x14ac:dyDescent="0.25">
      <c r="A44" s="194" t="s">
        <v>129</v>
      </c>
      <c r="B44" s="181" t="s">
        <v>213</v>
      </c>
      <c r="C44" s="246">
        <f>2808000+21502228</f>
        <v>24310228</v>
      </c>
      <c r="D44" s="323">
        <f>'15. sz. mell. Önk.'!C44+'16. sz. mell. Önk.'!C44</f>
        <v>24310228</v>
      </c>
      <c r="E44" s="325">
        <f t="shared" si="1"/>
        <v>0</v>
      </c>
      <c r="F44" s="322">
        <f t="shared" si="2"/>
        <v>0</v>
      </c>
    </row>
    <row r="45" spans="1:6" s="39" customFormat="1" ht="12.2" customHeight="1" thickBot="1" x14ac:dyDescent="0.25">
      <c r="A45" s="194" t="s">
        <v>130</v>
      </c>
      <c r="B45" s="181" t="s">
        <v>214</v>
      </c>
      <c r="C45" s="246"/>
      <c r="D45" s="323">
        <f>'15. sz. mell. Önk.'!C45+'16. sz. mell. Önk.'!C45</f>
        <v>0</v>
      </c>
      <c r="E45" s="325">
        <f t="shared" si="1"/>
        <v>0</v>
      </c>
      <c r="F45" s="322">
        <f t="shared" si="2"/>
        <v>0</v>
      </c>
    </row>
    <row r="46" spans="1:6" s="39" customFormat="1" ht="12.2" customHeight="1" thickBot="1" x14ac:dyDescent="0.25">
      <c r="A46" s="194" t="s">
        <v>205</v>
      </c>
      <c r="B46" s="181" t="s">
        <v>215</v>
      </c>
      <c r="C46" s="246"/>
      <c r="D46" s="323">
        <f>'15. sz. mell. Önk.'!C46+'16. sz. mell. Önk.'!C46</f>
        <v>0</v>
      </c>
      <c r="E46" s="325">
        <f t="shared" si="1"/>
        <v>0</v>
      </c>
      <c r="F46" s="322">
        <f t="shared" si="2"/>
        <v>0</v>
      </c>
    </row>
    <row r="47" spans="1:6" s="39" customFormat="1" ht="12.2" customHeight="1" thickBot="1" x14ac:dyDescent="0.25">
      <c r="A47" s="195" t="s">
        <v>206</v>
      </c>
      <c r="B47" s="182" t="s">
        <v>388</v>
      </c>
      <c r="C47" s="249"/>
      <c r="D47" s="323">
        <f>'15. sz. mell. Önk.'!C47+'16. sz. mell. Önk.'!C47</f>
        <v>0</v>
      </c>
      <c r="E47" s="325">
        <f t="shared" si="1"/>
        <v>0</v>
      </c>
      <c r="F47" s="322">
        <f t="shared" si="2"/>
        <v>0</v>
      </c>
    </row>
    <row r="48" spans="1:6" s="39" customFormat="1" ht="12.2" customHeight="1" thickBot="1" x14ac:dyDescent="0.25">
      <c r="A48" s="195" t="s">
        <v>389</v>
      </c>
      <c r="B48" s="182" t="s">
        <v>216</v>
      </c>
      <c r="C48" s="249">
        <f>600000+28423849</f>
        <v>29023849</v>
      </c>
      <c r="D48" s="323">
        <f>'15. sz. mell. Önk.'!C48+'16. sz. mell. Önk.'!C48</f>
        <v>29023849</v>
      </c>
      <c r="E48" s="326">
        <f t="shared" si="1"/>
        <v>0</v>
      </c>
      <c r="F48" s="322">
        <f t="shared" si="2"/>
        <v>0</v>
      </c>
    </row>
    <row r="49" spans="1:6" s="39" customFormat="1" ht="12.2" customHeight="1" thickBot="1" x14ac:dyDescent="0.25">
      <c r="A49" s="25" t="s">
        <v>21</v>
      </c>
      <c r="B49" s="18" t="s">
        <v>217</v>
      </c>
      <c r="C49" s="255">
        <f t="shared" ref="C49" si="9">SUM(C50:C54)</f>
        <v>60500000</v>
      </c>
      <c r="D49" s="323">
        <f>'15. sz. mell. Önk.'!C49+'16. sz. mell. Önk.'!C49</f>
        <v>60500000</v>
      </c>
      <c r="E49" s="323">
        <f t="shared" si="1"/>
        <v>0</v>
      </c>
      <c r="F49" s="322">
        <f t="shared" si="2"/>
        <v>0</v>
      </c>
    </row>
    <row r="50" spans="1:6" s="39" customFormat="1" ht="12.2" customHeight="1" thickBot="1" x14ac:dyDescent="0.25">
      <c r="A50" s="193" t="s">
        <v>81</v>
      </c>
      <c r="B50" s="180" t="s">
        <v>221</v>
      </c>
      <c r="C50" s="655"/>
      <c r="D50" s="323">
        <f>'15. sz. mell. Önk.'!C50+'16. sz. mell. Önk.'!C50</f>
        <v>0</v>
      </c>
      <c r="E50" s="324">
        <f t="shared" si="1"/>
        <v>0</v>
      </c>
      <c r="F50" s="322">
        <f t="shared" si="2"/>
        <v>0</v>
      </c>
    </row>
    <row r="51" spans="1:6" s="39" customFormat="1" ht="12.2" customHeight="1" thickBot="1" x14ac:dyDescent="0.25">
      <c r="A51" s="194" t="s">
        <v>82</v>
      </c>
      <c r="B51" s="181" t="s">
        <v>222</v>
      </c>
      <c r="C51" s="246">
        <v>60500000</v>
      </c>
      <c r="D51" s="323">
        <f>'15. sz. mell. Önk.'!C51+'16. sz. mell. Önk.'!C51</f>
        <v>60500000</v>
      </c>
      <c r="E51" s="325">
        <f t="shared" si="1"/>
        <v>0</v>
      </c>
      <c r="F51" s="322">
        <f t="shared" si="2"/>
        <v>0</v>
      </c>
    </row>
    <row r="52" spans="1:6" s="39" customFormat="1" ht="12.2" customHeight="1" thickBot="1" x14ac:dyDescent="0.25">
      <c r="A52" s="194" t="s">
        <v>218</v>
      </c>
      <c r="B52" s="181" t="s">
        <v>223</v>
      </c>
      <c r="C52" s="246"/>
      <c r="D52" s="323">
        <f>'15. sz. mell. Önk.'!C52+'16. sz. mell. Önk.'!C52</f>
        <v>0</v>
      </c>
      <c r="E52" s="325">
        <f t="shared" si="1"/>
        <v>0</v>
      </c>
      <c r="F52" s="322">
        <f t="shared" si="2"/>
        <v>0</v>
      </c>
    </row>
    <row r="53" spans="1:6" s="39" customFormat="1" ht="12.2" customHeight="1" thickBot="1" x14ac:dyDescent="0.25">
      <c r="A53" s="194" t="s">
        <v>219</v>
      </c>
      <c r="B53" s="181" t="s">
        <v>224</v>
      </c>
      <c r="C53" s="246"/>
      <c r="D53" s="323">
        <f>'15. sz. mell. Önk.'!C53+'16. sz. mell. Önk.'!C53</f>
        <v>0</v>
      </c>
      <c r="E53" s="325">
        <f t="shared" si="1"/>
        <v>0</v>
      </c>
      <c r="F53" s="322">
        <f t="shared" si="2"/>
        <v>0</v>
      </c>
    </row>
    <row r="54" spans="1:6" s="39" customFormat="1" ht="12.2" customHeight="1" thickBot="1" x14ac:dyDescent="0.25">
      <c r="A54" s="195" t="s">
        <v>220</v>
      </c>
      <c r="B54" s="182" t="s">
        <v>225</v>
      </c>
      <c r="C54" s="249"/>
      <c r="D54" s="323">
        <f>'15. sz. mell. Önk.'!C54+'16. sz. mell. Önk.'!C54</f>
        <v>0</v>
      </c>
      <c r="E54" s="326">
        <f t="shared" si="1"/>
        <v>0</v>
      </c>
      <c r="F54" s="322">
        <f t="shared" si="2"/>
        <v>0</v>
      </c>
    </row>
    <row r="55" spans="1:6" s="39" customFormat="1" ht="12.2" customHeight="1" thickBot="1" x14ac:dyDescent="0.25">
      <c r="A55" s="25" t="s">
        <v>131</v>
      </c>
      <c r="B55" s="18" t="s">
        <v>226</v>
      </c>
      <c r="C55" s="255">
        <f t="shared" ref="C55" si="10">SUM(C56:C58)</f>
        <v>1200000</v>
      </c>
      <c r="D55" s="323">
        <f>'15. sz. mell. Önk.'!C55+'16. sz. mell. Önk.'!C55</f>
        <v>1200000</v>
      </c>
      <c r="E55" s="323">
        <f t="shared" si="1"/>
        <v>0</v>
      </c>
      <c r="F55" s="322">
        <f t="shared" si="2"/>
        <v>0</v>
      </c>
    </row>
    <row r="56" spans="1:6" s="39" customFormat="1" ht="12.2" customHeight="1" thickBot="1" x14ac:dyDescent="0.25">
      <c r="A56" s="193" t="s">
        <v>83</v>
      </c>
      <c r="B56" s="180" t="s">
        <v>227</v>
      </c>
      <c r="C56" s="655">
        <v>1000000</v>
      </c>
      <c r="D56" s="323">
        <f>'15. sz. mell. Önk.'!C56+'16. sz. mell. Önk.'!C56</f>
        <v>1000000</v>
      </c>
      <c r="E56" s="324">
        <f t="shared" si="1"/>
        <v>0</v>
      </c>
      <c r="F56" s="322">
        <f t="shared" si="2"/>
        <v>0</v>
      </c>
    </row>
    <row r="57" spans="1:6" s="39" customFormat="1" ht="12.2" customHeight="1" thickBot="1" x14ac:dyDescent="0.25">
      <c r="A57" s="194" t="s">
        <v>84</v>
      </c>
      <c r="B57" s="181" t="s">
        <v>356</v>
      </c>
      <c r="C57" s="246">
        <v>200000</v>
      </c>
      <c r="D57" s="323">
        <f>'15. sz. mell. Önk.'!C57+'16. sz. mell. Önk.'!C57</f>
        <v>200000</v>
      </c>
      <c r="E57" s="325">
        <f t="shared" si="1"/>
        <v>0</v>
      </c>
      <c r="F57" s="322">
        <f t="shared" si="2"/>
        <v>0</v>
      </c>
    </row>
    <row r="58" spans="1:6" s="39" customFormat="1" ht="12.2" customHeight="1" thickBot="1" x14ac:dyDescent="0.25">
      <c r="A58" s="194" t="s">
        <v>230</v>
      </c>
      <c r="B58" s="181" t="s">
        <v>228</v>
      </c>
      <c r="C58" s="246"/>
      <c r="D58" s="323">
        <f>'15. sz. mell. Önk.'!C58+'16. sz. mell. Önk.'!C58</f>
        <v>0</v>
      </c>
      <c r="E58" s="325">
        <f t="shared" si="1"/>
        <v>0</v>
      </c>
      <c r="F58" s="322">
        <f t="shared" si="2"/>
        <v>0</v>
      </c>
    </row>
    <row r="59" spans="1:6" s="39" customFormat="1" ht="12.2" customHeight="1" thickBot="1" x14ac:dyDescent="0.25">
      <c r="A59" s="195" t="s">
        <v>231</v>
      </c>
      <c r="B59" s="182" t="s">
        <v>229</v>
      </c>
      <c r="C59" s="249"/>
      <c r="D59" s="323">
        <f>'15. sz. mell. Önk.'!C59+'16. sz. mell. Önk.'!C59</f>
        <v>0</v>
      </c>
      <c r="E59" s="326">
        <f t="shared" si="1"/>
        <v>0</v>
      </c>
      <c r="F59" s="322">
        <f t="shared" si="2"/>
        <v>0</v>
      </c>
    </row>
    <row r="60" spans="1:6" s="39" customFormat="1" ht="12.2" customHeight="1" thickBot="1" x14ac:dyDescent="0.25">
      <c r="A60" s="25" t="s">
        <v>23</v>
      </c>
      <c r="B60" s="105" t="s">
        <v>232</v>
      </c>
      <c r="C60" s="255">
        <f t="shared" ref="C60" si="11">SUM(C61:C63)</f>
        <v>0</v>
      </c>
      <c r="D60" s="323">
        <f>'15. sz. mell. Önk.'!C60+'16. sz. mell. Önk.'!C60</f>
        <v>0</v>
      </c>
      <c r="E60" s="323">
        <f t="shared" si="1"/>
        <v>0</v>
      </c>
      <c r="F60" s="322">
        <f t="shared" si="2"/>
        <v>0</v>
      </c>
    </row>
    <row r="61" spans="1:6" s="39" customFormat="1" ht="12.2" customHeight="1" thickBot="1" x14ac:dyDescent="0.25">
      <c r="A61" s="193" t="s">
        <v>132</v>
      </c>
      <c r="B61" s="180" t="s">
        <v>234</v>
      </c>
      <c r="C61" s="246"/>
      <c r="D61" s="323">
        <f>'15. sz. mell. Önk.'!C61+'16. sz. mell. Önk.'!C61</f>
        <v>0</v>
      </c>
      <c r="E61" s="324">
        <f t="shared" si="1"/>
        <v>0</v>
      </c>
      <c r="F61" s="322">
        <f t="shared" si="2"/>
        <v>0</v>
      </c>
    </row>
    <row r="62" spans="1:6" s="39" customFormat="1" ht="12.2" customHeight="1" thickBot="1" x14ac:dyDescent="0.25">
      <c r="A62" s="194" t="s">
        <v>133</v>
      </c>
      <c r="B62" s="181" t="s">
        <v>357</v>
      </c>
      <c r="C62" s="246"/>
      <c r="D62" s="323">
        <f>'15. sz. mell. Önk.'!C62+'16. sz. mell. Önk.'!C62</f>
        <v>0</v>
      </c>
      <c r="E62" s="325">
        <f t="shared" si="1"/>
        <v>0</v>
      </c>
      <c r="F62" s="322">
        <f t="shared" si="2"/>
        <v>0</v>
      </c>
    </row>
    <row r="63" spans="1:6" s="39" customFormat="1" ht="12.2" customHeight="1" thickBot="1" x14ac:dyDescent="0.25">
      <c r="A63" s="194" t="s">
        <v>158</v>
      </c>
      <c r="B63" s="181" t="s">
        <v>235</v>
      </c>
      <c r="C63" s="246"/>
      <c r="D63" s="323">
        <f>'15. sz. mell. Önk.'!C63+'16. sz. mell. Önk.'!C63</f>
        <v>0</v>
      </c>
      <c r="E63" s="325">
        <f t="shared" si="1"/>
        <v>0</v>
      </c>
      <c r="F63" s="322">
        <f t="shared" si="2"/>
        <v>0</v>
      </c>
    </row>
    <row r="64" spans="1:6" s="39" customFormat="1" ht="12.2" customHeight="1" thickBot="1" x14ac:dyDescent="0.25">
      <c r="A64" s="195" t="s">
        <v>233</v>
      </c>
      <c r="B64" s="182" t="s">
        <v>236</v>
      </c>
      <c r="C64" s="246"/>
      <c r="D64" s="323">
        <f>'15. sz. mell. Önk.'!C64+'16. sz. mell. Önk.'!C64</f>
        <v>0</v>
      </c>
      <c r="E64" s="326">
        <f t="shared" si="1"/>
        <v>0</v>
      </c>
      <c r="F64" s="322">
        <f t="shared" si="2"/>
        <v>0</v>
      </c>
    </row>
    <row r="65" spans="1:6" s="39" customFormat="1" ht="12.2" customHeight="1" thickBot="1" x14ac:dyDescent="0.25">
      <c r="A65" s="25" t="s">
        <v>24</v>
      </c>
      <c r="B65" s="18" t="s">
        <v>237</v>
      </c>
      <c r="C65" s="257">
        <f t="shared" ref="C65" si="12">+C7+C16+C23+C30+C37+C49+C55+C60</f>
        <v>3726369930</v>
      </c>
      <c r="D65" s="323">
        <f>'15. sz. mell. Önk.'!C65+'16. sz. mell. Önk.'!C65</f>
        <v>3726369930</v>
      </c>
      <c r="E65" s="323">
        <f t="shared" si="1"/>
        <v>0</v>
      </c>
      <c r="F65" s="322">
        <f t="shared" si="2"/>
        <v>0</v>
      </c>
    </row>
    <row r="66" spans="1:6" s="39" customFormat="1" ht="12.2" customHeight="1" thickBot="1" x14ac:dyDescent="0.2">
      <c r="A66" s="196" t="s">
        <v>327</v>
      </c>
      <c r="B66" s="105" t="s">
        <v>239</v>
      </c>
      <c r="C66" s="255">
        <f t="shared" ref="C66" si="13">SUM(C67:C69)</f>
        <v>1254058824</v>
      </c>
      <c r="D66" s="323">
        <f>'15. sz. mell. Önk.'!C66+'16. sz. mell. Önk.'!C66</f>
        <v>1254058824</v>
      </c>
      <c r="E66" s="323">
        <f t="shared" si="1"/>
        <v>0</v>
      </c>
      <c r="F66" s="322">
        <f t="shared" si="2"/>
        <v>0</v>
      </c>
    </row>
    <row r="67" spans="1:6" s="39" customFormat="1" ht="12.2" customHeight="1" thickBot="1" x14ac:dyDescent="0.25">
      <c r="A67" s="193" t="s">
        <v>270</v>
      </c>
      <c r="B67" s="180" t="s">
        <v>240</v>
      </c>
      <c r="C67" s="246">
        <v>154058824</v>
      </c>
      <c r="D67" s="323">
        <f>'15. sz. mell. Önk.'!C67+'16. sz. mell. Önk.'!C67</f>
        <v>154058824</v>
      </c>
      <c r="E67" s="324">
        <f t="shared" si="1"/>
        <v>0</v>
      </c>
      <c r="F67" s="322">
        <f t="shared" si="2"/>
        <v>0</v>
      </c>
    </row>
    <row r="68" spans="1:6" s="39" customFormat="1" ht="12.2" customHeight="1" thickBot="1" x14ac:dyDescent="0.25">
      <c r="A68" s="194" t="s">
        <v>279</v>
      </c>
      <c r="B68" s="181" t="s">
        <v>241</v>
      </c>
      <c r="C68" s="246">
        <v>1100000000</v>
      </c>
      <c r="D68" s="323">
        <f>'15. sz. mell. Önk.'!C68+'16. sz. mell. Önk.'!C68</f>
        <v>1100000000</v>
      </c>
      <c r="E68" s="325">
        <f t="shared" si="1"/>
        <v>0</v>
      </c>
      <c r="F68" s="322">
        <f t="shared" si="2"/>
        <v>0</v>
      </c>
    </row>
    <row r="69" spans="1:6" s="39" customFormat="1" ht="12.2" customHeight="1" thickBot="1" x14ac:dyDescent="0.25">
      <c r="A69" s="195" t="s">
        <v>280</v>
      </c>
      <c r="B69" s="183" t="s">
        <v>242</v>
      </c>
      <c r="C69" s="246"/>
      <c r="D69" s="323">
        <f>'15. sz. mell. Önk.'!C69+'16. sz. mell. Önk.'!C69</f>
        <v>0</v>
      </c>
      <c r="E69" s="326">
        <f t="shared" si="1"/>
        <v>0</v>
      </c>
      <c r="F69" s="322">
        <f t="shared" si="2"/>
        <v>0</v>
      </c>
    </row>
    <row r="70" spans="1:6" s="39" customFormat="1" ht="12.2" customHeight="1" thickBot="1" x14ac:dyDescent="0.2">
      <c r="A70" s="196" t="s">
        <v>243</v>
      </c>
      <c r="B70" s="105" t="s">
        <v>244</v>
      </c>
      <c r="C70" s="255">
        <f t="shared" ref="C70" si="14">SUM(C71:C74)</f>
        <v>0</v>
      </c>
      <c r="D70" s="323">
        <f>'15. sz. mell. Önk.'!C70+'16. sz. mell. Önk.'!C70</f>
        <v>0</v>
      </c>
      <c r="E70" s="323">
        <f t="shared" si="1"/>
        <v>0</v>
      </c>
      <c r="F70" s="322">
        <f t="shared" si="2"/>
        <v>0</v>
      </c>
    </row>
    <row r="71" spans="1:6" s="39" customFormat="1" ht="12.2" customHeight="1" thickBot="1" x14ac:dyDescent="0.25">
      <c r="A71" s="193" t="s">
        <v>112</v>
      </c>
      <c r="B71" s="180" t="s">
        <v>245</v>
      </c>
      <c r="C71" s="246"/>
      <c r="D71" s="323">
        <f>'15. sz. mell. Önk.'!C71+'16. sz. mell. Önk.'!C71</f>
        <v>0</v>
      </c>
      <c r="E71" s="324">
        <f t="shared" si="1"/>
        <v>0</v>
      </c>
      <c r="F71" s="322">
        <f t="shared" si="2"/>
        <v>0</v>
      </c>
    </row>
    <row r="72" spans="1:6" s="39" customFormat="1" ht="12.2" customHeight="1" thickBot="1" x14ac:dyDescent="0.25">
      <c r="A72" s="194" t="s">
        <v>113</v>
      </c>
      <c r="B72" s="181" t="s">
        <v>246</v>
      </c>
      <c r="C72" s="246"/>
      <c r="D72" s="323">
        <f>'15. sz. mell. Önk.'!C72+'16. sz. mell. Önk.'!C72</f>
        <v>0</v>
      </c>
      <c r="E72" s="325">
        <f t="shared" ref="E72:E90" si="15">C72-D72</f>
        <v>0</v>
      </c>
      <c r="F72" s="322">
        <f t="shared" si="2"/>
        <v>0</v>
      </c>
    </row>
    <row r="73" spans="1:6" s="39" customFormat="1" ht="12.2" customHeight="1" thickBot="1" x14ac:dyDescent="0.25">
      <c r="A73" s="194" t="s">
        <v>271</v>
      </c>
      <c r="B73" s="181" t="s">
        <v>247</v>
      </c>
      <c r="C73" s="246"/>
      <c r="D73" s="323">
        <f>'15. sz. mell. Önk.'!C73+'16. sz. mell. Önk.'!C73</f>
        <v>0</v>
      </c>
      <c r="E73" s="325">
        <f t="shared" si="15"/>
        <v>0</v>
      </c>
      <c r="F73" s="322">
        <f t="shared" ref="F73:F135" si="16">C73-D73</f>
        <v>0</v>
      </c>
    </row>
    <row r="74" spans="1:6" s="39" customFormat="1" ht="12.2" customHeight="1" thickBot="1" x14ac:dyDescent="0.25">
      <c r="A74" s="195" t="s">
        <v>272</v>
      </c>
      <c r="B74" s="182" t="s">
        <v>248</v>
      </c>
      <c r="C74" s="246"/>
      <c r="D74" s="323">
        <f>'15. sz. mell. Önk.'!C74+'16. sz. mell. Önk.'!C74</f>
        <v>0</v>
      </c>
      <c r="E74" s="326">
        <f t="shared" si="15"/>
        <v>0</v>
      </c>
      <c r="F74" s="322">
        <f t="shared" si="16"/>
        <v>0</v>
      </c>
    </row>
    <row r="75" spans="1:6" s="39" customFormat="1" ht="12.2" customHeight="1" thickBot="1" x14ac:dyDescent="0.2">
      <c r="A75" s="196" t="s">
        <v>249</v>
      </c>
      <c r="B75" s="105" t="s">
        <v>250</v>
      </c>
      <c r="C75" s="255">
        <f t="shared" ref="C75" si="17">SUM(C76:C77)</f>
        <v>2178537308</v>
      </c>
      <c r="D75" s="323">
        <f>'15. sz. mell. Önk.'!C75+'16. sz. mell. Önk.'!C75</f>
        <v>2178537308</v>
      </c>
      <c r="E75" s="323">
        <f t="shared" si="15"/>
        <v>0</v>
      </c>
      <c r="F75" s="322">
        <f t="shared" si="16"/>
        <v>0</v>
      </c>
    </row>
    <row r="76" spans="1:6" s="39" customFormat="1" ht="12.2" customHeight="1" thickBot="1" x14ac:dyDescent="0.25">
      <c r="A76" s="193" t="s">
        <v>273</v>
      </c>
      <c r="B76" s="180" t="s">
        <v>251</v>
      </c>
      <c r="C76" s="246">
        <v>2178537308</v>
      </c>
      <c r="D76" s="323">
        <f>'15. sz. mell. Önk.'!C76+'16. sz. mell. Önk.'!C76</f>
        <v>2178537308</v>
      </c>
      <c r="E76" s="324">
        <f t="shared" si="15"/>
        <v>0</v>
      </c>
      <c r="F76" s="322">
        <f t="shared" si="16"/>
        <v>0</v>
      </c>
    </row>
    <row r="77" spans="1:6" s="39" customFormat="1" ht="12.2" customHeight="1" thickBot="1" x14ac:dyDescent="0.25">
      <c r="A77" s="195" t="s">
        <v>274</v>
      </c>
      <c r="B77" s="182" t="s">
        <v>252</v>
      </c>
      <c r="C77" s="246"/>
      <c r="D77" s="323">
        <f>'15. sz. mell. Önk.'!C77+'16. sz. mell. Önk.'!C77</f>
        <v>0</v>
      </c>
      <c r="E77" s="326">
        <f t="shared" si="15"/>
        <v>0</v>
      </c>
      <c r="F77" s="322">
        <f t="shared" si="16"/>
        <v>0</v>
      </c>
    </row>
    <row r="78" spans="1:6" s="38" customFormat="1" ht="12.2" customHeight="1" thickBot="1" x14ac:dyDescent="0.2">
      <c r="A78" s="196" t="s">
        <v>253</v>
      </c>
      <c r="B78" s="105" t="s">
        <v>254</v>
      </c>
      <c r="C78" s="255">
        <f t="shared" ref="C78" si="18">SUM(C79:C81)</f>
        <v>61842606</v>
      </c>
      <c r="D78" s="323">
        <f>'15. sz. mell. Önk.'!C78+'16. sz. mell. Önk.'!C78</f>
        <v>61842606</v>
      </c>
      <c r="E78" s="323">
        <f t="shared" si="15"/>
        <v>0</v>
      </c>
      <c r="F78" s="322">
        <f t="shared" si="16"/>
        <v>0</v>
      </c>
    </row>
    <row r="79" spans="1:6" s="39" customFormat="1" ht="12.2" customHeight="1" thickBot="1" x14ac:dyDescent="0.25">
      <c r="A79" s="193" t="s">
        <v>275</v>
      </c>
      <c r="B79" s="180" t="s">
        <v>255</v>
      </c>
      <c r="C79" s="246">
        <v>61842606</v>
      </c>
      <c r="D79" s="323">
        <f>'15. sz. mell. Önk.'!C79+'16. sz. mell. Önk.'!C79</f>
        <v>61842606</v>
      </c>
      <c r="E79" s="324">
        <f t="shared" si="15"/>
        <v>0</v>
      </c>
      <c r="F79" s="322">
        <f t="shared" si="16"/>
        <v>0</v>
      </c>
    </row>
    <row r="80" spans="1:6" s="39" customFormat="1" ht="12.2" customHeight="1" thickBot="1" x14ac:dyDescent="0.25">
      <c r="A80" s="194" t="s">
        <v>276</v>
      </c>
      <c r="B80" s="181" t="s">
        <v>256</v>
      </c>
      <c r="C80" s="246"/>
      <c r="D80" s="323">
        <f>'15. sz. mell. Önk.'!C80+'16. sz. mell. Önk.'!C80</f>
        <v>0</v>
      </c>
      <c r="E80" s="325">
        <f t="shared" si="15"/>
        <v>0</v>
      </c>
      <c r="F80" s="322">
        <f t="shared" si="16"/>
        <v>0</v>
      </c>
    </row>
    <row r="81" spans="1:6" s="39" customFormat="1" ht="12.2" customHeight="1" thickBot="1" x14ac:dyDescent="0.25">
      <c r="A81" s="195" t="s">
        <v>277</v>
      </c>
      <c r="B81" s="182" t="s">
        <v>257</v>
      </c>
      <c r="C81" s="246"/>
      <c r="D81" s="323">
        <f>'15. sz. mell. Önk.'!C81+'16. sz. mell. Önk.'!C81</f>
        <v>0</v>
      </c>
      <c r="E81" s="326">
        <f t="shared" si="15"/>
        <v>0</v>
      </c>
      <c r="F81" s="322">
        <f t="shared" si="16"/>
        <v>0</v>
      </c>
    </row>
    <row r="82" spans="1:6" s="39" customFormat="1" ht="12.2" customHeight="1" thickBot="1" x14ac:dyDescent="0.2">
      <c r="A82" s="196" t="s">
        <v>258</v>
      </c>
      <c r="B82" s="105" t="s">
        <v>278</v>
      </c>
      <c r="C82" s="255">
        <f t="shared" ref="C82" si="19">SUM(C83:C86)</f>
        <v>0</v>
      </c>
      <c r="D82" s="323">
        <f>'15. sz. mell. Önk.'!C82+'16. sz. mell. Önk.'!C82</f>
        <v>0</v>
      </c>
      <c r="E82" s="323">
        <f t="shared" si="15"/>
        <v>0</v>
      </c>
      <c r="F82" s="322">
        <f t="shared" si="16"/>
        <v>0</v>
      </c>
    </row>
    <row r="83" spans="1:6" s="39" customFormat="1" ht="12.2" customHeight="1" thickBot="1" x14ac:dyDescent="0.25">
      <c r="A83" s="197" t="s">
        <v>259</v>
      </c>
      <c r="B83" s="180" t="s">
        <v>260</v>
      </c>
      <c r="C83" s="246"/>
      <c r="D83" s="323">
        <f>'15. sz. mell. Önk.'!C83+'16. sz. mell. Önk.'!C83</f>
        <v>0</v>
      </c>
      <c r="E83" s="324">
        <f t="shared" si="15"/>
        <v>0</v>
      </c>
      <c r="F83" s="322">
        <f t="shared" si="16"/>
        <v>0</v>
      </c>
    </row>
    <row r="84" spans="1:6" s="39" customFormat="1" ht="12.2" customHeight="1" thickBot="1" x14ac:dyDescent="0.25">
      <c r="A84" s="198" t="s">
        <v>261</v>
      </c>
      <c r="B84" s="181" t="s">
        <v>262</v>
      </c>
      <c r="C84" s="246"/>
      <c r="D84" s="323">
        <f>'15. sz. mell. Önk.'!C84+'16. sz. mell. Önk.'!C84</f>
        <v>0</v>
      </c>
      <c r="E84" s="325">
        <f t="shared" si="15"/>
        <v>0</v>
      </c>
      <c r="F84" s="322">
        <f t="shared" si="16"/>
        <v>0</v>
      </c>
    </row>
    <row r="85" spans="1:6" s="39" customFormat="1" ht="12.2" customHeight="1" thickBot="1" x14ac:dyDescent="0.25">
      <c r="A85" s="198" t="s">
        <v>263</v>
      </c>
      <c r="B85" s="181" t="s">
        <v>264</v>
      </c>
      <c r="C85" s="246"/>
      <c r="D85" s="323">
        <f>'15. sz. mell. Önk.'!C85+'16. sz. mell. Önk.'!C85</f>
        <v>0</v>
      </c>
      <c r="E85" s="325">
        <f t="shared" si="15"/>
        <v>0</v>
      </c>
      <c r="F85" s="322">
        <f t="shared" si="16"/>
        <v>0</v>
      </c>
    </row>
    <row r="86" spans="1:6" s="38" customFormat="1" ht="12.2" customHeight="1" thickBot="1" x14ac:dyDescent="0.25">
      <c r="A86" s="199" t="s">
        <v>265</v>
      </c>
      <c r="B86" s="182" t="s">
        <v>266</v>
      </c>
      <c r="C86" s="246"/>
      <c r="D86" s="323">
        <f>'15. sz. mell. Önk.'!C86+'16. sz. mell. Önk.'!C86</f>
        <v>0</v>
      </c>
      <c r="E86" s="326">
        <f t="shared" si="15"/>
        <v>0</v>
      </c>
      <c r="F86" s="322">
        <f t="shared" si="16"/>
        <v>0</v>
      </c>
    </row>
    <row r="87" spans="1:6" s="38" customFormat="1" ht="12.2" customHeight="1" thickBot="1" x14ac:dyDescent="0.2">
      <c r="A87" s="196" t="s">
        <v>267</v>
      </c>
      <c r="B87" s="105" t="s">
        <v>392</v>
      </c>
      <c r="C87" s="258"/>
      <c r="D87" s="323">
        <f>'15. sz. mell. Önk.'!C87+'16. sz. mell. Önk.'!C87</f>
        <v>0</v>
      </c>
      <c r="E87" s="323">
        <f t="shared" si="15"/>
        <v>0</v>
      </c>
      <c r="F87" s="322">
        <f t="shared" si="16"/>
        <v>0</v>
      </c>
    </row>
    <row r="88" spans="1:6" s="38" customFormat="1" ht="12.2" customHeight="1" thickBot="1" x14ac:dyDescent="0.2">
      <c r="A88" s="196" t="s">
        <v>444</v>
      </c>
      <c r="B88" s="105" t="s">
        <v>268</v>
      </c>
      <c r="C88" s="258"/>
      <c r="D88" s="323">
        <f>'15. sz. mell. Önk.'!C88+'16. sz. mell. Önk.'!C88</f>
        <v>0</v>
      </c>
      <c r="E88" s="323">
        <f t="shared" si="15"/>
        <v>0</v>
      </c>
      <c r="F88" s="322">
        <f t="shared" si="16"/>
        <v>0</v>
      </c>
    </row>
    <row r="89" spans="1:6" s="38" customFormat="1" ht="12.2" customHeight="1" thickBot="1" x14ac:dyDescent="0.2">
      <c r="A89" s="196" t="s">
        <v>445</v>
      </c>
      <c r="B89" s="187" t="s">
        <v>393</v>
      </c>
      <c r="C89" s="257">
        <f t="shared" ref="C89" si="20">+C66+C70+C75+C78+C82+C88+C87</f>
        <v>3494438738</v>
      </c>
      <c r="D89" s="323">
        <f>'15. sz. mell. Önk.'!C89+'16. sz. mell. Önk.'!C89</f>
        <v>3494438738</v>
      </c>
      <c r="E89" s="323">
        <f t="shared" si="15"/>
        <v>0</v>
      </c>
      <c r="F89" s="322">
        <f t="shared" si="16"/>
        <v>0</v>
      </c>
    </row>
    <row r="90" spans="1:6" s="38" customFormat="1" ht="12.2" customHeight="1" thickBot="1" x14ac:dyDescent="0.2">
      <c r="A90" s="200" t="s">
        <v>446</v>
      </c>
      <c r="B90" s="188" t="s">
        <v>447</v>
      </c>
      <c r="C90" s="257">
        <f t="shared" ref="C90" si="21">+C65+C89</f>
        <v>7220808668</v>
      </c>
      <c r="D90" s="323">
        <f>'15. sz. mell. Önk.'!C90+'16. sz. mell. Önk.'!C90</f>
        <v>7220808668</v>
      </c>
      <c r="E90" s="323">
        <f t="shared" si="15"/>
        <v>0</v>
      </c>
      <c r="F90" s="322">
        <f t="shared" si="16"/>
        <v>0</v>
      </c>
    </row>
    <row r="91" spans="1:6" s="32" customFormat="1" ht="16.5" customHeight="1" thickBot="1" x14ac:dyDescent="0.25">
      <c r="A91" s="1278" t="s">
        <v>53</v>
      </c>
      <c r="B91" s="1279"/>
      <c r="C91" s="1280"/>
      <c r="D91" s="323">
        <f>'15. sz. mell. Önk.'!C91+'16. sz. mell. Önk.'!C91</f>
        <v>0</v>
      </c>
      <c r="E91" s="621"/>
      <c r="F91" s="322">
        <f t="shared" si="16"/>
        <v>0</v>
      </c>
    </row>
    <row r="92" spans="1:6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1021657501</v>
      </c>
      <c r="D92" s="323">
        <f>'15. sz. mell. Önk.'!C92+'16. sz. mell. Önk.'!C92</f>
        <v>1021657501</v>
      </c>
      <c r="E92" s="323">
        <f t="shared" ref="E92:E154" si="22">C92-D92</f>
        <v>0</v>
      </c>
      <c r="F92" s="322">
        <f t="shared" si="16"/>
        <v>0</v>
      </c>
    </row>
    <row r="93" spans="1:6" ht="12.2" customHeight="1" thickBot="1" x14ac:dyDescent="0.25">
      <c r="A93" s="201" t="s">
        <v>85</v>
      </c>
      <c r="B93" s="7" t="s">
        <v>46</v>
      </c>
      <c r="C93" s="656">
        <f>63765662+9691384</f>
        <v>73457046</v>
      </c>
      <c r="D93" s="323">
        <f>'15. sz. mell. Önk.'!C93+'16. sz. mell. Önk.'!C93</f>
        <v>73457046</v>
      </c>
      <c r="E93" s="324">
        <f t="shared" si="22"/>
        <v>0</v>
      </c>
      <c r="F93" s="322">
        <f t="shared" si="16"/>
        <v>0</v>
      </c>
    </row>
    <row r="94" spans="1:6" ht="12.2" customHeight="1" thickBot="1" x14ac:dyDescent="0.25">
      <c r="A94" s="194" t="s">
        <v>86</v>
      </c>
      <c r="B94" s="5" t="s">
        <v>134</v>
      </c>
      <c r="C94" s="246">
        <f>10685115+1193461</f>
        <v>11878576</v>
      </c>
      <c r="D94" s="323">
        <f>'15. sz. mell. Önk.'!C94+'16. sz. mell. Önk.'!C94</f>
        <v>11878576</v>
      </c>
      <c r="E94" s="325">
        <f t="shared" si="22"/>
        <v>0</v>
      </c>
      <c r="F94" s="322">
        <f t="shared" si="16"/>
        <v>0</v>
      </c>
    </row>
    <row r="95" spans="1:6" ht="12.2" customHeight="1" thickBot="1" x14ac:dyDescent="0.25">
      <c r="A95" s="194" t="s">
        <v>87</v>
      </c>
      <c r="B95" s="5" t="s">
        <v>110</v>
      </c>
      <c r="C95" s="249">
        <f>574407259+127000+3705895</f>
        <v>578240154</v>
      </c>
      <c r="D95" s="323">
        <f>'15. sz. mell. Önk.'!C95+'16. sz. mell. Önk.'!C95</f>
        <v>578240154</v>
      </c>
      <c r="E95" s="325">
        <f t="shared" si="22"/>
        <v>0</v>
      </c>
      <c r="F95" s="322">
        <f t="shared" si="16"/>
        <v>0</v>
      </c>
    </row>
    <row r="96" spans="1:6" ht="12.2" customHeight="1" thickBot="1" x14ac:dyDescent="0.25">
      <c r="A96" s="194" t="s">
        <v>88</v>
      </c>
      <c r="B96" s="8" t="s">
        <v>135</v>
      </c>
      <c r="C96" s="249">
        <v>45000000</v>
      </c>
      <c r="D96" s="323">
        <f>'15. sz. mell. Önk.'!C96+'16. sz. mell. Önk.'!C96</f>
        <v>45000000</v>
      </c>
      <c r="E96" s="325">
        <f t="shared" si="22"/>
        <v>0</v>
      </c>
      <c r="F96" s="322">
        <f t="shared" si="16"/>
        <v>0</v>
      </c>
    </row>
    <row r="97" spans="1:6" ht="12.2" customHeight="1" thickBot="1" x14ac:dyDescent="0.25">
      <c r="A97" s="194" t="s">
        <v>99</v>
      </c>
      <c r="B97" s="16" t="s">
        <v>136</v>
      </c>
      <c r="C97" s="249">
        <f>SUM(C98:C109)</f>
        <v>198992449</v>
      </c>
      <c r="D97" s="323">
        <f>'15. sz. mell. Önk.'!C97+'16. sz. mell. Önk.'!C97</f>
        <v>198992449</v>
      </c>
      <c r="E97" s="325">
        <f t="shared" si="22"/>
        <v>0</v>
      </c>
      <c r="F97" s="322">
        <f>C97-D97</f>
        <v>0</v>
      </c>
    </row>
    <row r="98" spans="1:6" ht="12.2" customHeight="1" thickBot="1" x14ac:dyDescent="0.25">
      <c r="A98" s="194" t="s">
        <v>89</v>
      </c>
      <c r="B98" s="5" t="s">
        <v>448</v>
      </c>
      <c r="C98" s="249"/>
      <c r="D98" s="323">
        <f>'15. sz. mell. Önk.'!C98+'16. sz. mell. Önk.'!C98</f>
        <v>0</v>
      </c>
      <c r="E98" s="325">
        <f t="shared" si="22"/>
        <v>0</v>
      </c>
      <c r="F98" s="322">
        <f t="shared" si="16"/>
        <v>0</v>
      </c>
    </row>
    <row r="99" spans="1:6" ht="12.2" customHeight="1" thickBot="1" x14ac:dyDescent="0.25">
      <c r="A99" s="194" t="s">
        <v>90</v>
      </c>
      <c r="B99" s="58" t="s">
        <v>397</v>
      </c>
      <c r="C99" s="249">
        <v>19789124</v>
      </c>
      <c r="D99" s="323">
        <f>'15. sz. mell. Önk.'!C99+'16. sz. mell. Önk.'!C99</f>
        <v>19789124</v>
      </c>
      <c r="E99" s="325">
        <f t="shared" si="22"/>
        <v>0</v>
      </c>
      <c r="F99" s="322">
        <f t="shared" si="16"/>
        <v>0</v>
      </c>
    </row>
    <row r="100" spans="1:6" ht="12.2" customHeight="1" thickBot="1" x14ac:dyDescent="0.25">
      <c r="A100" s="194" t="s">
        <v>100</v>
      </c>
      <c r="B100" s="58" t="s">
        <v>398</v>
      </c>
      <c r="C100" s="249"/>
      <c r="D100" s="323">
        <f>'15. sz. mell. Önk.'!C100+'16. sz. mell. Önk.'!C100</f>
        <v>0</v>
      </c>
      <c r="E100" s="325">
        <f t="shared" si="22"/>
        <v>0</v>
      </c>
      <c r="F100" s="322">
        <f t="shared" si="16"/>
        <v>0</v>
      </c>
    </row>
    <row r="101" spans="1:6" ht="12.2" customHeight="1" thickBot="1" x14ac:dyDescent="0.25">
      <c r="A101" s="194" t="s">
        <v>101</v>
      </c>
      <c r="B101" s="58" t="s">
        <v>284</v>
      </c>
      <c r="C101" s="249"/>
      <c r="D101" s="323">
        <f>'15. sz. mell. Önk.'!C101+'16. sz. mell. Önk.'!C101</f>
        <v>0</v>
      </c>
      <c r="E101" s="325">
        <f t="shared" si="22"/>
        <v>0</v>
      </c>
      <c r="F101" s="322">
        <f t="shared" si="16"/>
        <v>0</v>
      </c>
    </row>
    <row r="102" spans="1:6" ht="12.2" customHeight="1" thickBot="1" x14ac:dyDescent="0.25">
      <c r="A102" s="194" t="s">
        <v>102</v>
      </c>
      <c r="B102" s="59" t="s">
        <v>285</v>
      </c>
      <c r="C102" s="249"/>
      <c r="D102" s="323">
        <f>'15. sz. mell. Önk.'!C102+'16. sz. mell. Önk.'!C102</f>
        <v>0</v>
      </c>
      <c r="E102" s="325">
        <f t="shared" si="22"/>
        <v>0</v>
      </c>
      <c r="F102" s="322">
        <f t="shared" si="16"/>
        <v>0</v>
      </c>
    </row>
    <row r="103" spans="1:6" ht="12.2" customHeight="1" thickBot="1" x14ac:dyDescent="0.25">
      <c r="A103" s="194" t="s">
        <v>103</v>
      </c>
      <c r="B103" s="59" t="s">
        <v>286</v>
      </c>
      <c r="C103" s="249"/>
      <c r="D103" s="323">
        <f>'15. sz. mell. Önk.'!C103+'16. sz. mell. Önk.'!C103</f>
        <v>0</v>
      </c>
      <c r="E103" s="325">
        <f t="shared" si="22"/>
        <v>0</v>
      </c>
      <c r="F103" s="322">
        <f t="shared" si="16"/>
        <v>0</v>
      </c>
    </row>
    <row r="104" spans="1:6" ht="12.2" customHeight="1" thickBot="1" x14ac:dyDescent="0.25">
      <c r="A104" s="194" t="s">
        <v>105</v>
      </c>
      <c r="B104" s="58" t="s">
        <v>287</v>
      </c>
      <c r="C104" s="249">
        <f>600000+31726</f>
        <v>631726</v>
      </c>
      <c r="D104" s="323">
        <f>'15. sz. mell. Önk.'!C104+'16. sz. mell. Önk.'!C104</f>
        <v>631726</v>
      </c>
      <c r="E104" s="325">
        <f t="shared" si="22"/>
        <v>0</v>
      </c>
      <c r="F104" s="322">
        <f t="shared" si="16"/>
        <v>0</v>
      </c>
    </row>
    <row r="105" spans="1:6" ht="12.2" customHeight="1" thickBot="1" x14ac:dyDescent="0.25">
      <c r="A105" s="194" t="s">
        <v>137</v>
      </c>
      <c r="B105" s="58" t="s">
        <v>288</v>
      </c>
      <c r="C105" s="249"/>
      <c r="D105" s="323">
        <f>'15. sz. mell. Önk.'!C105+'16. sz. mell. Önk.'!C105</f>
        <v>0</v>
      </c>
      <c r="E105" s="325">
        <f t="shared" si="22"/>
        <v>0</v>
      </c>
      <c r="F105" s="322">
        <f t="shared" si="16"/>
        <v>0</v>
      </c>
    </row>
    <row r="106" spans="1:6" ht="12.2" customHeight="1" thickBot="1" x14ac:dyDescent="0.25">
      <c r="A106" s="194" t="s">
        <v>282</v>
      </c>
      <c r="B106" s="59" t="s">
        <v>289</v>
      </c>
      <c r="C106" s="249"/>
      <c r="D106" s="323">
        <f>'15. sz. mell. Önk.'!C106+'16. sz. mell. Önk.'!C106</f>
        <v>0</v>
      </c>
      <c r="E106" s="325">
        <f t="shared" si="22"/>
        <v>0</v>
      </c>
      <c r="F106" s="322">
        <f t="shared" si="16"/>
        <v>0</v>
      </c>
    </row>
    <row r="107" spans="1:6" ht="12.2" customHeight="1" thickBot="1" x14ac:dyDescent="0.25">
      <c r="A107" s="202" t="s">
        <v>283</v>
      </c>
      <c r="B107" s="60" t="s">
        <v>290</v>
      </c>
      <c r="C107" s="249"/>
      <c r="D107" s="323">
        <f>'15. sz. mell. Önk.'!C107+'16. sz. mell. Önk.'!C107</f>
        <v>0</v>
      </c>
      <c r="E107" s="325">
        <f t="shared" si="22"/>
        <v>0</v>
      </c>
      <c r="F107" s="322">
        <f t="shared" si="16"/>
        <v>0</v>
      </c>
    </row>
    <row r="108" spans="1:6" ht="12.2" customHeight="1" thickBot="1" x14ac:dyDescent="0.25">
      <c r="A108" s="194" t="s">
        <v>399</v>
      </c>
      <c r="B108" s="60" t="s">
        <v>291</v>
      </c>
      <c r="C108" s="249"/>
      <c r="D108" s="323">
        <f>'15. sz. mell. Önk.'!C108+'16. sz. mell. Önk.'!C108</f>
        <v>0</v>
      </c>
      <c r="E108" s="325">
        <f t="shared" si="22"/>
        <v>0</v>
      </c>
      <c r="F108" s="322">
        <f t="shared" si="16"/>
        <v>0</v>
      </c>
    </row>
    <row r="109" spans="1:6" ht="12.2" customHeight="1" thickBot="1" x14ac:dyDescent="0.25">
      <c r="A109" s="194" t="s">
        <v>400</v>
      </c>
      <c r="B109" s="59" t="s">
        <v>292</v>
      </c>
      <c r="C109" s="246">
        <f>173971599+4600000</f>
        <v>178571599</v>
      </c>
      <c r="D109" s="323">
        <f>'15. sz. mell. Önk.'!C109+'16. sz. mell. Önk.'!C109</f>
        <v>178571599</v>
      </c>
      <c r="E109" s="325">
        <f t="shared" si="22"/>
        <v>0</v>
      </c>
      <c r="F109" s="322">
        <f t="shared" si="16"/>
        <v>0</v>
      </c>
    </row>
    <row r="110" spans="1:6" ht="12.2" customHeight="1" thickBot="1" x14ac:dyDescent="0.25">
      <c r="A110" s="194" t="s">
        <v>401</v>
      </c>
      <c r="B110" s="8" t="s">
        <v>47</v>
      </c>
      <c r="C110" s="246">
        <f t="shared" ref="C110" si="23">SUM(C111:C112)</f>
        <v>114089276</v>
      </c>
      <c r="D110" s="323">
        <f>'15. sz. mell. Önk.'!C110+'16. sz. mell. Önk.'!C110</f>
        <v>114089276</v>
      </c>
      <c r="E110" s="325">
        <f t="shared" si="22"/>
        <v>0</v>
      </c>
      <c r="F110" s="322">
        <f t="shared" si="16"/>
        <v>0</v>
      </c>
    </row>
    <row r="111" spans="1:6" ht="12.2" customHeight="1" thickBot="1" x14ac:dyDescent="0.25">
      <c r="A111" s="195" t="s">
        <v>402</v>
      </c>
      <c r="B111" s="5" t="s">
        <v>449</v>
      </c>
      <c r="C111" s="249">
        <f>10000000-1363819</f>
        <v>8636181</v>
      </c>
      <c r="D111" s="323">
        <f>'15. sz. mell. Önk.'!C111+'16. sz. mell. Önk.'!C111</f>
        <v>8636181</v>
      </c>
      <c r="E111" s="325">
        <f t="shared" si="22"/>
        <v>0</v>
      </c>
      <c r="F111" s="322">
        <f t="shared" si="16"/>
        <v>0</v>
      </c>
    </row>
    <row r="112" spans="1:6" ht="12.2" customHeight="1" thickBot="1" x14ac:dyDescent="0.25">
      <c r="A112" s="203" t="s">
        <v>404</v>
      </c>
      <c r="B112" s="61" t="s">
        <v>450</v>
      </c>
      <c r="C112" s="270">
        <f>110093095-4640000</f>
        <v>105453095</v>
      </c>
      <c r="D112" s="323">
        <f>'15. sz. mell. Önk.'!C112+'16. sz. mell. Önk.'!C112</f>
        <v>105453095</v>
      </c>
      <c r="E112" s="326">
        <f t="shared" si="22"/>
        <v>0</v>
      </c>
      <c r="F112" s="322">
        <f t="shared" si="16"/>
        <v>0</v>
      </c>
    </row>
    <row r="113" spans="1:6" ht="12.2" customHeight="1" thickBot="1" x14ac:dyDescent="0.25">
      <c r="A113" s="25" t="s">
        <v>17</v>
      </c>
      <c r="B113" s="22" t="s">
        <v>293</v>
      </c>
      <c r="C113" s="255">
        <f t="shared" ref="C113" si="24">+C114+C116+C118</f>
        <v>2749595641</v>
      </c>
      <c r="D113" s="323">
        <f>'15. sz. mell. Önk.'!C113+'16. sz. mell. Önk.'!C113</f>
        <v>2749595641</v>
      </c>
      <c r="E113" s="323">
        <f t="shared" si="22"/>
        <v>0</v>
      </c>
      <c r="F113" s="322">
        <f t="shared" si="16"/>
        <v>0</v>
      </c>
    </row>
    <row r="114" spans="1:6" ht="12.2" customHeight="1" thickBot="1" x14ac:dyDescent="0.25">
      <c r="A114" s="193" t="s">
        <v>91</v>
      </c>
      <c r="B114" s="5" t="s">
        <v>157</v>
      </c>
      <c r="C114" s="655">
        <f>803897985+94500-127000+123373471</f>
        <v>927238956</v>
      </c>
      <c r="D114" s="323">
        <f>'15. sz. mell. Önk.'!C114+'16. sz. mell. Önk.'!C114</f>
        <v>927238956</v>
      </c>
      <c r="E114" s="324">
        <f t="shared" si="22"/>
        <v>0</v>
      </c>
      <c r="F114" s="322">
        <f t="shared" si="16"/>
        <v>0</v>
      </c>
    </row>
    <row r="115" spans="1:6" ht="12.2" customHeight="1" thickBot="1" x14ac:dyDescent="0.25">
      <c r="A115" s="193" t="s">
        <v>92</v>
      </c>
      <c r="B115" s="9" t="s">
        <v>297</v>
      </c>
      <c r="C115" s="1086">
        <f>350683330+115319148</f>
        <v>466002478</v>
      </c>
      <c r="D115" s="323">
        <f>'15. sz. mell. Önk.'!C115+'16. sz. mell. Önk.'!C115</f>
        <v>466002478</v>
      </c>
      <c r="E115" s="325">
        <f t="shared" si="22"/>
        <v>0</v>
      </c>
      <c r="F115" s="322">
        <f t="shared" si="16"/>
        <v>0</v>
      </c>
    </row>
    <row r="116" spans="1:6" ht="12.2" customHeight="1" thickBot="1" x14ac:dyDescent="0.25">
      <c r="A116" s="193" t="s">
        <v>93</v>
      </c>
      <c r="B116" s="9" t="s">
        <v>138</v>
      </c>
      <c r="C116" s="246">
        <f>1603321288+214428955</f>
        <v>1817750243</v>
      </c>
      <c r="D116" s="323">
        <f>'15. sz. mell. Önk.'!C116+'16. sz. mell. Önk.'!C116</f>
        <v>1817750243</v>
      </c>
      <c r="E116" s="325">
        <f t="shared" si="22"/>
        <v>0</v>
      </c>
      <c r="F116" s="322">
        <f t="shared" si="16"/>
        <v>0</v>
      </c>
    </row>
    <row r="117" spans="1:6" ht="12.2" customHeight="1" thickBot="1" x14ac:dyDescent="0.25">
      <c r="A117" s="193" t="s">
        <v>94</v>
      </c>
      <c r="B117" s="9" t="s">
        <v>298</v>
      </c>
      <c r="C117" s="246">
        <f>1008969346+191814096</f>
        <v>1200783442</v>
      </c>
      <c r="D117" s="323">
        <f>'15. sz. mell. Önk.'!C117+'16. sz. mell. Önk.'!C117</f>
        <v>1200783442</v>
      </c>
      <c r="E117" s="325">
        <f t="shared" si="22"/>
        <v>0</v>
      </c>
      <c r="F117" s="322">
        <f t="shared" si="16"/>
        <v>0</v>
      </c>
    </row>
    <row r="118" spans="1:6" ht="12.2" customHeight="1" thickBot="1" x14ac:dyDescent="0.25">
      <c r="A118" s="193" t="s">
        <v>95</v>
      </c>
      <c r="B118" s="107" t="s">
        <v>159</v>
      </c>
      <c r="C118" s="246">
        <f t="shared" ref="C118" si="25">SUM(C119:C126)</f>
        <v>4606442</v>
      </c>
      <c r="D118" s="323">
        <f>'15. sz. mell. Önk.'!C118+'16. sz. mell. Önk.'!C118</f>
        <v>4606442</v>
      </c>
      <c r="E118" s="325">
        <f t="shared" si="22"/>
        <v>0</v>
      </c>
      <c r="F118" s="322">
        <f t="shared" si="16"/>
        <v>0</v>
      </c>
    </row>
    <row r="119" spans="1:6" ht="12.2" customHeight="1" thickBot="1" x14ac:dyDescent="0.25">
      <c r="A119" s="193" t="s">
        <v>104</v>
      </c>
      <c r="B119" s="106" t="s">
        <v>358</v>
      </c>
      <c r="C119" s="246"/>
      <c r="D119" s="323">
        <f>'15. sz. mell. Önk.'!C119+'16. sz. mell. Önk.'!C119</f>
        <v>0</v>
      </c>
      <c r="E119" s="325">
        <f t="shared" si="22"/>
        <v>0</v>
      </c>
      <c r="F119" s="322">
        <f t="shared" si="16"/>
        <v>0</v>
      </c>
    </row>
    <row r="120" spans="1:6" ht="12.2" customHeight="1" thickBot="1" x14ac:dyDescent="0.25">
      <c r="A120" s="193" t="s">
        <v>106</v>
      </c>
      <c r="B120" s="177" t="s">
        <v>303</v>
      </c>
      <c r="C120" s="246"/>
      <c r="D120" s="323">
        <f>'15. sz. mell. Önk.'!C120+'16. sz. mell. Önk.'!C120</f>
        <v>0</v>
      </c>
      <c r="E120" s="325">
        <f t="shared" si="22"/>
        <v>0</v>
      </c>
      <c r="F120" s="322">
        <f t="shared" si="16"/>
        <v>0</v>
      </c>
    </row>
    <row r="121" spans="1:6" ht="12.2" customHeight="1" thickBot="1" x14ac:dyDescent="0.25">
      <c r="A121" s="193" t="s">
        <v>139</v>
      </c>
      <c r="B121" s="59" t="s">
        <v>286</v>
      </c>
      <c r="C121" s="246"/>
      <c r="D121" s="323">
        <f>'15. sz. mell. Önk.'!C121+'16. sz. mell. Önk.'!C121</f>
        <v>0</v>
      </c>
      <c r="E121" s="325">
        <f t="shared" si="22"/>
        <v>0</v>
      </c>
      <c r="F121" s="322">
        <f t="shared" si="16"/>
        <v>0</v>
      </c>
    </row>
    <row r="122" spans="1:6" ht="12.2" customHeight="1" thickBot="1" x14ac:dyDescent="0.25">
      <c r="A122" s="193" t="s">
        <v>140</v>
      </c>
      <c r="B122" s="59" t="s">
        <v>302</v>
      </c>
      <c r="C122" s="246"/>
      <c r="D122" s="323">
        <f>'15. sz. mell. Önk.'!C122+'16. sz. mell. Önk.'!C122</f>
        <v>0</v>
      </c>
      <c r="E122" s="325">
        <f t="shared" si="22"/>
        <v>0</v>
      </c>
      <c r="F122" s="322">
        <f t="shared" si="16"/>
        <v>0</v>
      </c>
    </row>
    <row r="123" spans="1:6" ht="12.2" customHeight="1" thickBot="1" x14ac:dyDescent="0.25">
      <c r="A123" s="193" t="s">
        <v>141</v>
      </c>
      <c r="B123" s="59" t="s">
        <v>301</v>
      </c>
      <c r="C123" s="246"/>
      <c r="D123" s="323">
        <f>'15. sz. mell. Önk.'!C123+'16. sz. mell. Önk.'!C123</f>
        <v>0</v>
      </c>
      <c r="E123" s="325">
        <f t="shared" si="22"/>
        <v>0</v>
      </c>
      <c r="F123" s="322">
        <f t="shared" si="16"/>
        <v>0</v>
      </c>
    </row>
    <row r="124" spans="1:6" ht="12.2" customHeight="1" thickBot="1" x14ac:dyDescent="0.25">
      <c r="A124" s="193" t="s">
        <v>294</v>
      </c>
      <c r="B124" s="59" t="s">
        <v>289</v>
      </c>
      <c r="C124" s="246"/>
      <c r="D124" s="323">
        <f>'15. sz. mell. Önk.'!C124+'16. sz. mell. Önk.'!C124</f>
        <v>0</v>
      </c>
      <c r="E124" s="325">
        <f t="shared" si="22"/>
        <v>0</v>
      </c>
      <c r="F124" s="322">
        <f t="shared" si="16"/>
        <v>0</v>
      </c>
    </row>
    <row r="125" spans="1:6" ht="12.2" customHeight="1" thickBot="1" x14ac:dyDescent="0.25">
      <c r="A125" s="193" t="s">
        <v>295</v>
      </c>
      <c r="B125" s="59" t="s">
        <v>300</v>
      </c>
      <c r="C125" s="246"/>
      <c r="D125" s="323">
        <f>'15. sz. mell. Önk.'!C125+'16. sz. mell. Önk.'!C125</f>
        <v>0</v>
      </c>
      <c r="E125" s="325">
        <f t="shared" si="22"/>
        <v>0</v>
      </c>
      <c r="F125" s="322">
        <f t="shared" si="16"/>
        <v>0</v>
      </c>
    </row>
    <row r="126" spans="1:6" ht="12.2" customHeight="1" thickBot="1" x14ac:dyDescent="0.25">
      <c r="A126" s="202" t="s">
        <v>296</v>
      </c>
      <c r="B126" s="59" t="s">
        <v>299</v>
      </c>
      <c r="C126" s="249">
        <f>2001092+2605350</f>
        <v>4606442</v>
      </c>
      <c r="D126" s="323">
        <f>'15. sz. mell. Önk.'!C126+'16. sz. mell. Önk.'!C126</f>
        <v>4606442</v>
      </c>
      <c r="E126" s="326">
        <f t="shared" si="22"/>
        <v>0</v>
      </c>
      <c r="F126" s="322">
        <f t="shared" si="16"/>
        <v>0</v>
      </c>
    </row>
    <row r="127" spans="1:6" ht="12.2" customHeight="1" thickBot="1" x14ac:dyDescent="0.25">
      <c r="A127" s="25" t="s">
        <v>18</v>
      </c>
      <c r="B127" s="54" t="s">
        <v>406</v>
      </c>
      <c r="C127" s="255">
        <f t="shared" ref="C127" si="26">+C92+C113</f>
        <v>3771253142</v>
      </c>
      <c r="D127" s="323">
        <f>'15. sz. mell. Önk.'!C127+'16. sz. mell. Önk.'!C127</f>
        <v>3771253142</v>
      </c>
      <c r="E127" s="323">
        <f t="shared" si="22"/>
        <v>0</v>
      </c>
      <c r="F127" s="322">
        <f t="shared" si="16"/>
        <v>0</v>
      </c>
    </row>
    <row r="128" spans="1:6" ht="12.2" customHeight="1" thickBot="1" x14ac:dyDescent="0.25">
      <c r="A128" s="25" t="s">
        <v>19</v>
      </c>
      <c r="B128" s="54" t="s">
        <v>407</v>
      </c>
      <c r="C128" s="255">
        <f t="shared" ref="C128" si="27">+C129+C130+C131</f>
        <v>1121918686</v>
      </c>
      <c r="D128" s="323">
        <f>'15. sz. mell. Önk.'!C128+'16. sz. mell. Önk.'!C128</f>
        <v>1121918686</v>
      </c>
      <c r="E128" s="323">
        <f t="shared" si="22"/>
        <v>0</v>
      </c>
      <c r="F128" s="322">
        <f t="shared" si="16"/>
        <v>0</v>
      </c>
    </row>
    <row r="129" spans="1:7" s="213" customFormat="1" ht="12.2" customHeight="1" thickBot="1" x14ac:dyDescent="0.25">
      <c r="A129" s="193" t="s">
        <v>195</v>
      </c>
      <c r="B129" s="6" t="s">
        <v>451</v>
      </c>
      <c r="C129" s="246">
        <v>21918686</v>
      </c>
      <c r="D129" s="323">
        <f>'15. sz. mell. Önk.'!C129+'16. sz. mell. Önk.'!C129</f>
        <v>21918686</v>
      </c>
      <c r="E129" s="324">
        <f t="shared" si="22"/>
        <v>0</v>
      </c>
      <c r="F129" s="322">
        <f t="shared" si="16"/>
        <v>0</v>
      </c>
    </row>
    <row r="130" spans="1:7" ht="12.2" customHeight="1" thickBot="1" x14ac:dyDescent="0.25">
      <c r="A130" s="193" t="s">
        <v>198</v>
      </c>
      <c r="B130" s="6" t="s">
        <v>409</v>
      </c>
      <c r="C130" s="246">
        <f>1100000000</f>
        <v>1100000000</v>
      </c>
      <c r="D130" s="323">
        <f>'15. sz. mell. Önk.'!C130+'16. sz. mell. Önk.'!C130</f>
        <v>1100000000</v>
      </c>
      <c r="E130" s="325">
        <f t="shared" si="22"/>
        <v>0</v>
      </c>
      <c r="F130" s="322">
        <f t="shared" si="16"/>
        <v>0</v>
      </c>
    </row>
    <row r="131" spans="1:7" ht="12.2" customHeight="1" thickBot="1" x14ac:dyDescent="0.25">
      <c r="A131" s="202" t="s">
        <v>199</v>
      </c>
      <c r="B131" s="4" t="s">
        <v>452</v>
      </c>
      <c r="C131" s="246"/>
      <c r="D131" s="323">
        <f>'15. sz. mell. Önk.'!C131+'16. sz. mell. Önk.'!C131</f>
        <v>0</v>
      </c>
      <c r="E131" s="326">
        <f t="shared" si="22"/>
        <v>0</v>
      </c>
      <c r="F131" s="322">
        <f t="shared" si="16"/>
        <v>0</v>
      </c>
    </row>
    <row r="132" spans="1:7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  <c r="D132" s="323">
        <f>'15. sz. mell. Önk.'!C132+'16. sz. mell. Önk.'!C132</f>
        <v>0</v>
      </c>
      <c r="E132" s="323">
        <f t="shared" si="22"/>
        <v>0</v>
      </c>
      <c r="F132" s="322">
        <f t="shared" si="16"/>
        <v>0</v>
      </c>
    </row>
    <row r="133" spans="1:7" ht="12.2" customHeight="1" thickBot="1" x14ac:dyDescent="0.25">
      <c r="A133" s="193" t="s">
        <v>78</v>
      </c>
      <c r="B133" s="6" t="s">
        <v>412</v>
      </c>
      <c r="C133" s="99"/>
      <c r="D133" s="323">
        <f>'15. sz. mell. Önk.'!C133+'16. sz. mell. Önk.'!C133</f>
        <v>0</v>
      </c>
      <c r="E133" s="324">
        <f t="shared" si="22"/>
        <v>0</v>
      </c>
      <c r="F133" s="322">
        <f t="shared" si="16"/>
        <v>0</v>
      </c>
    </row>
    <row r="134" spans="1:7" ht="12.2" customHeight="1" thickBot="1" x14ac:dyDescent="0.25">
      <c r="A134" s="193" t="s">
        <v>79</v>
      </c>
      <c r="B134" s="6" t="s">
        <v>413</v>
      </c>
      <c r="C134" s="99"/>
      <c r="D134" s="323">
        <f>'15. sz. mell. Önk.'!C134+'16. sz. mell. Önk.'!C134</f>
        <v>0</v>
      </c>
      <c r="E134" s="325">
        <f t="shared" si="22"/>
        <v>0</v>
      </c>
      <c r="F134" s="322">
        <f t="shared" si="16"/>
        <v>0</v>
      </c>
    </row>
    <row r="135" spans="1:7" ht="12.2" customHeight="1" thickBot="1" x14ac:dyDescent="0.25">
      <c r="A135" s="193" t="s">
        <v>80</v>
      </c>
      <c r="B135" s="6" t="s">
        <v>414</v>
      </c>
      <c r="C135" s="99"/>
      <c r="D135" s="323">
        <f>'15. sz. mell. Önk.'!C135+'16. sz. mell. Önk.'!C135</f>
        <v>0</v>
      </c>
      <c r="E135" s="325">
        <f t="shared" si="22"/>
        <v>0</v>
      </c>
      <c r="F135" s="322">
        <f t="shared" si="16"/>
        <v>0</v>
      </c>
    </row>
    <row r="136" spans="1:7" ht="12.2" customHeight="1" thickBot="1" x14ac:dyDescent="0.25">
      <c r="A136" s="193" t="s">
        <v>126</v>
      </c>
      <c r="B136" s="6" t="s">
        <v>453</v>
      </c>
      <c r="C136" s="99"/>
      <c r="D136" s="323">
        <f>'15. sz. mell. Önk.'!C136+'16. sz. mell. Önk.'!C136</f>
        <v>0</v>
      </c>
      <c r="E136" s="325">
        <f t="shared" si="22"/>
        <v>0</v>
      </c>
      <c r="F136" s="322">
        <f t="shared" ref="F136:F154" si="28">C136-D136</f>
        <v>0</v>
      </c>
    </row>
    <row r="137" spans="1:7" ht="12.2" customHeight="1" thickBot="1" x14ac:dyDescent="0.25">
      <c r="A137" s="193" t="s">
        <v>127</v>
      </c>
      <c r="B137" s="6" t="s">
        <v>416</v>
      </c>
      <c r="C137" s="99"/>
      <c r="D137" s="323">
        <f>'15. sz. mell. Önk.'!C137+'16. sz. mell. Önk.'!C137</f>
        <v>0</v>
      </c>
      <c r="E137" s="325">
        <f t="shared" si="22"/>
        <v>0</v>
      </c>
      <c r="F137" s="322">
        <f t="shared" si="28"/>
        <v>0</v>
      </c>
    </row>
    <row r="138" spans="1:7" s="213" customFormat="1" ht="12.2" customHeight="1" thickBot="1" x14ac:dyDescent="0.25">
      <c r="A138" s="202" t="s">
        <v>128</v>
      </c>
      <c r="B138" s="4" t="s">
        <v>417</v>
      </c>
      <c r="C138" s="99"/>
      <c r="D138" s="323">
        <f>'15. sz. mell. Önk.'!C138+'16. sz. mell. Önk.'!C138</f>
        <v>0</v>
      </c>
      <c r="E138" s="326">
        <f t="shared" si="22"/>
        <v>0</v>
      </c>
      <c r="F138" s="322">
        <f t="shared" si="28"/>
        <v>0</v>
      </c>
    </row>
    <row r="139" spans="1:7" ht="12.2" customHeight="1" thickBot="1" x14ac:dyDescent="0.25">
      <c r="A139" s="25" t="s">
        <v>21</v>
      </c>
      <c r="B139" s="54" t="s">
        <v>454</v>
      </c>
      <c r="C139" s="257">
        <f t="shared" ref="C139" si="29">+C140+C141+C142+C143</f>
        <v>61842606</v>
      </c>
      <c r="D139" s="323">
        <f>'15. sz. mell. Önk.'!C139+'16. sz. mell. Önk.'!C139</f>
        <v>61842606</v>
      </c>
      <c r="E139" s="323">
        <f t="shared" si="22"/>
        <v>0</v>
      </c>
      <c r="F139" s="322">
        <f t="shared" si="28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246"/>
      <c r="D140" s="323">
        <f>'15. sz. mell. Önk.'!C140+'16. sz. mell. Önk.'!C140</f>
        <v>0</v>
      </c>
      <c r="E140" s="324">
        <f t="shared" si="22"/>
        <v>0</v>
      </c>
      <c r="F140" s="322">
        <f t="shared" si="28"/>
        <v>0</v>
      </c>
    </row>
    <row r="141" spans="1:7" ht="12.2" customHeight="1" thickBot="1" x14ac:dyDescent="0.25">
      <c r="A141" s="193" t="s">
        <v>82</v>
      </c>
      <c r="B141" s="6" t="s">
        <v>305</v>
      </c>
      <c r="C141" s="246">
        <v>61842606</v>
      </c>
      <c r="D141" s="323">
        <f>'15. sz. mell. Önk.'!C141+'16. sz. mell. Önk.'!C141</f>
        <v>61842606</v>
      </c>
      <c r="E141" s="325">
        <f t="shared" si="22"/>
        <v>0</v>
      </c>
      <c r="F141" s="322">
        <f t="shared" si="28"/>
        <v>0</v>
      </c>
    </row>
    <row r="142" spans="1:7" s="213" customFormat="1" ht="12.2" customHeight="1" thickBot="1" x14ac:dyDescent="0.25">
      <c r="A142" s="193" t="s">
        <v>218</v>
      </c>
      <c r="B142" s="6" t="s">
        <v>419</v>
      </c>
      <c r="C142" s="246"/>
      <c r="D142" s="323">
        <f>'15. sz. mell. Önk.'!C142+'16. sz. mell. Önk.'!C142</f>
        <v>0</v>
      </c>
      <c r="E142" s="325">
        <f t="shared" si="22"/>
        <v>0</v>
      </c>
      <c r="F142" s="322">
        <f t="shared" si="28"/>
        <v>0</v>
      </c>
    </row>
    <row r="143" spans="1:7" s="213" customFormat="1" ht="12.2" customHeight="1" thickBot="1" x14ac:dyDescent="0.25">
      <c r="A143" s="202" t="s">
        <v>219</v>
      </c>
      <c r="B143" s="4" t="s">
        <v>323</v>
      </c>
      <c r="C143" s="246"/>
      <c r="D143" s="323">
        <f>'15. sz. mell. Önk.'!C143+'16. sz. mell. Önk.'!C143</f>
        <v>0</v>
      </c>
      <c r="E143" s="326">
        <f t="shared" si="22"/>
        <v>0</v>
      </c>
      <c r="F143" s="322">
        <f t="shared" si="28"/>
        <v>0</v>
      </c>
    </row>
    <row r="144" spans="1:7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  <c r="D144" s="323">
        <f>'15. sz. mell. Önk.'!C144+'16. sz. mell. Önk.'!C144</f>
        <v>0</v>
      </c>
      <c r="E144" s="323">
        <f t="shared" si="22"/>
        <v>0</v>
      </c>
      <c r="F144" s="322">
        <f t="shared" si="28"/>
        <v>0</v>
      </c>
    </row>
    <row r="145" spans="1:6" s="213" customFormat="1" ht="12.2" customHeight="1" thickBot="1" x14ac:dyDescent="0.25">
      <c r="A145" s="193" t="s">
        <v>83</v>
      </c>
      <c r="B145" s="6" t="s">
        <v>421</v>
      </c>
      <c r="C145" s="99"/>
      <c r="D145" s="323">
        <f>'15. sz. mell. Önk.'!C145+'16. sz. mell. Önk.'!C145</f>
        <v>0</v>
      </c>
      <c r="E145" s="324">
        <f t="shared" si="22"/>
        <v>0</v>
      </c>
      <c r="F145" s="322">
        <f t="shared" si="28"/>
        <v>0</v>
      </c>
    </row>
    <row r="146" spans="1:6" s="213" customFormat="1" ht="12.2" customHeight="1" thickBot="1" x14ac:dyDescent="0.25">
      <c r="A146" s="193" t="s">
        <v>84</v>
      </c>
      <c r="B146" s="6" t="s">
        <v>422</v>
      </c>
      <c r="C146" s="99"/>
      <c r="D146" s="323">
        <f>'15. sz. mell. Önk.'!C146+'16. sz. mell. Önk.'!C146</f>
        <v>0</v>
      </c>
      <c r="E146" s="325">
        <f t="shared" si="22"/>
        <v>0</v>
      </c>
      <c r="F146" s="322">
        <f t="shared" si="28"/>
        <v>0</v>
      </c>
    </row>
    <row r="147" spans="1:6" s="213" customFormat="1" ht="12.2" customHeight="1" thickBot="1" x14ac:dyDescent="0.25">
      <c r="A147" s="193" t="s">
        <v>230</v>
      </c>
      <c r="B147" s="6" t="s">
        <v>423</v>
      </c>
      <c r="C147" s="99"/>
      <c r="D147" s="323">
        <f>'15. sz. mell. Önk.'!C147+'16. sz. mell. Önk.'!C147</f>
        <v>0</v>
      </c>
      <c r="E147" s="325">
        <f t="shared" si="22"/>
        <v>0</v>
      </c>
      <c r="F147" s="322">
        <f t="shared" si="28"/>
        <v>0</v>
      </c>
    </row>
    <row r="148" spans="1:6" s="213" customFormat="1" ht="12.2" customHeight="1" thickBot="1" x14ac:dyDescent="0.25">
      <c r="A148" s="193" t="s">
        <v>231</v>
      </c>
      <c r="B148" s="6" t="s">
        <v>455</v>
      </c>
      <c r="C148" s="99"/>
      <c r="D148" s="323">
        <f>'15. sz. mell. Önk.'!C148+'16. sz. mell. Önk.'!C148</f>
        <v>0</v>
      </c>
      <c r="E148" s="325">
        <f t="shared" si="22"/>
        <v>0</v>
      </c>
      <c r="F148" s="322">
        <f t="shared" si="28"/>
        <v>0</v>
      </c>
    </row>
    <row r="149" spans="1:6" ht="12.75" customHeight="1" thickBot="1" x14ac:dyDescent="0.25">
      <c r="A149" s="202" t="s">
        <v>425</v>
      </c>
      <c r="B149" s="4" t="s">
        <v>426</v>
      </c>
      <c r="C149" s="100"/>
      <c r="D149" s="323">
        <f>'15. sz. mell. Önk.'!C149+'16. sz. mell. Önk.'!C149</f>
        <v>0</v>
      </c>
      <c r="E149" s="326">
        <f t="shared" si="22"/>
        <v>0</v>
      </c>
      <c r="F149" s="322">
        <f t="shared" si="28"/>
        <v>0</v>
      </c>
    </row>
    <row r="150" spans="1:6" ht="12.75" customHeight="1" thickBot="1" x14ac:dyDescent="0.25">
      <c r="A150" s="244" t="s">
        <v>23</v>
      </c>
      <c r="B150" s="54" t="s">
        <v>427</v>
      </c>
      <c r="C150" s="262"/>
      <c r="D150" s="323">
        <f>'15. sz. mell. Önk.'!C150+'16. sz. mell. Önk.'!C150</f>
        <v>0</v>
      </c>
      <c r="E150" s="323">
        <f t="shared" si="22"/>
        <v>0</v>
      </c>
      <c r="F150" s="322">
        <f t="shared" si="28"/>
        <v>0</v>
      </c>
    </row>
    <row r="151" spans="1:6" ht="12.75" customHeight="1" thickBot="1" x14ac:dyDescent="0.25">
      <c r="A151" s="244" t="s">
        <v>24</v>
      </c>
      <c r="B151" s="54" t="s">
        <v>428</v>
      </c>
      <c r="C151" s="262"/>
      <c r="D151" s="323">
        <f>'15. sz. mell. Önk.'!C151+'16. sz. mell. Önk.'!C151</f>
        <v>0</v>
      </c>
      <c r="E151" s="327">
        <f t="shared" si="22"/>
        <v>0</v>
      </c>
      <c r="F151" s="322">
        <f t="shared" si="28"/>
        <v>0</v>
      </c>
    </row>
    <row r="152" spans="1:6" ht="12.2" customHeight="1" thickBot="1" x14ac:dyDescent="0.25">
      <c r="A152" s="25" t="s">
        <v>25</v>
      </c>
      <c r="B152" s="54" t="s">
        <v>429</v>
      </c>
      <c r="C152" s="263">
        <f t="shared" ref="C152" si="30">+C128+C132+C139+C144+C150+C151</f>
        <v>1183761292</v>
      </c>
      <c r="D152" s="323">
        <f>'15. sz. mell. Önk.'!C152+'16. sz. mell. Önk.'!C152</f>
        <v>1183761292</v>
      </c>
      <c r="E152" s="323">
        <f t="shared" si="22"/>
        <v>0</v>
      </c>
      <c r="F152" s="322">
        <f t="shared" si="28"/>
        <v>0</v>
      </c>
    </row>
    <row r="153" spans="1:6" ht="15" customHeight="1" thickBot="1" x14ac:dyDescent="0.25">
      <c r="A153" s="204" t="s">
        <v>26</v>
      </c>
      <c r="B153" s="166" t="s">
        <v>430</v>
      </c>
      <c r="C153" s="263">
        <f t="shared" ref="C153" si="31">+C127+C152</f>
        <v>4955014434</v>
      </c>
      <c r="D153" s="323">
        <f>'15. sz. mell. Önk.'!C153+'16. sz. mell. Önk.'!C153</f>
        <v>4955014434</v>
      </c>
      <c r="E153" s="323">
        <f t="shared" si="22"/>
        <v>0</v>
      </c>
      <c r="F153" s="322">
        <f t="shared" si="28"/>
        <v>0</v>
      </c>
    </row>
    <row r="154" spans="1:6" ht="15" customHeight="1" thickBot="1" x14ac:dyDescent="0.25">
      <c r="A154" s="1276" t="s">
        <v>456</v>
      </c>
      <c r="B154" s="1277"/>
      <c r="C154" s="946">
        <f>6</f>
        <v>6</v>
      </c>
      <c r="D154" s="629">
        <f>'15. sz. mell. Önk.'!C154+'16. sz. mell. Önk.'!C154</f>
        <v>6</v>
      </c>
      <c r="E154" s="323">
        <f t="shared" si="22"/>
        <v>0</v>
      </c>
      <c r="F154" s="322">
        <f t="shared" si="28"/>
        <v>0</v>
      </c>
    </row>
  </sheetData>
  <sheetProtection formatCells="0"/>
  <mergeCells count="4">
    <mergeCell ref="A1:C1"/>
    <mergeCell ref="A154:B154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15" zoomScaleNormal="115" zoomScaleSheetLayoutView="70" workbookViewId="0">
      <selection activeCell="A2" sqref="A2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330" customWidth="1"/>
    <col min="4" max="4" width="17.33203125" style="301" bestFit="1" customWidth="1"/>
    <col min="5" max="16384" width="9.33203125" style="301"/>
  </cols>
  <sheetData>
    <row r="1" spans="1:6" x14ac:dyDescent="0.2">
      <c r="A1" s="1275" t="str">
        <f>CONCATENATE("11. melléklet"," ",ALAPADATOK!A7," ",ALAPADATOK!B7," ",ALAPADATOK!C7," ",ALAPADATOK!D7," ",ALAPADATOK!E7," ",ALAPADATOK!F7," ",ALAPADATOK!G7," ",ALAPADATOK!H7)</f>
        <v>11. melléklet a .. / 2023. ( …... ) önkormányzati rendelethez</v>
      </c>
      <c r="B1" s="1275"/>
      <c r="C1" s="1275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236" t="s">
        <v>864</v>
      </c>
      <c r="B3" s="1236"/>
      <c r="C3" s="1236"/>
      <c r="D3" s="621"/>
      <c r="E3" s="621"/>
      <c r="F3" s="620"/>
    </row>
    <row r="4" spans="1:6" ht="13.5" thickBot="1" x14ac:dyDescent="0.25">
      <c r="A4" s="172" t="s">
        <v>153</v>
      </c>
      <c r="B4" s="79" t="s">
        <v>50</v>
      </c>
      <c r="C4" s="154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1780983118</v>
      </c>
    </row>
    <row r="8" spans="1:6" s="38" customFormat="1" ht="12.2" customHeight="1" x14ac:dyDescent="0.2">
      <c r="A8" s="193" t="s">
        <v>85</v>
      </c>
      <c r="B8" s="180" t="s">
        <v>180</v>
      </c>
      <c r="C8" s="214">
        <f>434444567+10772160</f>
        <v>445216727</v>
      </c>
    </row>
    <row r="9" spans="1:6" s="39" customFormat="1" ht="12.2" customHeight="1" x14ac:dyDescent="0.2">
      <c r="A9" s="194" t="s">
        <v>86</v>
      </c>
      <c r="B9" s="181" t="s">
        <v>181</v>
      </c>
      <c r="C9" s="114">
        <f>289696140+35794691</f>
        <v>325490831</v>
      </c>
    </row>
    <row r="10" spans="1:6" s="39" customFormat="1" ht="22.5" x14ac:dyDescent="0.2">
      <c r="A10" s="194" t="s">
        <v>87</v>
      </c>
      <c r="B10" s="181" t="s">
        <v>702</v>
      </c>
      <c r="C10" s="114">
        <f t="shared" ref="C10" si="1">SUM(C11:C12)</f>
        <v>706759780</v>
      </c>
    </row>
    <row r="11" spans="1:6" s="39" customFormat="1" ht="12.2" customHeight="1" x14ac:dyDescent="0.2">
      <c r="A11" s="194" t="s">
        <v>700</v>
      </c>
      <c r="B11" s="181" t="s">
        <v>703</v>
      </c>
      <c r="C11" s="114">
        <f>360636973+28368632</f>
        <v>389005605</v>
      </c>
    </row>
    <row r="12" spans="1:6" s="39" customFormat="1" ht="12.2" customHeight="1" x14ac:dyDescent="0.2">
      <c r="A12" s="194" t="s">
        <v>701</v>
      </c>
      <c r="B12" s="181" t="s">
        <v>704</v>
      </c>
      <c r="C12" s="114">
        <f>309539518+8214657</f>
        <v>317754175</v>
      </c>
    </row>
    <row r="13" spans="1:6" s="39" customFormat="1" ht="12.2" customHeight="1" x14ac:dyDescent="0.2">
      <c r="A13" s="194" t="s">
        <v>88</v>
      </c>
      <c r="B13" s="181" t="s">
        <v>183</v>
      </c>
      <c r="C13" s="114">
        <f>54423347+4812000</f>
        <v>59235347</v>
      </c>
    </row>
    <row r="14" spans="1:6" s="39" customFormat="1" ht="12.2" customHeight="1" x14ac:dyDescent="0.2">
      <c r="A14" s="194" t="s">
        <v>111</v>
      </c>
      <c r="B14" s="181" t="s">
        <v>443</v>
      </c>
      <c r="C14" s="114">
        <f>328722245-84441812</f>
        <v>244280433</v>
      </c>
    </row>
    <row r="15" spans="1:6" s="38" customFormat="1" ht="12.2" customHeight="1" thickBot="1" x14ac:dyDescent="0.25">
      <c r="A15" s="195" t="s">
        <v>89</v>
      </c>
      <c r="B15" s="182" t="s">
        <v>386</v>
      </c>
      <c r="C15" s="99"/>
    </row>
    <row r="16" spans="1:6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138620750</v>
      </c>
    </row>
    <row r="17" spans="1:3" s="38" customFormat="1" ht="12.2" customHeight="1" x14ac:dyDescent="0.2">
      <c r="A17" s="193" t="s">
        <v>91</v>
      </c>
      <c r="B17" s="180" t="s">
        <v>185</v>
      </c>
      <c r="C17" s="256"/>
    </row>
    <row r="18" spans="1:3" s="38" customFormat="1" ht="12.2" customHeight="1" x14ac:dyDescent="0.2">
      <c r="A18" s="194" t="s">
        <v>92</v>
      </c>
      <c r="B18" s="181" t="s">
        <v>186</v>
      </c>
      <c r="C18" s="99"/>
    </row>
    <row r="19" spans="1:3" s="38" customFormat="1" ht="12.2" customHeight="1" x14ac:dyDescent="0.2">
      <c r="A19" s="194" t="s">
        <v>93</v>
      </c>
      <c r="B19" s="181" t="s">
        <v>352</v>
      </c>
      <c r="C19" s="99"/>
    </row>
    <row r="20" spans="1:3" s="38" customFormat="1" ht="12.2" customHeight="1" x14ac:dyDescent="0.2">
      <c r="A20" s="194" t="s">
        <v>94</v>
      </c>
      <c r="B20" s="181" t="s">
        <v>353</v>
      </c>
      <c r="C20" s="99"/>
    </row>
    <row r="21" spans="1:3" s="38" customFormat="1" ht="12.2" customHeight="1" x14ac:dyDescent="0.2">
      <c r="A21" s="194" t="s">
        <v>95</v>
      </c>
      <c r="B21" s="181" t="s">
        <v>187</v>
      </c>
      <c r="C21" s="246">
        <f>104774899+33845851</f>
        <v>138620750</v>
      </c>
    </row>
    <row r="22" spans="1:3" s="39" customFormat="1" ht="12.2" customHeight="1" thickBot="1" x14ac:dyDescent="0.25">
      <c r="A22" s="195" t="s">
        <v>104</v>
      </c>
      <c r="B22" s="182" t="s">
        <v>188</v>
      </c>
      <c r="C22" s="249">
        <f>53054899+33845851</f>
        <v>86900750</v>
      </c>
    </row>
    <row r="23" spans="1:3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543031505</v>
      </c>
    </row>
    <row r="24" spans="1:3" s="39" customFormat="1" ht="12.2" customHeight="1" x14ac:dyDescent="0.2">
      <c r="A24" s="193" t="s">
        <v>74</v>
      </c>
      <c r="B24" s="180" t="s">
        <v>190</v>
      </c>
      <c r="C24" s="655"/>
    </row>
    <row r="25" spans="1:3" s="38" customFormat="1" ht="12.2" customHeight="1" x14ac:dyDescent="0.2">
      <c r="A25" s="194" t="s">
        <v>75</v>
      </c>
      <c r="B25" s="181" t="s">
        <v>191</v>
      </c>
      <c r="C25" s="246"/>
    </row>
    <row r="26" spans="1:3" s="39" customFormat="1" ht="12.2" customHeight="1" x14ac:dyDescent="0.2">
      <c r="A26" s="194" t="s">
        <v>76</v>
      </c>
      <c r="B26" s="181" t="s">
        <v>354</v>
      </c>
      <c r="C26" s="246"/>
    </row>
    <row r="27" spans="1:3" s="39" customFormat="1" ht="12.2" customHeight="1" x14ac:dyDescent="0.2">
      <c r="A27" s="194" t="s">
        <v>77</v>
      </c>
      <c r="B27" s="181" t="s">
        <v>355</v>
      </c>
      <c r="C27" s="246"/>
    </row>
    <row r="28" spans="1:3" s="39" customFormat="1" ht="12.2" customHeight="1" x14ac:dyDescent="0.2">
      <c r="A28" s="194" t="s">
        <v>122</v>
      </c>
      <c r="B28" s="181" t="s">
        <v>192</v>
      </c>
      <c r="C28" s="246">
        <f>272339867+270691638</f>
        <v>543031505</v>
      </c>
    </row>
    <row r="29" spans="1:3" s="39" customFormat="1" ht="12.2" customHeight="1" thickBot="1" x14ac:dyDescent="0.25">
      <c r="A29" s="195" t="s">
        <v>123</v>
      </c>
      <c r="B29" s="182" t="s">
        <v>193</v>
      </c>
      <c r="C29" s="249">
        <f>272339867+270691638</f>
        <v>543031505</v>
      </c>
    </row>
    <row r="30" spans="1:3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639195000</v>
      </c>
    </row>
    <row r="31" spans="1:3" s="39" customFormat="1" ht="12.2" customHeight="1" x14ac:dyDescent="0.2">
      <c r="A31" s="193" t="s">
        <v>195</v>
      </c>
      <c r="B31" s="180" t="s">
        <v>554</v>
      </c>
      <c r="C31" s="269">
        <f>SUM(C32:C33)</f>
        <v>615395000</v>
      </c>
    </row>
    <row r="32" spans="1:3" s="39" customFormat="1" ht="12.2" customHeight="1" x14ac:dyDescent="0.2">
      <c r="A32" s="194" t="s">
        <v>196</v>
      </c>
      <c r="B32" s="181" t="s">
        <v>201</v>
      </c>
      <c r="C32" s="99">
        <f>85000000+24395000</f>
        <v>109395000</v>
      </c>
    </row>
    <row r="33" spans="1:3" s="39" customFormat="1" ht="12.2" customHeight="1" x14ac:dyDescent="0.2">
      <c r="A33" s="194" t="s">
        <v>197</v>
      </c>
      <c r="B33" s="232" t="s">
        <v>553</v>
      </c>
      <c r="C33" s="99">
        <v>506000000</v>
      </c>
    </row>
    <row r="34" spans="1:3" s="39" customFormat="1" ht="12.2" customHeight="1" x14ac:dyDescent="0.2">
      <c r="A34" s="194" t="s">
        <v>198</v>
      </c>
      <c r="B34" s="181" t="s">
        <v>469</v>
      </c>
      <c r="C34" s="246"/>
    </row>
    <row r="35" spans="1:3" s="39" customFormat="1" ht="12.2" customHeight="1" x14ac:dyDescent="0.2">
      <c r="A35" s="194" t="s">
        <v>199</v>
      </c>
      <c r="B35" s="181" t="s">
        <v>203</v>
      </c>
      <c r="C35" s="99">
        <v>1000000</v>
      </c>
    </row>
    <row r="36" spans="1:3" s="39" customFormat="1" ht="12.2" customHeight="1" thickBot="1" x14ac:dyDescent="0.25">
      <c r="A36" s="195" t="s">
        <v>200</v>
      </c>
      <c r="B36" s="182" t="s">
        <v>204</v>
      </c>
      <c r="C36" s="249">
        <v>22800000</v>
      </c>
    </row>
    <row r="37" spans="1:3" s="39" customFormat="1" ht="12.2" customHeight="1" thickBot="1" x14ac:dyDescent="0.25">
      <c r="A37" s="25" t="s">
        <v>20</v>
      </c>
      <c r="B37" s="18" t="s">
        <v>387</v>
      </c>
      <c r="C37" s="255">
        <f t="shared" ref="C37" si="5">SUM(C38:C48)</f>
        <v>113746023</v>
      </c>
    </row>
    <row r="38" spans="1:3" s="39" customFormat="1" ht="12.2" customHeight="1" x14ac:dyDescent="0.2">
      <c r="A38" s="193" t="s">
        <v>78</v>
      </c>
      <c r="B38" s="180" t="s">
        <v>207</v>
      </c>
      <c r="C38" s="655"/>
    </row>
    <row r="39" spans="1:3" s="39" customFormat="1" ht="12.2" customHeight="1" x14ac:dyDescent="0.2">
      <c r="A39" s="194" t="s">
        <v>79</v>
      </c>
      <c r="B39" s="181" t="s">
        <v>208</v>
      </c>
      <c r="C39" s="246">
        <v>18878000</v>
      </c>
    </row>
    <row r="40" spans="1:3" s="39" customFormat="1" ht="12.2" customHeight="1" x14ac:dyDescent="0.2">
      <c r="A40" s="194" t="s">
        <v>80</v>
      </c>
      <c r="B40" s="181" t="s">
        <v>209</v>
      </c>
      <c r="C40" s="246">
        <v>19433473</v>
      </c>
    </row>
    <row r="41" spans="1:3" s="39" customFormat="1" ht="12.2" customHeight="1" x14ac:dyDescent="0.2">
      <c r="A41" s="194" t="s">
        <v>126</v>
      </c>
      <c r="B41" s="181" t="s">
        <v>210</v>
      </c>
      <c r="C41" s="246">
        <v>3700000</v>
      </c>
    </row>
    <row r="42" spans="1:3" s="39" customFormat="1" ht="12.2" customHeight="1" x14ac:dyDescent="0.2">
      <c r="A42" s="194" t="s">
        <v>127</v>
      </c>
      <c r="B42" s="181" t="s">
        <v>211</v>
      </c>
      <c r="C42" s="246"/>
    </row>
    <row r="43" spans="1:3" s="39" customFormat="1" ht="12.2" customHeight="1" x14ac:dyDescent="0.2">
      <c r="A43" s="194" t="s">
        <v>128</v>
      </c>
      <c r="B43" s="181" t="s">
        <v>212</v>
      </c>
      <c r="C43" s="246">
        <v>21308473</v>
      </c>
    </row>
    <row r="44" spans="1:3" s="39" customFormat="1" ht="12.2" customHeight="1" x14ac:dyDescent="0.2">
      <c r="A44" s="194" t="s">
        <v>129</v>
      </c>
      <c r="B44" s="181" t="s">
        <v>213</v>
      </c>
      <c r="C44" s="246">
        <v>21502228</v>
      </c>
    </row>
    <row r="45" spans="1:3" s="39" customFormat="1" ht="12.2" customHeight="1" x14ac:dyDescent="0.2">
      <c r="A45" s="194" t="s">
        <v>130</v>
      </c>
      <c r="B45" s="181" t="s">
        <v>214</v>
      </c>
      <c r="C45" s="246"/>
    </row>
    <row r="46" spans="1:3" s="39" customFormat="1" ht="12.2" customHeight="1" x14ac:dyDescent="0.2">
      <c r="A46" s="194" t="s">
        <v>205</v>
      </c>
      <c r="B46" s="181" t="s">
        <v>215</v>
      </c>
      <c r="C46" s="246"/>
    </row>
    <row r="47" spans="1:3" s="39" customFormat="1" ht="12.2" customHeight="1" x14ac:dyDescent="0.2">
      <c r="A47" s="195" t="s">
        <v>206</v>
      </c>
      <c r="B47" s="182" t="s">
        <v>388</v>
      </c>
      <c r="C47" s="249"/>
    </row>
    <row r="48" spans="1:3" s="39" customFormat="1" ht="12.2" customHeight="1" thickBot="1" x14ac:dyDescent="0.25">
      <c r="A48" s="195" t="s">
        <v>389</v>
      </c>
      <c r="B48" s="182" t="s">
        <v>216</v>
      </c>
      <c r="C48" s="249">
        <f>500000+28423849</f>
        <v>28923849</v>
      </c>
    </row>
    <row r="49" spans="1:3" s="39" customFormat="1" ht="12.2" customHeight="1" thickBot="1" x14ac:dyDescent="0.25">
      <c r="A49" s="25" t="s">
        <v>21</v>
      </c>
      <c r="B49" s="18" t="s">
        <v>217</v>
      </c>
      <c r="C49" s="255">
        <f t="shared" ref="C49" si="6">SUM(C50:C54)</f>
        <v>60500000</v>
      </c>
    </row>
    <row r="50" spans="1:3" s="39" customFormat="1" ht="12.2" customHeight="1" x14ac:dyDescent="0.2">
      <c r="A50" s="193" t="s">
        <v>81</v>
      </c>
      <c r="B50" s="180" t="s">
        <v>221</v>
      </c>
      <c r="C50" s="655"/>
    </row>
    <row r="51" spans="1:3" s="39" customFormat="1" ht="12.2" customHeight="1" x14ac:dyDescent="0.2">
      <c r="A51" s="194" t="s">
        <v>82</v>
      </c>
      <c r="B51" s="181" t="s">
        <v>222</v>
      </c>
      <c r="C51" s="246">
        <v>60500000</v>
      </c>
    </row>
    <row r="52" spans="1:3" s="39" customFormat="1" ht="12.2" customHeight="1" x14ac:dyDescent="0.2">
      <c r="A52" s="194" t="s">
        <v>218</v>
      </c>
      <c r="B52" s="181" t="s">
        <v>223</v>
      </c>
      <c r="C52" s="246"/>
    </row>
    <row r="53" spans="1:3" s="39" customFormat="1" ht="12.2" customHeight="1" x14ac:dyDescent="0.2">
      <c r="A53" s="194" t="s">
        <v>219</v>
      </c>
      <c r="B53" s="181" t="s">
        <v>224</v>
      </c>
      <c r="C53" s="246"/>
    </row>
    <row r="54" spans="1:3" s="39" customFormat="1" ht="12.2" customHeight="1" thickBot="1" x14ac:dyDescent="0.25">
      <c r="A54" s="195" t="s">
        <v>220</v>
      </c>
      <c r="B54" s="182" t="s">
        <v>225</v>
      </c>
      <c r="C54" s="249"/>
    </row>
    <row r="55" spans="1:3" s="39" customFormat="1" ht="12.2" customHeight="1" thickBot="1" x14ac:dyDescent="0.25">
      <c r="A55" s="25" t="s">
        <v>131</v>
      </c>
      <c r="B55" s="18" t="s">
        <v>226</v>
      </c>
      <c r="C55" s="255">
        <f t="shared" ref="C55" si="7">SUM(C56:C58)</f>
        <v>1000000</v>
      </c>
    </row>
    <row r="56" spans="1:3" s="39" customFormat="1" ht="12.2" customHeight="1" x14ac:dyDescent="0.2">
      <c r="A56" s="193" t="s">
        <v>83</v>
      </c>
      <c r="B56" s="180" t="s">
        <v>227</v>
      </c>
      <c r="C56" s="256">
        <v>1000000</v>
      </c>
    </row>
    <row r="57" spans="1:3" s="39" customFormat="1" ht="12.2" customHeight="1" x14ac:dyDescent="0.2">
      <c r="A57" s="194" t="s">
        <v>84</v>
      </c>
      <c r="B57" s="181" t="s">
        <v>356</v>
      </c>
      <c r="C57" s="246"/>
    </row>
    <row r="58" spans="1:3" s="39" customFormat="1" ht="12.2" customHeight="1" x14ac:dyDescent="0.2">
      <c r="A58" s="194" t="s">
        <v>230</v>
      </c>
      <c r="B58" s="181" t="s">
        <v>228</v>
      </c>
      <c r="C58" s="246"/>
    </row>
    <row r="59" spans="1:3" s="39" customFormat="1" ht="12.2" customHeight="1" thickBot="1" x14ac:dyDescent="0.25">
      <c r="A59" s="195" t="s">
        <v>231</v>
      </c>
      <c r="B59" s="182" t="s">
        <v>229</v>
      </c>
      <c r="C59" s="100"/>
    </row>
    <row r="60" spans="1:3" s="39" customFormat="1" ht="12.2" customHeight="1" thickBot="1" x14ac:dyDescent="0.25">
      <c r="A60" s="25" t="s">
        <v>23</v>
      </c>
      <c r="B60" s="105" t="s">
        <v>232</v>
      </c>
      <c r="C60" s="255">
        <f t="shared" ref="C60" si="8">SUM(C61:C63)</f>
        <v>0</v>
      </c>
    </row>
    <row r="61" spans="1:3" s="39" customFormat="1" ht="12.2" customHeight="1" x14ac:dyDescent="0.2">
      <c r="A61" s="193" t="s">
        <v>132</v>
      </c>
      <c r="B61" s="180" t="s">
        <v>234</v>
      </c>
      <c r="C61" s="246"/>
    </row>
    <row r="62" spans="1:3" s="39" customFormat="1" ht="12.2" customHeight="1" x14ac:dyDescent="0.2">
      <c r="A62" s="194" t="s">
        <v>133</v>
      </c>
      <c r="B62" s="181" t="s">
        <v>357</v>
      </c>
      <c r="C62" s="246"/>
    </row>
    <row r="63" spans="1:3" s="39" customFormat="1" ht="12.2" customHeight="1" x14ac:dyDescent="0.2">
      <c r="A63" s="194" t="s">
        <v>158</v>
      </c>
      <c r="B63" s="181" t="s">
        <v>235</v>
      </c>
      <c r="C63" s="246"/>
    </row>
    <row r="64" spans="1:3" s="39" customFormat="1" ht="12.2" customHeight="1" thickBot="1" x14ac:dyDescent="0.25">
      <c r="A64" s="195" t="s">
        <v>233</v>
      </c>
      <c r="B64" s="182" t="s">
        <v>236</v>
      </c>
      <c r="C64" s="246"/>
    </row>
    <row r="65" spans="1:3" s="39" customFormat="1" ht="12.2" customHeight="1" thickBot="1" x14ac:dyDescent="0.25">
      <c r="A65" s="25" t="s">
        <v>24</v>
      </c>
      <c r="B65" s="18" t="s">
        <v>237</v>
      </c>
      <c r="C65" s="257">
        <f t="shared" ref="C65" si="9">+C7+C16+C23+C30+C37+C49+C55+C60</f>
        <v>3277076396</v>
      </c>
    </row>
    <row r="66" spans="1:3" s="39" customFormat="1" ht="12.2" customHeight="1" thickBot="1" x14ac:dyDescent="0.2">
      <c r="A66" s="196" t="s">
        <v>327</v>
      </c>
      <c r="B66" s="105" t="s">
        <v>239</v>
      </c>
      <c r="C66" s="255">
        <f t="shared" ref="C66" si="10">SUM(C67:C69)</f>
        <v>1254058824</v>
      </c>
    </row>
    <row r="67" spans="1:3" s="39" customFormat="1" ht="12.2" customHeight="1" x14ac:dyDescent="0.2">
      <c r="A67" s="193" t="s">
        <v>270</v>
      </c>
      <c r="B67" s="180" t="s">
        <v>240</v>
      </c>
      <c r="C67" s="246">
        <v>154058824</v>
      </c>
    </row>
    <row r="68" spans="1:3" s="39" customFormat="1" ht="12.2" customHeight="1" x14ac:dyDescent="0.2">
      <c r="A68" s="194" t="s">
        <v>279</v>
      </c>
      <c r="B68" s="181" t="s">
        <v>241</v>
      </c>
      <c r="C68" s="246">
        <v>1100000000</v>
      </c>
    </row>
    <row r="69" spans="1:3" s="39" customFormat="1" ht="12.2" customHeight="1" thickBot="1" x14ac:dyDescent="0.25">
      <c r="A69" s="195" t="s">
        <v>280</v>
      </c>
      <c r="B69" s="183" t="s">
        <v>242</v>
      </c>
      <c r="C69" s="246"/>
    </row>
    <row r="70" spans="1:3" s="39" customFormat="1" ht="12.2" customHeight="1" thickBot="1" x14ac:dyDescent="0.2">
      <c r="A70" s="196" t="s">
        <v>243</v>
      </c>
      <c r="B70" s="105" t="s">
        <v>244</v>
      </c>
      <c r="C70" s="255">
        <f t="shared" ref="C70" si="11">SUM(C71:C74)</f>
        <v>0</v>
      </c>
    </row>
    <row r="71" spans="1:3" s="39" customFormat="1" ht="12.2" customHeight="1" x14ac:dyDescent="0.2">
      <c r="A71" s="193" t="s">
        <v>112</v>
      </c>
      <c r="B71" s="180" t="s">
        <v>245</v>
      </c>
      <c r="C71" s="246"/>
    </row>
    <row r="72" spans="1:3" s="39" customFormat="1" ht="12.2" customHeight="1" x14ac:dyDescent="0.2">
      <c r="A72" s="194" t="s">
        <v>113</v>
      </c>
      <c r="B72" s="181" t="s">
        <v>246</v>
      </c>
      <c r="C72" s="246"/>
    </row>
    <row r="73" spans="1:3" s="39" customFormat="1" ht="12.2" customHeight="1" x14ac:dyDescent="0.2">
      <c r="A73" s="194" t="s">
        <v>271</v>
      </c>
      <c r="B73" s="181" t="s">
        <v>247</v>
      </c>
      <c r="C73" s="246"/>
    </row>
    <row r="74" spans="1:3" s="39" customFormat="1" ht="12.2" customHeight="1" thickBot="1" x14ac:dyDescent="0.25">
      <c r="A74" s="195" t="s">
        <v>272</v>
      </c>
      <c r="B74" s="182" t="s">
        <v>248</v>
      </c>
      <c r="C74" s="246"/>
    </row>
    <row r="75" spans="1:3" s="39" customFormat="1" ht="12.2" customHeight="1" thickBot="1" x14ac:dyDescent="0.2">
      <c r="A75" s="196" t="s">
        <v>249</v>
      </c>
      <c r="B75" s="105" t="s">
        <v>250</v>
      </c>
      <c r="C75" s="255">
        <f t="shared" ref="C75" si="12">SUM(C76:C77)</f>
        <v>2178537308</v>
      </c>
    </row>
    <row r="76" spans="1:3" s="39" customFormat="1" ht="12.2" customHeight="1" x14ac:dyDescent="0.2">
      <c r="A76" s="193" t="s">
        <v>273</v>
      </c>
      <c r="B76" s="180" t="s">
        <v>251</v>
      </c>
      <c r="C76" s="246">
        <v>2178537308</v>
      </c>
    </row>
    <row r="77" spans="1:3" s="39" customFormat="1" ht="12.2" customHeight="1" thickBot="1" x14ac:dyDescent="0.25">
      <c r="A77" s="195" t="s">
        <v>274</v>
      </c>
      <c r="B77" s="182" t="s">
        <v>252</v>
      </c>
      <c r="C77" s="246"/>
    </row>
    <row r="78" spans="1:3" s="38" customFormat="1" ht="12.2" customHeight="1" thickBot="1" x14ac:dyDescent="0.2">
      <c r="A78" s="196" t="s">
        <v>253</v>
      </c>
      <c r="B78" s="105" t="s">
        <v>254</v>
      </c>
      <c r="C78" s="255">
        <f t="shared" ref="C78" si="13">SUM(C79:C81)</f>
        <v>61842606</v>
      </c>
    </row>
    <row r="79" spans="1:3" s="39" customFormat="1" ht="12.2" customHeight="1" x14ac:dyDescent="0.2">
      <c r="A79" s="193" t="s">
        <v>275</v>
      </c>
      <c r="B79" s="180" t="s">
        <v>255</v>
      </c>
      <c r="C79" s="246">
        <v>61842606</v>
      </c>
    </row>
    <row r="80" spans="1:3" s="39" customFormat="1" ht="12.2" customHeight="1" x14ac:dyDescent="0.2">
      <c r="A80" s="194" t="s">
        <v>276</v>
      </c>
      <c r="B80" s="181" t="s">
        <v>256</v>
      </c>
      <c r="C80" s="246"/>
    </row>
    <row r="81" spans="1:4" s="39" customFormat="1" ht="12.2" customHeight="1" thickBot="1" x14ac:dyDescent="0.25">
      <c r="A81" s="195" t="s">
        <v>277</v>
      </c>
      <c r="B81" s="182" t="s">
        <v>257</v>
      </c>
      <c r="C81" s="246"/>
    </row>
    <row r="82" spans="1:4" s="39" customFormat="1" ht="12.2" customHeight="1" thickBot="1" x14ac:dyDescent="0.2">
      <c r="A82" s="196" t="s">
        <v>258</v>
      </c>
      <c r="B82" s="105" t="s">
        <v>278</v>
      </c>
      <c r="C82" s="255">
        <f t="shared" ref="C82" si="14">SUM(C83:C86)</f>
        <v>0</v>
      </c>
    </row>
    <row r="83" spans="1:4" s="39" customFormat="1" ht="12.2" customHeight="1" x14ac:dyDescent="0.2">
      <c r="A83" s="197" t="s">
        <v>259</v>
      </c>
      <c r="B83" s="180" t="s">
        <v>260</v>
      </c>
      <c r="C83" s="246"/>
    </row>
    <row r="84" spans="1:4" s="39" customFormat="1" ht="12.2" customHeight="1" x14ac:dyDescent="0.2">
      <c r="A84" s="198" t="s">
        <v>261</v>
      </c>
      <c r="B84" s="181" t="s">
        <v>262</v>
      </c>
      <c r="C84" s="246"/>
    </row>
    <row r="85" spans="1:4" s="39" customFormat="1" ht="12.2" customHeight="1" x14ac:dyDescent="0.2">
      <c r="A85" s="198" t="s">
        <v>263</v>
      </c>
      <c r="B85" s="181" t="s">
        <v>264</v>
      </c>
      <c r="C85" s="246"/>
    </row>
    <row r="86" spans="1:4" s="38" customFormat="1" ht="12.2" customHeight="1" thickBot="1" x14ac:dyDescent="0.25">
      <c r="A86" s="199" t="s">
        <v>265</v>
      </c>
      <c r="B86" s="182" t="s">
        <v>266</v>
      </c>
      <c r="C86" s="246"/>
    </row>
    <row r="87" spans="1:4" s="38" customFormat="1" ht="12.2" customHeight="1" thickBot="1" x14ac:dyDescent="0.2">
      <c r="A87" s="196" t="s">
        <v>267</v>
      </c>
      <c r="B87" s="105" t="s">
        <v>392</v>
      </c>
      <c r="C87" s="258"/>
    </row>
    <row r="88" spans="1:4" s="38" customFormat="1" ht="12.2" customHeight="1" thickBot="1" x14ac:dyDescent="0.2">
      <c r="A88" s="196" t="s">
        <v>444</v>
      </c>
      <c r="B88" s="105" t="s">
        <v>268</v>
      </c>
      <c r="C88" s="258"/>
    </row>
    <row r="89" spans="1:4" s="38" customFormat="1" ht="12.2" customHeight="1" thickBot="1" x14ac:dyDescent="0.2">
      <c r="A89" s="196" t="s">
        <v>445</v>
      </c>
      <c r="B89" s="187" t="s">
        <v>393</v>
      </c>
      <c r="C89" s="257">
        <f t="shared" ref="C89" si="15">+C66+C70+C75+C78+C82+C88+C87</f>
        <v>3494438738</v>
      </c>
    </row>
    <row r="90" spans="1:4" s="38" customFormat="1" ht="12.2" customHeight="1" thickBot="1" x14ac:dyDescent="0.2">
      <c r="A90" s="200" t="s">
        <v>446</v>
      </c>
      <c r="B90" s="188" t="s">
        <v>447</v>
      </c>
      <c r="C90" s="257">
        <f t="shared" ref="C90" si="16">+C65+C89</f>
        <v>6771515134</v>
      </c>
      <c r="D90" s="33"/>
    </row>
    <row r="91" spans="1:4" s="32" customFormat="1" ht="16.5" customHeight="1" thickBot="1" x14ac:dyDescent="0.25">
      <c r="A91" s="1278" t="s">
        <v>53</v>
      </c>
      <c r="B91" s="1279"/>
      <c r="C91" s="1280"/>
    </row>
    <row r="92" spans="1:4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909006563</v>
      </c>
    </row>
    <row r="93" spans="1:4" ht="12.2" customHeight="1" x14ac:dyDescent="0.2">
      <c r="A93" s="201" t="s">
        <v>85</v>
      </c>
      <c r="B93" s="7" t="s">
        <v>46</v>
      </c>
      <c r="C93" s="656">
        <f>53790626+9691384</f>
        <v>63482010</v>
      </c>
    </row>
    <row r="94" spans="1:4" ht="12.2" customHeight="1" x14ac:dyDescent="0.2">
      <c r="A94" s="194" t="s">
        <v>86</v>
      </c>
      <c r="B94" s="5" t="s">
        <v>134</v>
      </c>
      <c r="C94" s="246">
        <f>8009605+1193461</f>
        <v>9203066</v>
      </c>
    </row>
    <row r="95" spans="1:4" ht="12.2" customHeight="1" x14ac:dyDescent="0.2">
      <c r="A95" s="194" t="s">
        <v>87</v>
      </c>
      <c r="B95" s="5" t="s">
        <v>110</v>
      </c>
      <c r="C95" s="249">
        <f>493331255+10905895</f>
        <v>504237150</v>
      </c>
    </row>
    <row r="96" spans="1:4" ht="12.2" customHeight="1" x14ac:dyDescent="0.2">
      <c r="A96" s="194" t="s">
        <v>88</v>
      </c>
      <c r="B96" s="8" t="s">
        <v>135</v>
      </c>
      <c r="C96" s="249">
        <v>45000000</v>
      </c>
    </row>
    <row r="97" spans="1:3" ht="12.2" customHeight="1" x14ac:dyDescent="0.2">
      <c r="A97" s="194" t="s">
        <v>99</v>
      </c>
      <c r="B97" s="16" t="s">
        <v>136</v>
      </c>
      <c r="C97" s="249">
        <f>SUM(C98:C109)</f>
        <v>172995061</v>
      </c>
    </row>
    <row r="98" spans="1:3" ht="12.2" customHeight="1" x14ac:dyDescent="0.2">
      <c r="A98" s="194" t="s">
        <v>89</v>
      </c>
      <c r="B98" s="5" t="s">
        <v>448</v>
      </c>
      <c r="C98" s="249"/>
    </row>
    <row r="99" spans="1:3" ht="12.2" customHeight="1" x14ac:dyDescent="0.2">
      <c r="A99" s="194" t="s">
        <v>90</v>
      </c>
      <c r="B99" s="58" t="s">
        <v>397</v>
      </c>
      <c r="C99" s="249">
        <v>19789124</v>
      </c>
    </row>
    <row r="100" spans="1:3" ht="12.2" customHeight="1" x14ac:dyDescent="0.2">
      <c r="A100" s="194" t="s">
        <v>100</v>
      </c>
      <c r="B100" s="58" t="s">
        <v>398</v>
      </c>
      <c r="C100" s="249"/>
    </row>
    <row r="101" spans="1:3" ht="12.2" customHeight="1" x14ac:dyDescent="0.2">
      <c r="A101" s="194" t="s">
        <v>101</v>
      </c>
      <c r="B101" s="58" t="s">
        <v>284</v>
      </c>
      <c r="C101" s="249"/>
    </row>
    <row r="102" spans="1:3" ht="12.2" customHeight="1" x14ac:dyDescent="0.2">
      <c r="A102" s="194" t="s">
        <v>102</v>
      </c>
      <c r="B102" s="59" t="s">
        <v>285</v>
      </c>
      <c r="C102" s="249"/>
    </row>
    <row r="103" spans="1:3" ht="12.2" customHeight="1" x14ac:dyDescent="0.2">
      <c r="A103" s="194" t="s">
        <v>103</v>
      </c>
      <c r="B103" s="59" t="s">
        <v>286</v>
      </c>
      <c r="C103" s="249"/>
    </row>
    <row r="104" spans="1:3" ht="12.2" customHeight="1" x14ac:dyDescent="0.2">
      <c r="A104" s="194" t="s">
        <v>105</v>
      </c>
      <c r="B104" s="58" t="s">
        <v>287</v>
      </c>
      <c r="C104" s="249">
        <f>600000+31726</f>
        <v>631726</v>
      </c>
    </row>
    <row r="105" spans="1:3" ht="12.2" customHeight="1" x14ac:dyDescent="0.2">
      <c r="A105" s="194" t="s">
        <v>137</v>
      </c>
      <c r="B105" s="58" t="s">
        <v>288</v>
      </c>
      <c r="C105" s="249"/>
    </row>
    <row r="106" spans="1:3" ht="12.2" customHeight="1" x14ac:dyDescent="0.2">
      <c r="A106" s="194" t="s">
        <v>282</v>
      </c>
      <c r="B106" s="59" t="s">
        <v>289</v>
      </c>
      <c r="C106" s="249"/>
    </row>
    <row r="107" spans="1:3" ht="12.2" customHeight="1" x14ac:dyDescent="0.2">
      <c r="A107" s="202" t="s">
        <v>283</v>
      </c>
      <c r="B107" s="60" t="s">
        <v>290</v>
      </c>
      <c r="C107" s="249"/>
    </row>
    <row r="108" spans="1:3" ht="12.2" customHeight="1" x14ac:dyDescent="0.2">
      <c r="A108" s="194" t="s">
        <v>399</v>
      </c>
      <c r="B108" s="60" t="s">
        <v>291</v>
      </c>
      <c r="C108" s="249"/>
    </row>
    <row r="109" spans="1:3" ht="12.2" customHeight="1" x14ac:dyDescent="0.2">
      <c r="A109" s="194" t="s">
        <v>400</v>
      </c>
      <c r="B109" s="59" t="s">
        <v>292</v>
      </c>
      <c r="C109" s="246">
        <v>152574211</v>
      </c>
    </row>
    <row r="110" spans="1:3" ht="12.2" customHeight="1" x14ac:dyDescent="0.2">
      <c r="A110" s="194" t="s">
        <v>401</v>
      </c>
      <c r="B110" s="8" t="s">
        <v>47</v>
      </c>
      <c r="C110" s="246">
        <f t="shared" ref="C110" si="17">SUM(C111:C112)</f>
        <v>114089276</v>
      </c>
    </row>
    <row r="111" spans="1:3" ht="12.2" customHeight="1" x14ac:dyDescent="0.2">
      <c r="A111" s="195" t="s">
        <v>402</v>
      </c>
      <c r="B111" s="5" t="s">
        <v>449</v>
      </c>
      <c r="C111" s="249">
        <f>10000000-1363819</f>
        <v>8636181</v>
      </c>
    </row>
    <row r="112" spans="1:3" ht="12.2" customHeight="1" thickBot="1" x14ac:dyDescent="0.25">
      <c r="A112" s="203" t="s">
        <v>404</v>
      </c>
      <c r="B112" s="61" t="s">
        <v>450</v>
      </c>
      <c r="C112" s="270">
        <f>110093095-4640000</f>
        <v>105453095</v>
      </c>
    </row>
    <row r="113" spans="1:4" ht="12.2" customHeight="1" thickBot="1" x14ac:dyDescent="0.25">
      <c r="A113" s="25" t="s">
        <v>17</v>
      </c>
      <c r="B113" s="22" t="s">
        <v>293</v>
      </c>
      <c r="C113" s="255">
        <f t="shared" ref="C113" si="18">+C114+C116+C118</f>
        <v>2651365004</v>
      </c>
    </row>
    <row r="114" spans="1:4" ht="12.2" customHeight="1" x14ac:dyDescent="0.2">
      <c r="A114" s="193" t="s">
        <v>91</v>
      </c>
      <c r="B114" s="5" t="s">
        <v>157</v>
      </c>
      <c r="C114" s="655">
        <f>737664708+123373471</f>
        <v>861038179</v>
      </c>
    </row>
    <row r="115" spans="1:4" ht="12.2" customHeight="1" x14ac:dyDescent="0.2">
      <c r="A115" s="193" t="s">
        <v>92</v>
      </c>
      <c r="B115" s="9" t="s">
        <v>297</v>
      </c>
      <c r="C115" s="1086">
        <f>350683330+115319148</f>
        <v>466002478</v>
      </c>
    </row>
    <row r="116" spans="1:4" ht="12.2" customHeight="1" x14ac:dyDescent="0.2">
      <c r="A116" s="193" t="s">
        <v>93</v>
      </c>
      <c r="B116" s="9" t="s">
        <v>138</v>
      </c>
      <c r="C116" s="246">
        <f>1573896778+214428955</f>
        <v>1788325733</v>
      </c>
    </row>
    <row r="117" spans="1:4" ht="12.2" customHeight="1" x14ac:dyDescent="0.2">
      <c r="A117" s="193" t="s">
        <v>94</v>
      </c>
      <c r="B117" s="9" t="s">
        <v>298</v>
      </c>
      <c r="C117" s="1087">
        <f>1008969346+191814096</f>
        <v>1200783442</v>
      </c>
    </row>
    <row r="118" spans="1:4" ht="12.2" customHeight="1" x14ac:dyDescent="0.2">
      <c r="A118" s="193" t="s">
        <v>95</v>
      </c>
      <c r="B118" s="107" t="s">
        <v>159</v>
      </c>
      <c r="C118" s="246">
        <f t="shared" ref="C118" si="19">SUM(C119:C126)</f>
        <v>2001092</v>
      </c>
    </row>
    <row r="119" spans="1:4" ht="12.2" customHeight="1" x14ac:dyDescent="0.2">
      <c r="A119" s="193" t="s">
        <v>104</v>
      </c>
      <c r="B119" s="106" t="s">
        <v>358</v>
      </c>
      <c r="C119" s="99"/>
    </row>
    <row r="120" spans="1:4" ht="12.2" customHeight="1" x14ac:dyDescent="0.2">
      <c r="A120" s="193" t="s">
        <v>106</v>
      </c>
      <c r="B120" s="177" t="s">
        <v>303</v>
      </c>
      <c r="C120" s="99"/>
    </row>
    <row r="121" spans="1:4" ht="12.2" customHeight="1" x14ac:dyDescent="0.2">
      <c r="A121" s="193" t="s">
        <v>139</v>
      </c>
      <c r="B121" s="59" t="s">
        <v>286</v>
      </c>
      <c r="C121" s="99"/>
    </row>
    <row r="122" spans="1:4" ht="12.2" customHeight="1" x14ac:dyDescent="0.2">
      <c r="A122" s="193" t="s">
        <v>140</v>
      </c>
      <c r="B122" s="59" t="s">
        <v>302</v>
      </c>
      <c r="C122" s="99"/>
    </row>
    <row r="123" spans="1:4" ht="12.2" customHeight="1" x14ac:dyDescent="0.2">
      <c r="A123" s="193" t="s">
        <v>141</v>
      </c>
      <c r="B123" s="59" t="s">
        <v>301</v>
      </c>
      <c r="C123" s="99"/>
    </row>
    <row r="124" spans="1:4" ht="12.2" customHeight="1" x14ac:dyDescent="0.2">
      <c r="A124" s="193" t="s">
        <v>294</v>
      </c>
      <c r="B124" s="59" t="s">
        <v>289</v>
      </c>
      <c r="C124" s="99"/>
    </row>
    <row r="125" spans="1:4" ht="12.2" customHeight="1" x14ac:dyDescent="0.2">
      <c r="A125" s="193" t="s">
        <v>295</v>
      </c>
      <c r="B125" s="59" t="s">
        <v>300</v>
      </c>
      <c r="C125" s="99"/>
    </row>
    <row r="126" spans="1:4" ht="12.2" customHeight="1" thickBot="1" x14ac:dyDescent="0.25">
      <c r="A126" s="202" t="s">
        <v>296</v>
      </c>
      <c r="B126" s="59" t="s">
        <v>299</v>
      </c>
      <c r="C126" s="249">
        <v>2001092</v>
      </c>
    </row>
    <row r="127" spans="1:4" ht="12.2" customHeight="1" thickBot="1" x14ac:dyDescent="0.25">
      <c r="A127" s="25" t="s">
        <v>18</v>
      </c>
      <c r="B127" s="54" t="s">
        <v>406</v>
      </c>
      <c r="C127" s="255">
        <f t="shared" ref="C127" si="20">+C92+C113</f>
        <v>3560371567</v>
      </c>
      <c r="D127" s="250"/>
    </row>
    <row r="128" spans="1:4" ht="12.2" customHeight="1" thickBot="1" x14ac:dyDescent="0.25">
      <c r="A128" s="25" t="s">
        <v>19</v>
      </c>
      <c r="B128" s="54" t="s">
        <v>407</v>
      </c>
      <c r="C128" s="255">
        <f t="shared" ref="C128" si="21">+C129+C130+C131</f>
        <v>1120250686</v>
      </c>
    </row>
    <row r="129" spans="1:9" s="213" customFormat="1" ht="12.2" customHeight="1" x14ac:dyDescent="0.2">
      <c r="A129" s="193" t="s">
        <v>195</v>
      </c>
      <c r="B129" s="6" t="s">
        <v>451</v>
      </c>
      <c r="C129" s="246">
        <v>20250686</v>
      </c>
    </row>
    <row r="130" spans="1:9" ht="12.2" customHeight="1" x14ac:dyDescent="0.2">
      <c r="A130" s="193" t="s">
        <v>198</v>
      </c>
      <c r="B130" s="6" t="s">
        <v>409</v>
      </c>
      <c r="C130" s="246">
        <v>1100000000</v>
      </c>
    </row>
    <row r="131" spans="1:9" ht="12.2" customHeight="1" thickBot="1" x14ac:dyDescent="0.25">
      <c r="A131" s="202" t="s">
        <v>199</v>
      </c>
      <c r="B131" s="4" t="s">
        <v>452</v>
      </c>
      <c r="C131" s="99"/>
    </row>
    <row r="132" spans="1:9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</row>
    <row r="133" spans="1:9" ht="12.2" customHeight="1" x14ac:dyDescent="0.2">
      <c r="A133" s="193" t="s">
        <v>78</v>
      </c>
      <c r="B133" s="6" t="s">
        <v>412</v>
      </c>
      <c r="C133" s="99"/>
    </row>
    <row r="134" spans="1:9" ht="12.2" customHeight="1" x14ac:dyDescent="0.2">
      <c r="A134" s="193" t="s">
        <v>79</v>
      </c>
      <c r="B134" s="6" t="s">
        <v>413</v>
      </c>
      <c r="C134" s="99"/>
    </row>
    <row r="135" spans="1:9" ht="12.2" customHeight="1" x14ac:dyDescent="0.2">
      <c r="A135" s="193" t="s">
        <v>80</v>
      </c>
      <c r="B135" s="6" t="s">
        <v>414</v>
      </c>
      <c r="C135" s="99"/>
    </row>
    <row r="136" spans="1:9" ht="12.2" customHeight="1" x14ac:dyDescent="0.2">
      <c r="A136" s="193" t="s">
        <v>126</v>
      </c>
      <c r="B136" s="6" t="s">
        <v>453</v>
      </c>
      <c r="C136" s="99"/>
    </row>
    <row r="137" spans="1:9" ht="12.2" customHeight="1" x14ac:dyDescent="0.2">
      <c r="A137" s="193" t="s">
        <v>127</v>
      </c>
      <c r="B137" s="6" t="s">
        <v>416</v>
      </c>
      <c r="C137" s="99"/>
    </row>
    <row r="138" spans="1:9" s="213" customFormat="1" ht="12.2" customHeight="1" thickBot="1" x14ac:dyDescent="0.25">
      <c r="A138" s="202" t="s">
        <v>128</v>
      </c>
      <c r="B138" s="4" t="s">
        <v>417</v>
      </c>
      <c r="C138" s="99"/>
    </row>
    <row r="139" spans="1:9" ht="12.2" customHeight="1" thickBot="1" x14ac:dyDescent="0.25">
      <c r="A139" s="25" t="s">
        <v>21</v>
      </c>
      <c r="B139" s="54" t="s">
        <v>454</v>
      </c>
      <c r="C139" s="257">
        <f t="shared" ref="C139" si="22">+C140+C141+C142+C143</f>
        <v>61842606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.2" customHeight="1" x14ac:dyDescent="0.2">
      <c r="A141" s="193" t="s">
        <v>82</v>
      </c>
      <c r="B141" s="6" t="s">
        <v>305</v>
      </c>
      <c r="C141" s="99">
        <v>61842606</v>
      </c>
    </row>
    <row r="142" spans="1:9" s="213" customFormat="1" ht="12.2" customHeight="1" x14ac:dyDescent="0.2">
      <c r="A142" s="193" t="s">
        <v>218</v>
      </c>
      <c r="B142" s="6" t="s">
        <v>419</v>
      </c>
      <c r="C142" s="99"/>
    </row>
    <row r="143" spans="1:9" s="213" customFormat="1" ht="12.2" customHeight="1" thickBot="1" x14ac:dyDescent="0.25">
      <c r="A143" s="202" t="s">
        <v>219</v>
      </c>
      <c r="B143" s="4" t="s">
        <v>323</v>
      </c>
      <c r="C143" s="99"/>
    </row>
    <row r="144" spans="1:9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</row>
    <row r="145" spans="1:4" s="213" customFormat="1" ht="12.2" customHeight="1" x14ac:dyDescent="0.2">
      <c r="A145" s="193" t="s">
        <v>83</v>
      </c>
      <c r="B145" s="6" t="s">
        <v>421</v>
      </c>
      <c r="C145" s="99"/>
    </row>
    <row r="146" spans="1:4" s="213" customFormat="1" ht="12.2" customHeight="1" x14ac:dyDescent="0.2">
      <c r="A146" s="193" t="s">
        <v>84</v>
      </c>
      <c r="B146" s="6" t="s">
        <v>422</v>
      </c>
      <c r="C146" s="99"/>
    </row>
    <row r="147" spans="1:4" s="213" customFormat="1" ht="12.2" customHeight="1" x14ac:dyDescent="0.2">
      <c r="A147" s="193" t="s">
        <v>230</v>
      </c>
      <c r="B147" s="6" t="s">
        <v>423</v>
      </c>
      <c r="C147" s="99"/>
    </row>
    <row r="148" spans="1:4" ht="12.75" customHeight="1" x14ac:dyDescent="0.2">
      <c r="A148" s="193" t="s">
        <v>231</v>
      </c>
      <c r="B148" s="6" t="s">
        <v>455</v>
      </c>
      <c r="C148" s="99"/>
    </row>
    <row r="149" spans="1:4" ht="12.75" customHeight="1" thickBot="1" x14ac:dyDescent="0.25">
      <c r="A149" s="202" t="s">
        <v>425</v>
      </c>
      <c r="B149" s="4" t="s">
        <v>426</v>
      </c>
      <c r="C149" s="100"/>
    </row>
    <row r="150" spans="1:4" ht="12.75" customHeight="1" thickBot="1" x14ac:dyDescent="0.25">
      <c r="A150" s="244" t="s">
        <v>23</v>
      </c>
      <c r="B150" s="54" t="s">
        <v>427</v>
      </c>
      <c r="C150" s="262"/>
    </row>
    <row r="151" spans="1:4" ht="12.2" customHeight="1" thickBot="1" x14ac:dyDescent="0.25">
      <c r="A151" s="244" t="s">
        <v>24</v>
      </c>
      <c r="B151" s="54" t="s">
        <v>428</v>
      </c>
      <c r="C151" s="262"/>
    </row>
    <row r="152" spans="1:4" ht="15" customHeight="1" thickBot="1" x14ac:dyDescent="0.25">
      <c r="A152" s="25" t="s">
        <v>25</v>
      </c>
      <c r="B152" s="54" t="s">
        <v>429</v>
      </c>
      <c r="C152" s="263">
        <f t="shared" ref="C152" si="23">+C128+C132+C139+C144+C150+C151</f>
        <v>1182093292</v>
      </c>
    </row>
    <row r="153" spans="1:4" ht="13.5" thickBot="1" x14ac:dyDescent="0.25">
      <c r="A153" s="204" t="s">
        <v>26</v>
      </c>
      <c r="B153" s="166" t="s">
        <v>430</v>
      </c>
      <c r="C153" s="263">
        <f t="shared" ref="C153" si="24">+C127+C152</f>
        <v>4742464859</v>
      </c>
      <c r="D153" s="31"/>
    </row>
    <row r="154" spans="1:4" ht="14.25" customHeight="1" thickBot="1" x14ac:dyDescent="0.25">
      <c r="A154" s="95" t="s">
        <v>456</v>
      </c>
      <c r="B154" s="96"/>
      <c r="C154" s="94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A2" sqref="A2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163" customWidth="1"/>
    <col min="4" max="4" width="13.33203125" style="301" customWidth="1"/>
    <col min="5" max="5" width="16.1640625" style="301" customWidth="1"/>
    <col min="6" max="16384" width="9.33203125" style="301"/>
  </cols>
  <sheetData>
    <row r="1" spans="1:5" x14ac:dyDescent="0.2">
      <c r="A1" s="1275" t="str">
        <f>CONCATENATE("12. melléklet"," ",ALAPADATOK!A7," ",ALAPADATOK!B7," ",ALAPADATOK!C7," ",ALAPADATOK!D7," ",ALAPADATOK!E7," ",ALAPADATOK!F7," ",ALAPADATOK!G7," ",ALAPADATOK!H7)</f>
        <v>12. melléklet a .. / 2023. ( …... ) önkormányzati rendelethez</v>
      </c>
      <c r="B1" s="1275"/>
      <c r="C1" s="1275"/>
    </row>
    <row r="2" spans="1:5" s="1" customFormat="1" ht="16.5" customHeight="1" x14ac:dyDescent="0.2">
      <c r="A2" s="75"/>
      <c r="B2" s="76"/>
      <c r="C2" s="97"/>
    </row>
    <row r="3" spans="1:5" s="37" customFormat="1" ht="21.2" customHeight="1" thickBot="1" x14ac:dyDescent="0.25">
      <c r="A3" s="1236" t="s">
        <v>865</v>
      </c>
      <c r="B3" s="1236"/>
      <c r="C3" s="1236"/>
    </row>
    <row r="4" spans="1:5" ht="13.5" thickBot="1" x14ac:dyDescent="0.25">
      <c r="A4" s="172" t="s">
        <v>153</v>
      </c>
      <c r="B4" s="79" t="s">
        <v>50</v>
      </c>
      <c r="C4" s="154" t="s">
        <v>863</v>
      </c>
    </row>
    <row r="5" spans="1:5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443677534</v>
      </c>
      <c r="D7" s="623"/>
      <c r="E7" s="618"/>
    </row>
    <row r="8" spans="1:5" s="38" customFormat="1" ht="12.2" customHeight="1" x14ac:dyDescent="0.2">
      <c r="A8" s="193" t="s">
        <v>85</v>
      </c>
      <c r="B8" s="180" t="s">
        <v>180</v>
      </c>
      <c r="C8" s="214"/>
      <c r="D8" s="623"/>
      <c r="E8" s="618"/>
    </row>
    <row r="9" spans="1:5" s="39" customFormat="1" ht="12.2" customHeight="1" x14ac:dyDescent="0.2">
      <c r="A9" s="194" t="s">
        <v>86</v>
      </c>
      <c r="B9" s="181" t="s">
        <v>181</v>
      </c>
      <c r="C9" s="114"/>
      <c r="D9" s="623"/>
      <c r="E9" s="618"/>
    </row>
    <row r="10" spans="1:5" s="39" customFormat="1" ht="12.2" customHeight="1" x14ac:dyDescent="0.2">
      <c r="A10" s="194" t="s">
        <v>87</v>
      </c>
      <c r="B10" s="181" t="s">
        <v>702</v>
      </c>
      <c r="C10" s="114">
        <f t="shared" ref="C10" si="1">SUM(C11:C12)</f>
        <v>443677534</v>
      </c>
      <c r="D10" s="623"/>
      <c r="E10" s="618"/>
    </row>
    <row r="11" spans="1:5" s="39" customFormat="1" ht="12.2" customHeight="1" x14ac:dyDescent="0.2">
      <c r="A11" s="194" t="s">
        <v>700</v>
      </c>
      <c r="B11" s="181" t="s">
        <v>703</v>
      </c>
      <c r="C11" s="114">
        <f>406592534+37085000</f>
        <v>443677534</v>
      </c>
      <c r="D11" s="623"/>
      <c r="E11" s="618"/>
    </row>
    <row r="12" spans="1:5" s="39" customFormat="1" ht="12.2" customHeight="1" x14ac:dyDescent="0.2">
      <c r="A12" s="194" t="s">
        <v>701</v>
      </c>
      <c r="B12" s="181" t="s">
        <v>704</v>
      </c>
      <c r="C12" s="114"/>
      <c r="D12" s="623"/>
      <c r="E12" s="618"/>
    </row>
    <row r="13" spans="1:5" s="39" customFormat="1" ht="12.2" customHeight="1" x14ac:dyDescent="0.2">
      <c r="A13" s="194" t="s">
        <v>88</v>
      </c>
      <c r="B13" s="181" t="s">
        <v>183</v>
      </c>
      <c r="C13" s="114"/>
      <c r="D13" s="623"/>
      <c r="E13" s="618"/>
    </row>
    <row r="14" spans="1:5" s="39" customFormat="1" ht="12.2" customHeight="1" x14ac:dyDescent="0.2">
      <c r="A14" s="194" t="s">
        <v>111</v>
      </c>
      <c r="B14" s="181" t="s">
        <v>443</v>
      </c>
      <c r="C14" s="114"/>
      <c r="D14" s="623"/>
      <c r="E14" s="618"/>
    </row>
    <row r="15" spans="1:5" s="38" customFormat="1" ht="12.2" customHeight="1" thickBot="1" x14ac:dyDescent="0.25">
      <c r="A15" s="195" t="s">
        <v>89</v>
      </c>
      <c r="B15" s="182" t="s">
        <v>386</v>
      </c>
      <c r="C15" s="99"/>
      <c r="D15" s="623"/>
      <c r="E15" s="618"/>
    </row>
    <row r="16" spans="1:5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0</v>
      </c>
      <c r="D16" s="623"/>
      <c r="E16" s="618"/>
    </row>
    <row r="17" spans="1:5" s="38" customFormat="1" ht="12.2" customHeight="1" x14ac:dyDescent="0.2">
      <c r="A17" s="193" t="s">
        <v>91</v>
      </c>
      <c r="B17" s="180" t="s">
        <v>185</v>
      </c>
      <c r="C17" s="256"/>
      <c r="D17" s="623"/>
      <c r="E17" s="618"/>
    </row>
    <row r="18" spans="1:5" s="38" customFormat="1" ht="12.2" customHeight="1" x14ac:dyDescent="0.2">
      <c r="A18" s="194" t="s">
        <v>92</v>
      </c>
      <c r="B18" s="181" t="s">
        <v>186</v>
      </c>
      <c r="C18" s="99"/>
      <c r="D18" s="623"/>
      <c r="E18" s="618"/>
    </row>
    <row r="19" spans="1:5" s="38" customFormat="1" ht="12.2" customHeight="1" x14ac:dyDescent="0.2">
      <c r="A19" s="194" t="s">
        <v>93</v>
      </c>
      <c r="B19" s="181" t="s">
        <v>352</v>
      </c>
      <c r="C19" s="99"/>
      <c r="D19" s="623"/>
      <c r="E19" s="618"/>
    </row>
    <row r="20" spans="1:5" s="38" customFormat="1" ht="12.2" customHeight="1" x14ac:dyDescent="0.2">
      <c r="A20" s="194" t="s">
        <v>94</v>
      </c>
      <c r="B20" s="181" t="s">
        <v>353</v>
      </c>
      <c r="C20" s="99"/>
      <c r="D20" s="623"/>
      <c r="E20" s="618"/>
    </row>
    <row r="21" spans="1:5" s="38" customFormat="1" ht="12.2" customHeight="1" x14ac:dyDescent="0.2">
      <c r="A21" s="194" t="s">
        <v>95</v>
      </c>
      <c r="B21" s="181" t="s">
        <v>187</v>
      </c>
      <c r="C21" s="246"/>
      <c r="D21" s="623"/>
      <c r="E21" s="618"/>
    </row>
    <row r="22" spans="1:5" s="39" customFormat="1" ht="12.2" customHeight="1" thickBot="1" x14ac:dyDescent="0.25">
      <c r="A22" s="195" t="s">
        <v>104</v>
      </c>
      <c r="B22" s="182" t="s">
        <v>188</v>
      </c>
      <c r="C22" s="249"/>
      <c r="D22" s="623"/>
      <c r="E22" s="618"/>
    </row>
    <row r="23" spans="1:5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0</v>
      </c>
      <c r="D23" s="623"/>
      <c r="E23" s="618"/>
    </row>
    <row r="24" spans="1:5" s="39" customFormat="1" ht="12.2" customHeight="1" x14ac:dyDescent="0.2">
      <c r="A24" s="193" t="s">
        <v>74</v>
      </c>
      <c r="B24" s="180" t="s">
        <v>190</v>
      </c>
      <c r="C24" s="655"/>
      <c r="D24" s="623"/>
      <c r="E24" s="618"/>
    </row>
    <row r="25" spans="1:5" s="38" customFormat="1" ht="12.2" customHeight="1" x14ac:dyDescent="0.2">
      <c r="A25" s="194" t="s">
        <v>75</v>
      </c>
      <c r="B25" s="181" t="s">
        <v>191</v>
      </c>
      <c r="C25" s="246"/>
      <c r="D25" s="623"/>
      <c r="E25" s="618"/>
    </row>
    <row r="26" spans="1:5" s="39" customFormat="1" ht="12.2" customHeight="1" x14ac:dyDescent="0.2">
      <c r="A26" s="194" t="s">
        <v>76</v>
      </c>
      <c r="B26" s="181" t="s">
        <v>354</v>
      </c>
      <c r="C26" s="246"/>
      <c r="D26" s="623"/>
      <c r="E26" s="618"/>
    </row>
    <row r="27" spans="1:5" s="39" customFormat="1" ht="12.2" customHeight="1" x14ac:dyDescent="0.2">
      <c r="A27" s="194" t="s">
        <v>77</v>
      </c>
      <c r="B27" s="181" t="s">
        <v>355</v>
      </c>
      <c r="C27" s="246"/>
      <c r="D27" s="623"/>
      <c r="E27" s="618"/>
    </row>
    <row r="28" spans="1:5" s="39" customFormat="1" ht="12.2" customHeight="1" x14ac:dyDescent="0.2">
      <c r="A28" s="194" t="s">
        <v>122</v>
      </c>
      <c r="B28" s="181" t="s">
        <v>192</v>
      </c>
      <c r="C28" s="246"/>
      <c r="D28" s="623"/>
      <c r="E28" s="618"/>
    </row>
    <row r="29" spans="1:5" s="39" customFormat="1" ht="12.2" customHeight="1" thickBot="1" x14ac:dyDescent="0.25">
      <c r="A29" s="195" t="s">
        <v>123</v>
      </c>
      <c r="B29" s="182" t="s">
        <v>193</v>
      </c>
      <c r="C29" s="249"/>
      <c r="D29" s="623"/>
      <c r="E29" s="618"/>
    </row>
    <row r="30" spans="1:5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0</v>
      </c>
      <c r="D30" s="623"/>
      <c r="E30" s="618"/>
    </row>
    <row r="31" spans="1:5" s="39" customFormat="1" ht="12.2" customHeight="1" x14ac:dyDescent="0.2">
      <c r="A31" s="193" t="s">
        <v>195</v>
      </c>
      <c r="B31" s="180" t="s">
        <v>554</v>
      </c>
      <c r="C31" s="269">
        <f t="shared" ref="C31" si="5">SUM(C32:C33)</f>
        <v>0</v>
      </c>
      <c r="D31" s="623"/>
      <c r="E31" s="618"/>
    </row>
    <row r="32" spans="1:5" s="39" customFormat="1" ht="12.2" customHeight="1" x14ac:dyDescent="0.2">
      <c r="A32" s="194" t="s">
        <v>196</v>
      </c>
      <c r="B32" s="181" t="s">
        <v>201</v>
      </c>
      <c r="C32" s="99"/>
      <c r="D32" s="623"/>
      <c r="E32" s="618"/>
    </row>
    <row r="33" spans="1:5" s="39" customFormat="1" ht="12.2" customHeight="1" x14ac:dyDescent="0.2">
      <c r="A33" s="194" t="s">
        <v>197</v>
      </c>
      <c r="B33" s="232" t="s">
        <v>553</v>
      </c>
      <c r="C33" s="99"/>
      <c r="D33" s="623"/>
      <c r="E33" s="618"/>
    </row>
    <row r="34" spans="1:5" s="39" customFormat="1" ht="12.2" customHeight="1" x14ac:dyDescent="0.2">
      <c r="A34" s="194" t="s">
        <v>198</v>
      </c>
      <c r="B34" s="181" t="s">
        <v>469</v>
      </c>
      <c r="C34" s="246"/>
      <c r="D34" s="623"/>
      <c r="E34" s="618"/>
    </row>
    <row r="35" spans="1:5" s="39" customFormat="1" ht="12.2" customHeight="1" x14ac:dyDescent="0.2">
      <c r="A35" s="194" t="s">
        <v>199</v>
      </c>
      <c r="B35" s="181" t="s">
        <v>203</v>
      </c>
      <c r="C35" s="99"/>
      <c r="D35" s="623"/>
      <c r="E35" s="618"/>
    </row>
    <row r="36" spans="1:5" s="39" customFormat="1" ht="12.2" customHeight="1" thickBot="1" x14ac:dyDescent="0.25">
      <c r="A36" s="195" t="s">
        <v>200</v>
      </c>
      <c r="B36" s="182" t="s">
        <v>204</v>
      </c>
      <c r="C36" s="249"/>
      <c r="D36" s="623"/>
      <c r="E36" s="618"/>
    </row>
    <row r="37" spans="1:5" s="39" customFormat="1" ht="12.2" customHeight="1" thickBot="1" x14ac:dyDescent="0.25">
      <c r="A37" s="25" t="s">
        <v>20</v>
      </c>
      <c r="B37" s="18" t="s">
        <v>387</v>
      </c>
      <c r="C37" s="255">
        <f t="shared" ref="C37" si="6">SUM(C38:C48)</f>
        <v>5416000</v>
      </c>
      <c r="D37" s="623"/>
      <c r="E37" s="618"/>
    </row>
    <row r="38" spans="1:5" s="39" customFormat="1" ht="12.2" customHeight="1" x14ac:dyDescent="0.2">
      <c r="A38" s="193" t="s">
        <v>78</v>
      </c>
      <c r="B38" s="180" t="s">
        <v>207</v>
      </c>
      <c r="C38" s="655"/>
      <c r="D38" s="623"/>
      <c r="E38" s="618"/>
    </row>
    <row r="39" spans="1:5" s="39" customFormat="1" ht="12.2" customHeight="1" x14ac:dyDescent="0.2">
      <c r="A39" s="194" t="s">
        <v>79</v>
      </c>
      <c r="B39" s="181" t="s">
        <v>208</v>
      </c>
      <c r="C39" s="246">
        <v>1974803</v>
      </c>
      <c r="D39" s="623"/>
      <c r="E39" s="618"/>
    </row>
    <row r="40" spans="1:5" s="39" customFormat="1" ht="12.2" customHeight="1" x14ac:dyDescent="0.2">
      <c r="A40" s="194" t="s">
        <v>80</v>
      </c>
      <c r="B40" s="181" t="s">
        <v>209</v>
      </c>
      <c r="C40" s="246"/>
      <c r="D40" s="623"/>
      <c r="E40" s="618"/>
    </row>
    <row r="41" spans="1:5" s="39" customFormat="1" ht="12.2" customHeight="1" x14ac:dyDescent="0.2">
      <c r="A41" s="194" t="s">
        <v>126</v>
      </c>
      <c r="B41" s="181" t="s">
        <v>210</v>
      </c>
      <c r="C41" s="246"/>
      <c r="D41" s="623"/>
      <c r="E41" s="618"/>
    </row>
    <row r="42" spans="1:5" s="39" customFormat="1" ht="12.2" customHeight="1" x14ac:dyDescent="0.2">
      <c r="A42" s="194" t="s">
        <v>127</v>
      </c>
      <c r="B42" s="181" t="s">
        <v>211</v>
      </c>
      <c r="C42" s="246"/>
      <c r="D42" s="623"/>
      <c r="E42" s="618"/>
    </row>
    <row r="43" spans="1:5" s="39" customFormat="1" ht="12.2" customHeight="1" x14ac:dyDescent="0.2">
      <c r="A43" s="194" t="s">
        <v>128</v>
      </c>
      <c r="B43" s="181" t="s">
        <v>212</v>
      </c>
      <c r="C43" s="246">
        <v>533197</v>
      </c>
      <c r="D43" s="623"/>
      <c r="E43" s="618"/>
    </row>
    <row r="44" spans="1:5" s="39" customFormat="1" ht="12.2" customHeight="1" x14ac:dyDescent="0.2">
      <c r="A44" s="194" t="s">
        <v>129</v>
      </c>
      <c r="B44" s="181" t="s">
        <v>213</v>
      </c>
      <c r="C44" s="246">
        <v>2808000</v>
      </c>
      <c r="D44" s="623"/>
      <c r="E44" s="618"/>
    </row>
    <row r="45" spans="1:5" s="39" customFormat="1" ht="12.2" customHeight="1" x14ac:dyDescent="0.2">
      <c r="A45" s="194" t="s">
        <v>130</v>
      </c>
      <c r="B45" s="181" t="s">
        <v>214</v>
      </c>
      <c r="C45" s="246"/>
      <c r="D45" s="623"/>
      <c r="E45" s="618"/>
    </row>
    <row r="46" spans="1:5" s="39" customFormat="1" ht="12.2" customHeight="1" x14ac:dyDescent="0.2">
      <c r="A46" s="194" t="s">
        <v>205</v>
      </c>
      <c r="B46" s="181" t="s">
        <v>215</v>
      </c>
      <c r="C46" s="246"/>
      <c r="D46" s="623"/>
      <c r="E46" s="618"/>
    </row>
    <row r="47" spans="1:5" s="39" customFormat="1" ht="12.2" customHeight="1" x14ac:dyDescent="0.2">
      <c r="A47" s="195" t="s">
        <v>206</v>
      </c>
      <c r="B47" s="182" t="s">
        <v>388</v>
      </c>
      <c r="C47" s="249"/>
      <c r="D47" s="623"/>
      <c r="E47" s="618"/>
    </row>
    <row r="48" spans="1:5" s="39" customFormat="1" ht="12.2" customHeight="1" thickBot="1" x14ac:dyDescent="0.25">
      <c r="A48" s="195" t="s">
        <v>389</v>
      </c>
      <c r="B48" s="182" t="s">
        <v>216</v>
      </c>
      <c r="C48" s="249">
        <v>100000</v>
      </c>
      <c r="D48" s="623"/>
      <c r="E48" s="618"/>
    </row>
    <row r="49" spans="1:5" s="39" customFormat="1" ht="12.2" customHeight="1" thickBot="1" x14ac:dyDescent="0.25">
      <c r="A49" s="25" t="s">
        <v>21</v>
      </c>
      <c r="B49" s="18" t="s">
        <v>217</v>
      </c>
      <c r="C49" s="255">
        <f t="shared" ref="C49" si="7">SUM(C50:C54)</f>
        <v>0</v>
      </c>
      <c r="D49" s="623"/>
      <c r="E49" s="618"/>
    </row>
    <row r="50" spans="1:5" s="39" customFormat="1" ht="12.2" customHeight="1" x14ac:dyDescent="0.2">
      <c r="A50" s="193" t="s">
        <v>81</v>
      </c>
      <c r="B50" s="180" t="s">
        <v>221</v>
      </c>
      <c r="C50" s="655"/>
      <c r="D50" s="623"/>
      <c r="E50" s="618"/>
    </row>
    <row r="51" spans="1:5" s="39" customFormat="1" ht="12.2" customHeight="1" x14ac:dyDescent="0.2">
      <c r="A51" s="194" t="s">
        <v>82</v>
      </c>
      <c r="B51" s="181" t="s">
        <v>222</v>
      </c>
      <c r="C51" s="246"/>
      <c r="D51" s="623"/>
      <c r="E51" s="618"/>
    </row>
    <row r="52" spans="1:5" s="39" customFormat="1" ht="12.2" customHeight="1" x14ac:dyDescent="0.2">
      <c r="A52" s="194" t="s">
        <v>218</v>
      </c>
      <c r="B52" s="181" t="s">
        <v>223</v>
      </c>
      <c r="C52" s="246"/>
      <c r="D52" s="623"/>
      <c r="E52" s="618"/>
    </row>
    <row r="53" spans="1:5" s="39" customFormat="1" ht="12.2" customHeight="1" x14ac:dyDescent="0.2">
      <c r="A53" s="194" t="s">
        <v>219</v>
      </c>
      <c r="B53" s="181" t="s">
        <v>224</v>
      </c>
      <c r="C53" s="246"/>
      <c r="D53" s="623"/>
      <c r="E53" s="618"/>
    </row>
    <row r="54" spans="1:5" s="39" customFormat="1" ht="12.2" customHeight="1" thickBot="1" x14ac:dyDescent="0.25">
      <c r="A54" s="195" t="s">
        <v>220</v>
      </c>
      <c r="B54" s="182" t="s">
        <v>225</v>
      </c>
      <c r="C54" s="249"/>
      <c r="D54" s="623"/>
      <c r="E54" s="618"/>
    </row>
    <row r="55" spans="1:5" s="39" customFormat="1" ht="12.2" customHeight="1" thickBot="1" x14ac:dyDescent="0.25">
      <c r="A55" s="25" t="s">
        <v>131</v>
      </c>
      <c r="B55" s="18" t="s">
        <v>226</v>
      </c>
      <c r="C55" s="255">
        <f t="shared" ref="C55" si="8">SUM(C56:C58)</f>
        <v>200000</v>
      </c>
      <c r="D55" s="623"/>
      <c r="E55" s="618"/>
    </row>
    <row r="56" spans="1:5" s="39" customFormat="1" ht="12.2" customHeight="1" x14ac:dyDescent="0.2">
      <c r="A56" s="193" t="s">
        <v>83</v>
      </c>
      <c r="B56" s="180" t="s">
        <v>227</v>
      </c>
      <c r="C56" s="256"/>
      <c r="D56" s="623"/>
      <c r="E56" s="618"/>
    </row>
    <row r="57" spans="1:5" s="39" customFormat="1" ht="12.2" customHeight="1" x14ac:dyDescent="0.2">
      <c r="A57" s="194" t="s">
        <v>84</v>
      </c>
      <c r="B57" s="181" t="s">
        <v>356</v>
      </c>
      <c r="C57" s="246">
        <v>200000</v>
      </c>
      <c r="D57" s="623"/>
      <c r="E57" s="618"/>
    </row>
    <row r="58" spans="1:5" s="39" customFormat="1" ht="12.2" customHeight="1" x14ac:dyDescent="0.2">
      <c r="A58" s="194" t="s">
        <v>230</v>
      </c>
      <c r="B58" s="181" t="s">
        <v>228</v>
      </c>
      <c r="C58" s="246"/>
      <c r="D58" s="623"/>
      <c r="E58" s="618"/>
    </row>
    <row r="59" spans="1:5" s="39" customFormat="1" ht="12.2" customHeight="1" thickBot="1" x14ac:dyDescent="0.25">
      <c r="A59" s="195" t="s">
        <v>231</v>
      </c>
      <c r="B59" s="182" t="s">
        <v>229</v>
      </c>
      <c r="C59" s="100"/>
      <c r="D59" s="623"/>
      <c r="E59" s="618"/>
    </row>
    <row r="60" spans="1:5" s="39" customFormat="1" ht="12.2" customHeight="1" thickBot="1" x14ac:dyDescent="0.25">
      <c r="A60" s="25" t="s">
        <v>23</v>
      </c>
      <c r="B60" s="105" t="s">
        <v>232</v>
      </c>
      <c r="C60" s="255">
        <f t="shared" ref="C60" si="9">SUM(C61:C63)</f>
        <v>0</v>
      </c>
      <c r="D60" s="623"/>
      <c r="E60" s="618"/>
    </row>
    <row r="61" spans="1:5" s="39" customFormat="1" ht="12.2" customHeight="1" x14ac:dyDescent="0.2">
      <c r="A61" s="193" t="s">
        <v>132</v>
      </c>
      <c r="B61" s="180" t="s">
        <v>234</v>
      </c>
      <c r="C61" s="246"/>
      <c r="D61" s="623"/>
      <c r="E61" s="618"/>
    </row>
    <row r="62" spans="1:5" s="39" customFormat="1" ht="12.2" customHeight="1" x14ac:dyDescent="0.2">
      <c r="A62" s="194" t="s">
        <v>133</v>
      </c>
      <c r="B62" s="181" t="s">
        <v>357</v>
      </c>
      <c r="C62" s="246"/>
      <c r="D62" s="623"/>
      <c r="E62" s="618"/>
    </row>
    <row r="63" spans="1:5" s="39" customFormat="1" ht="12.2" customHeight="1" x14ac:dyDescent="0.2">
      <c r="A63" s="194" t="s">
        <v>158</v>
      </c>
      <c r="B63" s="181" t="s">
        <v>235</v>
      </c>
      <c r="C63" s="246"/>
      <c r="D63" s="623"/>
      <c r="E63" s="618"/>
    </row>
    <row r="64" spans="1:5" s="39" customFormat="1" ht="12.2" customHeight="1" thickBot="1" x14ac:dyDescent="0.25">
      <c r="A64" s="195" t="s">
        <v>233</v>
      </c>
      <c r="B64" s="182" t="s">
        <v>236</v>
      </c>
      <c r="C64" s="246"/>
      <c r="D64" s="623"/>
      <c r="E64" s="618"/>
    </row>
    <row r="65" spans="1:5" s="39" customFormat="1" ht="12.2" customHeight="1" thickBot="1" x14ac:dyDescent="0.25">
      <c r="A65" s="25" t="s">
        <v>24</v>
      </c>
      <c r="B65" s="18" t="s">
        <v>237</v>
      </c>
      <c r="C65" s="257">
        <f t="shared" ref="C65" si="10">+C7+C16+C23+C30+C37+C49+C55+C60</f>
        <v>449293534</v>
      </c>
      <c r="D65" s="623"/>
      <c r="E65" s="618"/>
    </row>
    <row r="66" spans="1:5" s="39" customFormat="1" ht="12.2" customHeight="1" thickBot="1" x14ac:dyDescent="0.2">
      <c r="A66" s="196" t="s">
        <v>327</v>
      </c>
      <c r="B66" s="105" t="s">
        <v>239</v>
      </c>
      <c r="C66" s="255">
        <f t="shared" ref="C66" si="11">SUM(C67:C69)</f>
        <v>0</v>
      </c>
      <c r="D66" s="623"/>
      <c r="E66" s="618"/>
    </row>
    <row r="67" spans="1:5" s="39" customFormat="1" ht="12.2" customHeight="1" x14ac:dyDescent="0.2">
      <c r="A67" s="193" t="s">
        <v>270</v>
      </c>
      <c r="B67" s="180" t="s">
        <v>240</v>
      </c>
      <c r="C67" s="246"/>
      <c r="D67" s="623"/>
      <c r="E67" s="618"/>
    </row>
    <row r="68" spans="1:5" s="39" customFormat="1" ht="12.2" customHeight="1" x14ac:dyDescent="0.2">
      <c r="A68" s="194" t="s">
        <v>279</v>
      </c>
      <c r="B68" s="181" t="s">
        <v>241</v>
      </c>
      <c r="C68" s="246"/>
      <c r="D68" s="623"/>
      <c r="E68" s="618"/>
    </row>
    <row r="69" spans="1:5" s="39" customFormat="1" ht="12.2" customHeight="1" thickBot="1" x14ac:dyDescent="0.25">
      <c r="A69" s="195" t="s">
        <v>280</v>
      </c>
      <c r="B69" s="183" t="s">
        <v>242</v>
      </c>
      <c r="C69" s="246"/>
      <c r="D69" s="623"/>
      <c r="E69" s="618"/>
    </row>
    <row r="70" spans="1:5" s="39" customFormat="1" ht="12.2" customHeight="1" thickBot="1" x14ac:dyDescent="0.2">
      <c r="A70" s="196" t="s">
        <v>243</v>
      </c>
      <c r="B70" s="105" t="s">
        <v>244</v>
      </c>
      <c r="C70" s="255">
        <f t="shared" ref="C70" si="12">SUM(C71:C74)</f>
        <v>0</v>
      </c>
      <c r="D70" s="623"/>
      <c r="E70" s="618"/>
    </row>
    <row r="71" spans="1:5" s="39" customFormat="1" ht="12.2" customHeight="1" x14ac:dyDescent="0.2">
      <c r="A71" s="193" t="s">
        <v>112</v>
      </c>
      <c r="B71" s="180" t="s">
        <v>245</v>
      </c>
      <c r="C71" s="246"/>
      <c r="D71" s="623"/>
      <c r="E71" s="618"/>
    </row>
    <row r="72" spans="1:5" s="39" customFormat="1" ht="12.2" customHeight="1" x14ac:dyDescent="0.2">
      <c r="A72" s="194" t="s">
        <v>113</v>
      </c>
      <c r="B72" s="181" t="s">
        <v>246</v>
      </c>
      <c r="C72" s="246"/>
      <c r="D72" s="623"/>
      <c r="E72" s="618"/>
    </row>
    <row r="73" spans="1:5" s="39" customFormat="1" ht="12.2" customHeight="1" x14ac:dyDescent="0.2">
      <c r="A73" s="194" t="s">
        <v>271</v>
      </c>
      <c r="B73" s="181" t="s">
        <v>247</v>
      </c>
      <c r="C73" s="246"/>
      <c r="D73" s="623"/>
      <c r="E73" s="618"/>
    </row>
    <row r="74" spans="1:5" s="39" customFormat="1" ht="12.2" customHeight="1" thickBot="1" x14ac:dyDescent="0.25">
      <c r="A74" s="195" t="s">
        <v>272</v>
      </c>
      <c r="B74" s="182" t="s">
        <v>248</v>
      </c>
      <c r="C74" s="246"/>
      <c r="D74" s="623"/>
      <c r="E74" s="618"/>
    </row>
    <row r="75" spans="1:5" s="39" customFormat="1" ht="12.2" customHeight="1" thickBot="1" x14ac:dyDescent="0.2">
      <c r="A75" s="196" t="s">
        <v>249</v>
      </c>
      <c r="B75" s="105" t="s">
        <v>250</v>
      </c>
      <c r="C75" s="255">
        <f t="shared" ref="C75" si="13">SUM(C76:C77)</f>
        <v>0</v>
      </c>
      <c r="D75" s="623"/>
      <c r="E75" s="618"/>
    </row>
    <row r="76" spans="1:5" s="39" customFormat="1" ht="12.2" customHeight="1" x14ac:dyDescent="0.2">
      <c r="A76" s="193" t="s">
        <v>273</v>
      </c>
      <c r="B76" s="180" t="s">
        <v>251</v>
      </c>
      <c r="C76" s="246"/>
      <c r="D76" s="623"/>
      <c r="E76" s="618"/>
    </row>
    <row r="77" spans="1:5" s="39" customFormat="1" ht="12.2" customHeight="1" thickBot="1" x14ac:dyDescent="0.25">
      <c r="A77" s="195" t="s">
        <v>274</v>
      </c>
      <c r="B77" s="182" t="s">
        <v>252</v>
      </c>
      <c r="C77" s="246"/>
      <c r="D77" s="623"/>
      <c r="E77" s="618"/>
    </row>
    <row r="78" spans="1:5" s="38" customFormat="1" ht="12.2" customHeight="1" thickBot="1" x14ac:dyDescent="0.2">
      <c r="A78" s="196" t="s">
        <v>253</v>
      </c>
      <c r="B78" s="105" t="s">
        <v>254</v>
      </c>
      <c r="C78" s="255">
        <f t="shared" ref="C78" si="14">SUM(C79:C81)</f>
        <v>0</v>
      </c>
      <c r="D78" s="623"/>
      <c r="E78" s="618"/>
    </row>
    <row r="79" spans="1:5" s="39" customFormat="1" ht="12.2" customHeight="1" x14ac:dyDescent="0.2">
      <c r="A79" s="193" t="s">
        <v>275</v>
      </c>
      <c r="B79" s="180" t="s">
        <v>255</v>
      </c>
      <c r="C79" s="246"/>
      <c r="D79" s="623"/>
      <c r="E79" s="618"/>
    </row>
    <row r="80" spans="1:5" s="39" customFormat="1" ht="12.2" customHeight="1" x14ac:dyDescent="0.2">
      <c r="A80" s="194" t="s">
        <v>276</v>
      </c>
      <c r="B80" s="181" t="s">
        <v>256</v>
      </c>
      <c r="C80" s="246"/>
      <c r="D80" s="623"/>
      <c r="E80" s="618"/>
    </row>
    <row r="81" spans="1:5" s="39" customFormat="1" ht="12.2" customHeight="1" thickBot="1" x14ac:dyDescent="0.25">
      <c r="A81" s="195" t="s">
        <v>277</v>
      </c>
      <c r="B81" s="182" t="s">
        <v>257</v>
      </c>
      <c r="C81" s="246"/>
      <c r="D81" s="623"/>
      <c r="E81" s="618"/>
    </row>
    <row r="82" spans="1:5" s="39" customFormat="1" ht="12.2" customHeight="1" thickBot="1" x14ac:dyDescent="0.2">
      <c r="A82" s="196" t="s">
        <v>258</v>
      </c>
      <c r="B82" s="105" t="s">
        <v>278</v>
      </c>
      <c r="C82" s="255">
        <f t="shared" ref="C82" si="15">SUM(C83:C86)</f>
        <v>0</v>
      </c>
      <c r="D82" s="623"/>
      <c r="E82" s="618"/>
    </row>
    <row r="83" spans="1:5" s="39" customFormat="1" ht="12.2" customHeight="1" x14ac:dyDescent="0.2">
      <c r="A83" s="197" t="s">
        <v>259</v>
      </c>
      <c r="B83" s="180" t="s">
        <v>260</v>
      </c>
      <c r="C83" s="246"/>
      <c r="D83" s="623"/>
      <c r="E83" s="618"/>
    </row>
    <row r="84" spans="1:5" s="39" customFormat="1" ht="12.2" customHeight="1" x14ac:dyDescent="0.2">
      <c r="A84" s="198" t="s">
        <v>261</v>
      </c>
      <c r="B84" s="181" t="s">
        <v>262</v>
      </c>
      <c r="C84" s="246"/>
      <c r="D84" s="623"/>
      <c r="E84" s="618"/>
    </row>
    <row r="85" spans="1:5" s="39" customFormat="1" ht="12.2" customHeight="1" x14ac:dyDescent="0.2">
      <c r="A85" s="198" t="s">
        <v>263</v>
      </c>
      <c r="B85" s="181" t="s">
        <v>264</v>
      </c>
      <c r="C85" s="246"/>
      <c r="D85" s="623"/>
      <c r="E85" s="618"/>
    </row>
    <row r="86" spans="1:5" s="38" customFormat="1" ht="12.2" customHeight="1" thickBot="1" x14ac:dyDescent="0.25">
      <c r="A86" s="199" t="s">
        <v>265</v>
      </c>
      <c r="B86" s="182" t="s">
        <v>266</v>
      </c>
      <c r="C86" s="246"/>
      <c r="D86" s="623"/>
      <c r="E86" s="618"/>
    </row>
    <row r="87" spans="1:5" s="38" customFormat="1" ht="12.2" customHeight="1" thickBot="1" x14ac:dyDescent="0.2">
      <c r="A87" s="196" t="s">
        <v>267</v>
      </c>
      <c r="B87" s="105" t="s">
        <v>392</v>
      </c>
      <c r="C87" s="258"/>
      <c r="D87" s="623"/>
      <c r="E87" s="618"/>
    </row>
    <row r="88" spans="1:5" s="38" customFormat="1" ht="12.2" customHeight="1" thickBot="1" x14ac:dyDescent="0.2">
      <c r="A88" s="196" t="s">
        <v>444</v>
      </c>
      <c r="B88" s="105" t="s">
        <v>268</v>
      </c>
      <c r="C88" s="258"/>
      <c r="D88" s="623"/>
      <c r="E88" s="618"/>
    </row>
    <row r="89" spans="1:5" s="38" customFormat="1" ht="12.2" customHeight="1" thickBot="1" x14ac:dyDescent="0.2">
      <c r="A89" s="196" t="s">
        <v>445</v>
      </c>
      <c r="B89" s="187" t="s">
        <v>393</v>
      </c>
      <c r="C89" s="257">
        <f t="shared" ref="C89" si="16">+C66+C70+C75+C78+C82+C88+C87</f>
        <v>0</v>
      </c>
      <c r="D89" s="623"/>
      <c r="E89" s="618"/>
    </row>
    <row r="90" spans="1:5" s="38" customFormat="1" ht="12.2" customHeight="1" thickBot="1" x14ac:dyDescent="0.2">
      <c r="A90" s="200" t="s">
        <v>446</v>
      </c>
      <c r="B90" s="188" t="s">
        <v>447</v>
      </c>
      <c r="C90" s="257">
        <f t="shared" ref="C90" si="17">+C65+C89</f>
        <v>449293534</v>
      </c>
      <c r="D90" s="623"/>
      <c r="E90" s="618"/>
    </row>
    <row r="91" spans="1:5" s="32" customFormat="1" ht="16.5" customHeight="1" thickBot="1" x14ac:dyDescent="0.25">
      <c r="A91" s="1278" t="s">
        <v>53</v>
      </c>
      <c r="B91" s="1279"/>
      <c r="C91" s="1280"/>
      <c r="E91" s="618"/>
    </row>
    <row r="92" spans="1:5" s="213" customFormat="1" ht="12.2" customHeight="1" thickBot="1" x14ac:dyDescent="0.25">
      <c r="A92" s="173" t="s">
        <v>16</v>
      </c>
      <c r="B92" s="369" t="s">
        <v>457</v>
      </c>
      <c r="C92" s="109">
        <f>+C93+C94+C95+C96+C97+C110</f>
        <v>112650938</v>
      </c>
      <c r="E92" s="618"/>
    </row>
    <row r="93" spans="1:5" ht="12.2" customHeight="1" x14ac:dyDescent="0.2">
      <c r="A93" s="201" t="s">
        <v>85</v>
      </c>
      <c r="B93" s="370" t="s">
        <v>46</v>
      </c>
      <c r="C93" s="251">
        <v>9975036</v>
      </c>
      <c r="D93" s="213"/>
      <c r="E93" s="618"/>
    </row>
    <row r="94" spans="1:5" ht="12.2" customHeight="1" x14ac:dyDescent="0.2">
      <c r="A94" s="194" t="s">
        <v>86</v>
      </c>
      <c r="B94" s="371" t="s">
        <v>134</v>
      </c>
      <c r="C94" s="114">
        <v>2675510</v>
      </c>
      <c r="D94" s="213"/>
      <c r="E94" s="618"/>
    </row>
    <row r="95" spans="1:5" ht="12.2" customHeight="1" x14ac:dyDescent="0.2">
      <c r="A95" s="194" t="s">
        <v>87</v>
      </c>
      <c r="B95" s="371" t="s">
        <v>110</v>
      </c>
      <c r="C95" s="170">
        <f>81203004-7200000</f>
        <v>74003004</v>
      </c>
      <c r="D95" s="213"/>
      <c r="E95" s="618"/>
    </row>
    <row r="96" spans="1:5" ht="12.2" customHeight="1" x14ac:dyDescent="0.2">
      <c r="A96" s="194" t="s">
        <v>88</v>
      </c>
      <c r="B96" s="374" t="s">
        <v>135</v>
      </c>
      <c r="C96" s="170"/>
      <c r="D96" s="213"/>
      <c r="E96" s="618"/>
    </row>
    <row r="97" spans="1:5" ht="12.2" customHeight="1" x14ac:dyDescent="0.2">
      <c r="A97" s="194" t="s">
        <v>99</v>
      </c>
      <c r="B97" s="16" t="s">
        <v>136</v>
      </c>
      <c r="C97" s="170">
        <f>SUM(C98:C109)</f>
        <v>25997388</v>
      </c>
      <c r="D97" s="213"/>
      <c r="E97" s="618"/>
    </row>
    <row r="98" spans="1:5" ht="12.2" customHeight="1" x14ac:dyDescent="0.2">
      <c r="A98" s="194" t="s">
        <v>89</v>
      </c>
      <c r="B98" s="371" t="s">
        <v>448</v>
      </c>
      <c r="C98" s="170"/>
      <c r="D98" s="213"/>
      <c r="E98" s="618"/>
    </row>
    <row r="99" spans="1:5" ht="12.2" customHeight="1" x14ac:dyDescent="0.2">
      <c r="A99" s="194" t="s">
        <v>90</v>
      </c>
      <c r="B99" s="382" t="s">
        <v>397</v>
      </c>
      <c r="C99" s="170"/>
      <c r="D99" s="213"/>
      <c r="E99" s="618"/>
    </row>
    <row r="100" spans="1:5" ht="12.2" customHeight="1" x14ac:dyDescent="0.2">
      <c r="A100" s="194" t="s">
        <v>100</v>
      </c>
      <c r="B100" s="382" t="s">
        <v>398</v>
      </c>
      <c r="C100" s="170"/>
      <c r="D100" s="213"/>
      <c r="E100" s="618"/>
    </row>
    <row r="101" spans="1:5" ht="12.2" customHeight="1" x14ac:dyDescent="0.2">
      <c r="A101" s="194" t="s">
        <v>101</v>
      </c>
      <c r="B101" s="382" t="s">
        <v>284</v>
      </c>
      <c r="C101" s="170"/>
      <c r="D101" s="213"/>
      <c r="E101" s="618"/>
    </row>
    <row r="102" spans="1:5" ht="12.2" customHeight="1" x14ac:dyDescent="0.2">
      <c r="A102" s="194" t="s">
        <v>102</v>
      </c>
      <c r="B102" s="379" t="s">
        <v>285</v>
      </c>
      <c r="C102" s="170"/>
      <c r="D102" s="213"/>
      <c r="E102" s="618"/>
    </row>
    <row r="103" spans="1:5" ht="12.2" customHeight="1" x14ac:dyDescent="0.2">
      <c r="A103" s="194" t="s">
        <v>103</v>
      </c>
      <c r="B103" s="379" t="s">
        <v>286</v>
      </c>
      <c r="C103" s="170"/>
      <c r="D103" s="213"/>
      <c r="E103" s="618"/>
    </row>
    <row r="104" spans="1:5" ht="12.2" customHeight="1" x14ac:dyDescent="0.2">
      <c r="A104" s="194" t="s">
        <v>105</v>
      </c>
      <c r="B104" s="382" t="s">
        <v>287</v>
      </c>
      <c r="C104" s="170"/>
      <c r="D104" s="213"/>
      <c r="E104" s="618"/>
    </row>
    <row r="105" spans="1:5" ht="12.2" customHeight="1" x14ac:dyDescent="0.2">
      <c r="A105" s="194" t="s">
        <v>137</v>
      </c>
      <c r="B105" s="382" t="s">
        <v>288</v>
      </c>
      <c r="C105" s="170"/>
      <c r="D105" s="213"/>
      <c r="E105" s="618"/>
    </row>
    <row r="106" spans="1:5" ht="12.2" customHeight="1" x14ac:dyDescent="0.2">
      <c r="A106" s="194" t="s">
        <v>282</v>
      </c>
      <c r="B106" s="379" t="s">
        <v>289</v>
      </c>
      <c r="C106" s="170"/>
      <c r="D106" s="213"/>
      <c r="E106" s="618"/>
    </row>
    <row r="107" spans="1:5" ht="12.2" customHeight="1" x14ac:dyDescent="0.2">
      <c r="A107" s="202" t="s">
        <v>283</v>
      </c>
      <c r="B107" s="373" t="s">
        <v>290</v>
      </c>
      <c r="C107" s="170"/>
      <c r="D107" s="213"/>
      <c r="E107" s="618"/>
    </row>
    <row r="108" spans="1:5" ht="12.2" customHeight="1" x14ac:dyDescent="0.2">
      <c r="A108" s="194" t="s">
        <v>399</v>
      </c>
      <c r="B108" s="373" t="s">
        <v>291</v>
      </c>
      <c r="C108" s="170"/>
      <c r="D108" s="213"/>
      <c r="E108" s="618"/>
    </row>
    <row r="109" spans="1:5" ht="12.2" customHeight="1" x14ac:dyDescent="0.2">
      <c r="A109" s="194" t="s">
        <v>400</v>
      </c>
      <c r="B109" s="379" t="s">
        <v>292</v>
      </c>
      <c r="C109" s="114">
        <f>21397388+4600000</f>
        <v>25997388</v>
      </c>
      <c r="D109" s="213"/>
      <c r="E109" s="618"/>
    </row>
    <row r="110" spans="1:5" ht="12.2" customHeight="1" x14ac:dyDescent="0.2">
      <c r="A110" s="194" t="s">
        <v>401</v>
      </c>
      <c r="B110" s="374" t="s">
        <v>47</v>
      </c>
      <c r="C110" s="114">
        <f t="shared" ref="C110" si="18">SUM(C111:C112)</f>
        <v>0</v>
      </c>
      <c r="D110" s="213"/>
      <c r="E110" s="618"/>
    </row>
    <row r="111" spans="1:5" ht="12.2" customHeight="1" x14ac:dyDescent="0.2">
      <c r="A111" s="195" t="s">
        <v>402</v>
      </c>
      <c r="B111" s="371" t="s">
        <v>449</v>
      </c>
      <c r="C111" s="170"/>
      <c r="D111" s="213"/>
      <c r="E111" s="618"/>
    </row>
    <row r="112" spans="1:5" ht="12.2" customHeight="1" thickBot="1" x14ac:dyDescent="0.25">
      <c r="A112" s="203" t="s">
        <v>404</v>
      </c>
      <c r="B112" s="943" t="s">
        <v>450</v>
      </c>
      <c r="C112" s="254"/>
      <c r="D112" s="213"/>
      <c r="E112" s="618"/>
    </row>
    <row r="113" spans="1:5" ht="12.2" customHeight="1" thickBot="1" x14ac:dyDescent="0.25">
      <c r="A113" s="25" t="s">
        <v>17</v>
      </c>
      <c r="B113" s="944" t="s">
        <v>293</v>
      </c>
      <c r="C113" s="110">
        <f t="shared" ref="C113" si="19">+C114+C116+C118</f>
        <v>98230637</v>
      </c>
      <c r="D113" s="213"/>
      <c r="E113" s="618"/>
    </row>
    <row r="114" spans="1:5" ht="12.2" customHeight="1" x14ac:dyDescent="0.2">
      <c r="A114" s="193" t="s">
        <v>91</v>
      </c>
      <c r="B114" s="371" t="s">
        <v>157</v>
      </c>
      <c r="C114" s="214">
        <v>66200777</v>
      </c>
      <c r="D114" s="213"/>
      <c r="E114" s="618"/>
    </row>
    <row r="115" spans="1:5" ht="12.2" customHeight="1" x14ac:dyDescent="0.2">
      <c r="A115" s="193" t="s">
        <v>92</v>
      </c>
      <c r="B115" s="372" t="s">
        <v>297</v>
      </c>
      <c r="C115" s="1406"/>
      <c r="D115" s="213"/>
      <c r="E115" s="618"/>
    </row>
    <row r="116" spans="1:5" ht="12.2" customHeight="1" x14ac:dyDescent="0.2">
      <c r="A116" s="193" t="s">
        <v>93</v>
      </c>
      <c r="B116" s="372" t="s">
        <v>138</v>
      </c>
      <c r="C116" s="114">
        <v>29424510</v>
      </c>
      <c r="D116" s="213"/>
      <c r="E116" s="618"/>
    </row>
    <row r="117" spans="1:5" ht="12.2" customHeight="1" x14ac:dyDescent="0.2">
      <c r="A117" s="193" t="s">
        <v>94</v>
      </c>
      <c r="B117" s="372" t="s">
        <v>298</v>
      </c>
      <c r="C117" s="114"/>
      <c r="D117" s="213"/>
      <c r="E117" s="618"/>
    </row>
    <row r="118" spans="1:5" ht="12.2" customHeight="1" x14ac:dyDescent="0.2">
      <c r="A118" s="193" t="s">
        <v>95</v>
      </c>
      <c r="B118" s="364" t="s">
        <v>159</v>
      </c>
      <c r="C118" s="114">
        <f t="shared" ref="C118" si="20">SUM(C119:C126)</f>
        <v>2605350</v>
      </c>
      <c r="D118" s="213"/>
      <c r="E118" s="618"/>
    </row>
    <row r="119" spans="1:5" ht="12.2" customHeight="1" x14ac:dyDescent="0.2">
      <c r="A119" s="193" t="s">
        <v>104</v>
      </c>
      <c r="B119" s="363" t="s">
        <v>358</v>
      </c>
      <c r="C119" s="111"/>
      <c r="D119" s="213"/>
      <c r="E119" s="618"/>
    </row>
    <row r="120" spans="1:5" ht="12.2" customHeight="1" x14ac:dyDescent="0.2">
      <c r="A120" s="193" t="s">
        <v>106</v>
      </c>
      <c r="B120" s="378" t="s">
        <v>303</v>
      </c>
      <c r="C120" s="111"/>
      <c r="D120" s="213"/>
      <c r="E120" s="618"/>
    </row>
    <row r="121" spans="1:5" ht="12.2" customHeight="1" x14ac:dyDescent="0.2">
      <c r="A121" s="193" t="s">
        <v>139</v>
      </c>
      <c r="B121" s="379" t="s">
        <v>286</v>
      </c>
      <c r="C121" s="111"/>
      <c r="D121" s="213"/>
      <c r="E121" s="618"/>
    </row>
    <row r="122" spans="1:5" ht="12.2" customHeight="1" x14ac:dyDescent="0.2">
      <c r="A122" s="193" t="s">
        <v>140</v>
      </c>
      <c r="B122" s="379" t="s">
        <v>302</v>
      </c>
      <c r="C122" s="111"/>
      <c r="D122" s="213"/>
      <c r="E122" s="618"/>
    </row>
    <row r="123" spans="1:5" ht="12.2" customHeight="1" x14ac:dyDescent="0.2">
      <c r="A123" s="193" t="s">
        <v>141</v>
      </c>
      <c r="B123" s="379" t="s">
        <v>301</v>
      </c>
      <c r="C123" s="111"/>
      <c r="D123" s="213"/>
      <c r="E123" s="618"/>
    </row>
    <row r="124" spans="1:5" ht="12.2" customHeight="1" x14ac:dyDescent="0.2">
      <c r="A124" s="193" t="s">
        <v>294</v>
      </c>
      <c r="B124" s="379" t="s">
        <v>289</v>
      </c>
      <c r="C124" s="111"/>
      <c r="D124" s="213"/>
      <c r="E124" s="618"/>
    </row>
    <row r="125" spans="1:5" ht="12.2" customHeight="1" x14ac:dyDescent="0.2">
      <c r="A125" s="193" t="s">
        <v>295</v>
      </c>
      <c r="B125" s="379" t="s">
        <v>300</v>
      </c>
      <c r="C125" s="111"/>
      <c r="D125" s="213"/>
      <c r="E125" s="618"/>
    </row>
    <row r="126" spans="1:5" ht="12.2" customHeight="1" thickBot="1" x14ac:dyDescent="0.25">
      <c r="A126" s="202" t="s">
        <v>296</v>
      </c>
      <c r="B126" s="379" t="s">
        <v>299</v>
      </c>
      <c r="C126" s="170">
        <f>2605350</f>
        <v>2605350</v>
      </c>
      <c r="D126" s="213"/>
      <c r="E126" s="618"/>
    </row>
    <row r="127" spans="1:5" ht="12.2" customHeight="1" thickBot="1" x14ac:dyDescent="0.25">
      <c r="A127" s="25" t="s">
        <v>18</v>
      </c>
      <c r="B127" s="356" t="s">
        <v>406</v>
      </c>
      <c r="C127" s="110">
        <f t="shared" ref="C127" si="21">+C92+C113</f>
        <v>210881575</v>
      </c>
      <c r="D127" s="213"/>
      <c r="E127" s="618"/>
    </row>
    <row r="128" spans="1:5" ht="12.2" customHeight="1" thickBot="1" x14ac:dyDescent="0.25">
      <c r="A128" s="25" t="s">
        <v>19</v>
      </c>
      <c r="B128" s="356" t="s">
        <v>407</v>
      </c>
      <c r="C128" s="110">
        <f t="shared" ref="C128" si="22">+C129+C130+C131</f>
        <v>1668000</v>
      </c>
      <c r="D128" s="213"/>
      <c r="E128" s="618"/>
    </row>
    <row r="129" spans="1:11" s="213" customFormat="1" ht="12.2" customHeight="1" x14ac:dyDescent="0.2">
      <c r="A129" s="193" t="s">
        <v>195</v>
      </c>
      <c r="B129" s="376" t="s">
        <v>451</v>
      </c>
      <c r="C129" s="114">
        <v>1668000</v>
      </c>
      <c r="E129" s="618"/>
    </row>
    <row r="130" spans="1:11" ht="12.2" customHeight="1" x14ac:dyDescent="0.2">
      <c r="A130" s="193" t="s">
        <v>198</v>
      </c>
      <c r="B130" s="376" t="s">
        <v>409</v>
      </c>
      <c r="C130" s="114"/>
      <c r="D130" s="213"/>
      <c r="E130" s="618"/>
    </row>
    <row r="131" spans="1:11" ht="12.2" customHeight="1" thickBot="1" x14ac:dyDescent="0.25">
      <c r="A131" s="202" t="s">
        <v>199</v>
      </c>
      <c r="B131" s="377" t="s">
        <v>452</v>
      </c>
      <c r="C131" s="111"/>
      <c r="D131" s="213"/>
      <c r="E131" s="618"/>
    </row>
    <row r="132" spans="1:11" ht="12.2" customHeight="1" thickBot="1" x14ac:dyDescent="0.25">
      <c r="A132" s="25" t="s">
        <v>20</v>
      </c>
      <c r="B132" s="356" t="s">
        <v>411</v>
      </c>
      <c r="C132" s="110">
        <f>+C133+C134+C135+C136+C137+C138</f>
        <v>0</v>
      </c>
      <c r="D132" s="213"/>
      <c r="E132" s="618"/>
    </row>
    <row r="133" spans="1:11" ht="12.2" customHeight="1" x14ac:dyDescent="0.2">
      <c r="A133" s="193" t="s">
        <v>78</v>
      </c>
      <c r="B133" s="376" t="s">
        <v>412</v>
      </c>
      <c r="C133" s="111"/>
      <c r="D133" s="213"/>
      <c r="E133" s="618"/>
    </row>
    <row r="134" spans="1:11" ht="12.2" customHeight="1" x14ac:dyDescent="0.2">
      <c r="A134" s="193" t="s">
        <v>79</v>
      </c>
      <c r="B134" s="376" t="s">
        <v>413</v>
      </c>
      <c r="C134" s="111"/>
      <c r="D134" s="213"/>
      <c r="E134" s="618"/>
    </row>
    <row r="135" spans="1:11" ht="12.2" customHeight="1" x14ac:dyDescent="0.2">
      <c r="A135" s="193" t="s">
        <v>80</v>
      </c>
      <c r="B135" s="376" t="s">
        <v>414</v>
      </c>
      <c r="C135" s="111"/>
      <c r="D135" s="213"/>
      <c r="E135" s="618"/>
    </row>
    <row r="136" spans="1:11" ht="12.2" customHeight="1" x14ac:dyDescent="0.2">
      <c r="A136" s="193" t="s">
        <v>126</v>
      </c>
      <c r="B136" s="376" t="s">
        <v>453</v>
      </c>
      <c r="C136" s="111"/>
      <c r="D136" s="213"/>
      <c r="E136" s="618"/>
    </row>
    <row r="137" spans="1:11" ht="12.2" customHeight="1" x14ac:dyDescent="0.2">
      <c r="A137" s="193" t="s">
        <v>127</v>
      </c>
      <c r="B137" s="376" t="s">
        <v>416</v>
      </c>
      <c r="C137" s="111"/>
      <c r="D137" s="213"/>
      <c r="E137" s="618"/>
    </row>
    <row r="138" spans="1:11" s="213" customFormat="1" ht="12.2" customHeight="1" thickBot="1" x14ac:dyDescent="0.25">
      <c r="A138" s="202" t="s">
        <v>128</v>
      </c>
      <c r="B138" s="377" t="s">
        <v>417</v>
      </c>
      <c r="C138" s="111"/>
      <c r="E138" s="618"/>
    </row>
    <row r="139" spans="1:11" ht="12.2" customHeight="1" thickBot="1" x14ac:dyDescent="0.25">
      <c r="A139" s="25" t="s">
        <v>21</v>
      </c>
      <c r="B139" s="356" t="s">
        <v>454</v>
      </c>
      <c r="C139" s="115">
        <f t="shared" ref="C139" si="23">+C140+C141+C142+C143</f>
        <v>0</v>
      </c>
      <c r="D139" s="213"/>
      <c r="E139" s="618"/>
      <c r="K139" s="98"/>
    </row>
    <row r="140" spans="1:11" ht="15.75" x14ac:dyDescent="0.2">
      <c r="A140" s="193" t="s">
        <v>81</v>
      </c>
      <c r="B140" s="376" t="s">
        <v>304</v>
      </c>
      <c r="C140" s="111"/>
      <c r="D140" s="213"/>
      <c r="E140" s="618"/>
    </row>
    <row r="141" spans="1:11" ht="12.2" customHeight="1" x14ac:dyDescent="0.2">
      <c r="A141" s="193" t="s">
        <v>82</v>
      </c>
      <c r="B141" s="376" t="s">
        <v>305</v>
      </c>
      <c r="C141" s="111"/>
      <c r="D141" s="213"/>
      <c r="E141" s="618"/>
    </row>
    <row r="142" spans="1:11" s="213" customFormat="1" ht="12.2" customHeight="1" x14ac:dyDescent="0.2">
      <c r="A142" s="193" t="s">
        <v>218</v>
      </c>
      <c r="B142" s="376" t="s">
        <v>419</v>
      </c>
      <c r="C142" s="111"/>
      <c r="E142" s="618"/>
    </row>
    <row r="143" spans="1:11" s="213" customFormat="1" ht="12.2" customHeight="1" thickBot="1" x14ac:dyDescent="0.25">
      <c r="A143" s="202" t="s">
        <v>219</v>
      </c>
      <c r="B143" s="377" t="s">
        <v>323</v>
      </c>
      <c r="C143" s="111"/>
      <c r="E143" s="618"/>
    </row>
    <row r="144" spans="1:11" s="213" customFormat="1" ht="12.2" customHeight="1" thickBot="1" x14ac:dyDescent="0.25">
      <c r="A144" s="25" t="s">
        <v>22</v>
      </c>
      <c r="B144" s="356" t="s">
        <v>420</v>
      </c>
      <c r="C144" s="118">
        <f>+C145+C146+C147+C148+C149</f>
        <v>0</v>
      </c>
      <c r="E144" s="618"/>
    </row>
    <row r="145" spans="1:5" s="213" customFormat="1" ht="12.2" customHeight="1" x14ac:dyDescent="0.2">
      <c r="A145" s="193" t="s">
        <v>83</v>
      </c>
      <c r="B145" s="376" t="s">
        <v>421</v>
      </c>
      <c r="C145" s="111"/>
      <c r="E145" s="618"/>
    </row>
    <row r="146" spans="1:5" s="213" customFormat="1" ht="12.2" customHeight="1" x14ac:dyDescent="0.2">
      <c r="A146" s="193" t="s">
        <v>84</v>
      </c>
      <c r="B146" s="376" t="s">
        <v>422</v>
      </c>
      <c r="C146" s="111"/>
      <c r="E146" s="618"/>
    </row>
    <row r="147" spans="1:5" s="213" customFormat="1" ht="12.2" customHeight="1" x14ac:dyDescent="0.2">
      <c r="A147" s="193" t="s">
        <v>230</v>
      </c>
      <c r="B147" s="376" t="s">
        <v>423</v>
      </c>
      <c r="C147" s="111"/>
      <c r="E147" s="618"/>
    </row>
    <row r="148" spans="1:5" ht="12.75" customHeight="1" x14ac:dyDescent="0.2">
      <c r="A148" s="193" t="s">
        <v>231</v>
      </c>
      <c r="B148" s="376" t="s">
        <v>455</v>
      </c>
      <c r="C148" s="111"/>
      <c r="D148" s="213"/>
      <c r="E148" s="618"/>
    </row>
    <row r="149" spans="1:5" ht="12.75" customHeight="1" thickBot="1" x14ac:dyDescent="0.25">
      <c r="A149" s="202" t="s">
        <v>425</v>
      </c>
      <c r="B149" s="377" t="s">
        <v>426</v>
      </c>
      <c r="C149" s="113"/>
      <c r="D149" s="213"/>
      <c r="E149" s="618"/>
    </row>
    <row r="150" spans="1:5" ht="12.75" customHeight="1" thickBot="1" x14ac:dyDescent="0.25">
      <c r="A150" s="244" t="s">
        <v>23</v>
      </c>
      <c r="B150" s="356" t="s">
        <v>427</v>
      </c>
      <c r="C150" s="118"/>
      <c r="D150" s="213"/>
      <c r="E150" s="618"/>
    </row>
    <row r="151" spans="1:5" ht="12.2" customHeight="1" thickBot="1" x14ac:dyDescent="0.25">
      <c r="A151" s="244" t="s">
        <v>24</v>
      </c>
      <c r="B151" s="356" t="s">
        <v>428</v>
      </c>
      <c r="C151" s="118"/>
      <c r="D151" s="213"/>
      <c r="E151" s="618"/>
    </row>
    <row r="152" spans="1:5" ht="15" customHeight="1" thickBot="1" x14ac:dyDescent="0.25">
      <c r="A152" s="25" t="s">
        <v>25</v>
      </c>
      <c r="B152" s="356" t="s">
        <v>429</v>
      </c>
      <c r="C152" s="189">
        <f t="shared" ref="C152" si="24">+C128+C132+C139+C144+C150+C151</f>
        <v>1668000</v>
      </c>
      <c r="D152" s="213"/>
      <c r="E152" s="618"/>
    </row>
    <row r="153" spans="1:5" ht="16.5" thickBot="1" x14ac:dyDescent="0.25">
      <c r="A153" s="204" t="s">
        <v>26</v>
      </c>
      <c r="B153" s="359" t="s">
        <v>430</v>
      </c>
      <c r="C153" s="189">
        <f t="shared" ref="C153" si="25">+C127+C152</f>
        <v>212549575</v>
      </c>
      <c r="D153" s="213"/>
      <c r="E153" s="618"/>
    </row>
    <row r="154" spans="1:5" ht="14.25" customHeight="1" thickBot="1" x14ac:dyDescent="0.25">
      <c r="A154" s="1281" t="s">
        <v>456</v>
      </c>
      <c r="B154" s="1282"/>
      <c r="C154" s="1089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D1" sqref="D1:E1048576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14" style="301" customWidth="1"/>
    <col min="4" max="4" width="10" style="620" hidden="1" customWidth="1"/>
    <col min="5" max="5" width="10.5" style="620" hidden="1" customWidth="1"/>
    <col min="6" max="9" width="9.33203125" style="301" customWidth="1"/>
    <col min="10" max="16384" width="9.33203125" style="301"/>
  </cols>
  <sheetData>
    <row r="1" spans="1:6" x14ac:dyDescent="0.2">
      <c r="A1" s="1283" t="str">
        <f>CONCATENATE("13. melléklet"," ",ALAPADATOK!A7," ",ALAPADATOK!B7," ",ALAPADATOK!C7," ",ALAPADATOK!D7," ",ALAPADATOK!E7," ",ALAPADATOK!F7," ",ALAPADATOK!G7," ",ALAPADATOK!H7)</f>
        <v>13. melléklet a .. / 2023. ( …... ) önkormányzati rendelethez</v>
      </c>
      <c r="B1" s="1283"/>
      <c r="C1" s="1283"/>
    </row>
    <row r="2" spans="1:6" s="1" customFormat="1" ht="21.2" customHeight="1" x14ac:dyDescent="0.2">
      <c r="A2" s="75"/>
      <c r="B2" s="76"/>
      <c r="C2" s="211"/>
      <c r="D2" s="620"/>
      <c r="E2" s="620"/>
    </row>
    <row r="3" spans="1:6" s="1" customFormat="1" ht="16.5" customHeight="1" thickBot="1" x14ac:dyDescent="0.25">
      <c r="A3" s="1236" t="s">
        <v>866</v>
      </c>
      <c r="B3" s="1236"/>
      <c r="C3" s="1236"/>
      <c r="D3" s="621"/>
      <c r="E3" s="621"/>
      <c r="F3" s="620"/>
    </row>
    <row r="4" spans="1:6" ht="24.75" thickBot="1" x14ac:dyDescent="0.25">
      <c r="A4" s="172" t="s">
        <v>153</v>
      </c>
      <c r="B4" s="79" t="s">
        <v>50</v>
      </c>
      <c r="C4" s="80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322"/>
      <c r="E5" s="322"/>
    </row>
    <row r="6" spans="1:6" s="32" customFormat="1" ht="15.95" customHeight="1" thickBot="1" x14ac:dyDescent="0.25">
      <c r="A6" s="81"/>
      <c r="B6" s="82" t="s">
        <v>52</v>
      </c>
      <c r="C6" s="83"/>
      <c r="D6" s="322"/>
      <c r="E6" s="322"/>
    </row>
    <row r="7" spans="1:6" s="38" customFormat="1" ht="12.2" customHeight="1" thickBot="1" x14ac:dyDescent="0.25">
      <c r="A7" s="71" t="s">
        <v>16</v>
      </c>
      <c r="B7" s="84" t="s">
        <v>458</v>
      </c>
      <c r="C7" s="124">
        <f>SUM(C8:C18)</f>
        <v>75537214</v>
      </c>
      <c r="D7" s="331">
        <f>'18. sz. mell PH.'!C7+'19. sz. mell PH.'!C7+'20. sz. mell. PH.'!C7</f>
        <v>75537214</v>
      </c>
      <c r="E7" s="469">
        <f t="shared" ref="E7:E41" si="0">C7-D7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156"/>
      <c r="D8" s="331">
        <f>'18. sz. mell PH.'!C8+'19. sz. mell PH.'!C8+'20. sz. mell. PH.'!C8</f>
        <v>0</v>
      </c>
      <c r="E8" s="469">
        <f t="shared" si="0"/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114">
        <v>11050000</v>
      </c>
      <c r="D9" s="331">
        <f>'18. sz. mell PH.'!C9+'19. sz. mell PH.'!C9+'20. sz. mell. PH.'!C9</f>
        <v>11050000</v>
      </c>
      <c r="E9" s="469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114">
        <v>11191113</v>
      </c>
      <c r="D10" s="331">
        <f>'18. sz. mell PH.'!C10+'19. sz. mell PH.'!C10+'20. sz. mell. PH.'!C10</f>
        <v>11191113</v>
      </c>
      <c r="E10" s="469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114"/>
      <c r="D11" s="331">
        <f>'18. sz. mell PH.'!C11+'19. sz. mell PH.'!C11+'20. sz. mell. PH.'!C11</f>
        <v>0</v>
      </c>
      <c r="E11" s="469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114">
        <f>25007525+6282330</f>
        <v>31289855</v>
      </c>
      <c r="D12" s="331">
        <f>'18. sz. mell PH.'!C12+'19. sz. mell PH.'!C12+'20. sz. mell. PH.'!C12</f>
        <v>31289855</v>
      </c>
      <c r="E12" s="469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114">
        <f>10084134+1696229</f>
        <v>11780363</v>
      </c>
      <c r="D13" s="331">
        <f>'18. sz. mell PH.'!C13+'19. sz. mell PH.'!C13+'20. sz. mell. PH.'!C13</f>
        <v>11780363</v>
      </c>
      <c r="E13" s="469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114">
        <v>10125883</v>
      </c>
      <c r="D14" s="331">
        <f>'18. sz. mell PH.'!C14+'19. sz. mell PH.'!C14+'20. sz. mell. PH.'!C14</f>
        <v>10125883</v>
      </c>
      <c r="E14" s="469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125"/>
      <c r="D15" s="331">
        <f>'18. sz. mell PH.'!C15+'19. sz. mell PH.'!C15+'20. sz. mell. PH.'!C15</f>
        <v>0</v>
      </c>
      <c r="E15" s="469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36"/>
      <c r="D16" s="331">
        <f>'18. sz. mell PH.'!C16+'19. sz. mell PH.'!C16+'20. sz. mell. PH.'!C16</f>
        <v>0</v>
      </c>
      <c r="E16" s="469">
        <f t="shared" si="0"/>
        <v>0</v>
      </c>
    </row>
    <row r="17" spans="1:5" s="39" customFormat="1" ht="12.2" customHeight="1" x14ac:dyDescent="0.2">
      <c r="A17" s="207" t="s">
        <v>102</v>
      </c>
      <c r="B17" s="5" t="s">
        <v>388</v>
      </c>
      <c r="C17" s="389"/>
      <c r="D17" s="331">
        <f>'18. sz. mell PH.'!C17+'19. sz. mell PH.'!C17+'20. sz. mell. PH.'!C17</f>
        <v>0</v>
      </c>
      <c r="E17" s="469">
        <f t="shared" si="0"/>
        <v>0</v>
      </c>
    </row>
    <row r="18" spans="1:5" s="39" customFormat="1" ht="12.2" customHeight="1" thickBot="1" x14ac:dyDescent="0.25">
      <c r="A18" s="207" t="s">
        <v>103</v>
      </c>
      <c r="B18" s="4" t="s">
        <v>216</v>
      </c>
      <c r="C18" s="389">
        <v>100000</v>
      </c>
      <c r="D18" s="331">
        <f>'18. sz. mell PH.'!C18+'19. sz. mell PH.'!C18+'20. sz. mell. PH.'!C18</f>
        <v>100000</v>
      </c>
      <c r="E18" s="469">
        <f t="shared" si="0"/>
        <v>0</v>
      </c>
    </row>
    <row r="19" spans="1:5" s="38" customFormat="1" ht="12.2" customHeight="1" thickBot="1" x14ac:dyDescent="0.25">
      <c r="A19" s="71" t="s">
        <v>17</v>
      </c>
      <c r="B19" s="84" t="s">
        <v>333</v>
      </c>
      <c r="C19" s="124">
        <f>SUM(C20:C22)</f>
        <v>1557418</v>
      </c>
      <c r="D19" s="331">
        <f>'18. sz. mell PH.'!C19+'19. sz. mell PH.'!C19+'20. sz. mell. PH.'!C19</f>
        <v>1557418</v>
      </c>
      <c r="E19" s="469">
        <f t="shared" si="0"/>
        <v>0</v>
      </c>
    </row>
    <row r="20" spans="1:5" s="39" customFormat="1" ht="12.2" customHeight="1" x14ac:dyDescent="0.2">
      <c r="A20" s="207" t="s">
        <v>91</v>
      </c>
      <c r="B20" s="6" t="s">
        <v>185</v>
      </c>
      <c r="C20" s="122"/>
      <c r="D20" s="331">
        <f>'18. sz. mell PH.'!C20+'19. sz. mell PH.'!C20+'20. sz. mell. PH.'!C20</f>
        <v>0</v>
      </c>
      <c r="E20" s="469">
        <f t="shared" si="0"/>
        <v>0</v>
      </c>
    </row>
    <row r="21" spans="1:5" s="39" customFormat="1" ht="12.2" customHeight="1" x14ac:dyDescent="0.2">
      <c r="A21" s="207" t="s">
        <v>92</v>
      </c>
      <c r="B21" s="5" t="s">
        <v>334</v>
      </c>
      <c r="C21" s="36"/>
      <c r="D21" s="331">
        <f>'18. sz. mell PH.'!C21+'19. sz. mell PH.'!C21+'20. sz. mell. PH.'!C21</f>
        <v>0</v>
      </c>
      <c r="E21" s="469">
        <f t="shared" si="0"/>
        <v>0</v>
      </c>
    </row>
    <row r="22" spans="1:5" s="39" customFormat="1" ht="12.2" customHeight="1" x14ac:dyDescent="0.2">
      <c r="A22" s="207" t="s">
        <v>93</v>
      </c>
      <c r="B22" s="5" t="s">
        <v>335</v>
      </c>
      <c r="C22" s="36">
        <v>1557418</v>
      </c>
      <c r="D22" s="331">
        <f>'18. sz. mell PH.'!C22+'19. sz. mell PH.'!C22+'20. sz. mell. PH.'!C22</f>
        <v>1557418</v>
      </c>
      <c r="E22" s="469">
        <f t="shared" si="0"/>
        <v>0</v>
      </c>
    </row>
    <row r="23" spans="1:5" s="39" customFormat="1" ht="12.2" customHeight="1" thickBot="1" x14ac:dyDescent="0.25">
      <c r="A23" s="207" t="s">
        <v>94</v>
      </c>
      <c r="B23" s="5" t="s">
        <v>459</v>
      </c>
      <c r="C23" s="36"/>
      <c r="D23" s="331">
        <f>'18. sz. mell PH.'!C23+'19. sz. mell PH.'!C23+'20. sz. mell. PH.'!C23</f>
        <v>0</v>
      </c>
      <c r="E23" s="469">
        <f t="shared" si="0"/>
        <v>0</v>
      </c>
    </row>
    <row r="24" spans="1:5" s="39" customFormat="1" ht="12.2" customHeight="1" thickBot="1" x14ac:dyDescent="0.25">
      <c r="A24" s="74" t="s">
        <v>18</v>
      </c>
      <c r="B24" s="54" t="s">
        <v>125</v>
      </c>
      <c r="C24" s="142"/>
      <c r="D24" s="331">
        <f>'18. sz. mell PH.'!C24+'19. sz. mell PH.'!C24+'20. sz. mell. PH.'!C24</f>
        <v>0</v>
      </c>
      <c r="E24" s="469">
        <f t="shared" si="0"/>
        <v>0</v>
      </c>
    </row>
    <row r="25" spans="1:5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  <c r="D25" s="331">
        <f>'18. sz. mell PH.'!C25+'19. sz. mell PH.'!C25+'20. sz. mell. PH.'!C25</f>
        <v>0</v>
      </c>
      <c r="E25" s="469">
        <f t="shared" si="0"/>
        <v>0</v>
      </c>
    </row>
    <row r="26" spans="1:5" s="39" customFormat="1" ht="12.2" customHeight="1" x14ac:dyDescent="0.2">
      <c r="A26" s="208" t="s">
        <v>195</v>
      </c>
      <c r="B26" s="209" t="s">
        <v>190</v>
      </c>
      <c r="C26" s="34"/>
      <c r="D26" s="331">
        <f>'18. sz. mell PH.'!C26+'19. sz. mell PH.'!C26+'20. sz. mell. PH.'!C26</f>
        <v>0</v>
      </c>
      <c r="E26" s="469">
        <f t="shared" si="0"/>
        <v>0</v>
      </c>
    </row>
    <row r="27" spans="1:5" s="39" customFormat="1" ht="12.2" customHeight="1" x14ac:dyDescent="0.2">
      <c r="A27" s="208" t="s">
        <v>198</v>
      </c>
      <c r="B27" s="209" t="s">
        <v>334</v>
      </c>
      <c r="C27" s="122"/>
      <c r="D27" s="331">
        <f>'18. sz. mell PH.'!C27+'19. sz. mell PH.'!C27+'20. sz. mell. PH.'!C27</f>
        <v>0</v>
      </c>
      <c r="E27" s="469">
        <f t="shared" si="0"/>
        <v>0</v>
      </c>
    </row>
    <row r="28" spans="1:5" s="39" customFormat="1" ht="12.2" customHeight="1" x14ac:dyDescent="0.2">
      <c r="A28" s="208" t="s">
        <v>199</v>
      </c>
      <c r="B28" s="210" t="s">
        <v>336</v>
      </c>
      <c r="C28" s="122"/>
      <c r="D28" s="331">
        <f>'18. sz. mell PH.'!C28+'19. sz. mell PH.'!C28+'20. sz. mell. PH.'!C28</f>
        <v>0</v>
      </c>
      <c r="E28" s="469">
        <f t="shared" si="0"/>
        <v>0</v>
      </c>
    </row>
    <row r="29" spans="1:5" s="39" customFormat="1" ht="12.2" customHeight="1" thickBot="1" x14ac:dyDescent="0.25">
      <c r="A29" s="207" t="s">
        <v>200</v>
      </c>
      <c r="B29" s="57" t="s">
        <v>461</v>
      </c>
      <c r="C29" s="649"/>
      <c r="D29" s="331">
        <f>'18. sz. mell PH.'!C29+'19. sz. mell PH.'!C29+'20. sz. mell. PH.'!C29</f>
        <v>0</v>
      </c>
      <c r="E29" s="469">
        <f t="shared" si="0"/>
        <v>0</v>
      </c>
    </row>
    <row r="30" spans="1:5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31">
        <f>'18. sz. mell PH.'!C30+'19. sz. mell PH.'!C30+'20. sz. mell. PH.'!C30</f>
        <v>0</v>
      </c>
      <c r="E30" s="469">
        <f t="shared" si="0"/>
        <v>0</v>
      </c>
    </row>
    <row r="31" spans="1:5" s="39" customFormat="1" ht="12.2" customHeight="1" x14ac:dyDescent="0.2">
      <c r="A31" s="208" t="s">
        <v>78</v>
      </c>
      <c r="B31" s="209" t="s">
        <v>221</v>
      </c>
      <c r="C31" s="34"/>
      <c r="D31" s="331">
        <f>'18. sz. mell PH.'!C31+'19. sz. mell PH.'!C31+'20. sz. mell. PH.'!C31</f>
        <v>0</v>
      </c>
      <c r="E31" s="469">
        <f t="shared" si="0"/>
        <v>0</v>
      </c>
    </row>
    <row r="32" spans="1:5" s="39" customFormat="1" ht="12.2" customHeight="1" x14ac:dyDescent="0.2">
      <c r="A32" s="208" t="s">
        <v>79</v>
      </c>
      <c r="B32" s="210" t="s">
        <v>222</v>
      </c>
      <c r="C32" s="125"/>
      <c r="D32" s="331">
        <f>'18. sz. mell PH.'!C32+'19. sz. mell PH.'!C32+'20. sz. mell. PH.'!C32</f>
        <v>0</v>
      </c>
      <c r="E32" s="469">
        <f t="shared" si="0"/>
        <v>0</v>
      </c>
    </row>
    <row r="33" spans="1:11" s="39" customFormat="1" ht="12.2" customHeight="1" thickBot="1" x14ac:dyDescent="0.25">
      <c r="A33" s="207" t="s">
        <v>80</v>
      </c>
      <c r="B33" s="57" t="s">
        <v>223</v>
      </c>
      <c r="C33" s="649"/>
      <c r="D33" s="331">
        <f>'18. sz. mell PH.'!C33+'19. sz. mell PH.'!C33+'20. sz. mell. PH.'!C33</f>
        <v>0</v>
      </c>
      <c r="E33" s="469">
        <f t="shared" si="0"/>
        <v>0</v>
      </c>
    </row>
    <row r="34" spans="1:11" s="38" customFormat="1" ht="12.2" customHeight="1" thickBot="1" x14ac:dyDescent="0.25">
      <c r="A34" s="74" t="s">
        <v>21</v>
      </c>
      <c r="B34" s="54" t="s">
        <v>309</v>
      </c>
      <c r="C34" s="142"/>
      <c r="D34" s="331">
        <f>'18. sz. mell PH.'!C34+'19. sz. mell PH.'!C34+'20. sz. mell. PH.'!C34</f>
        <v>0</v>
      </c>
      <c r="E34" s="469">
        <f t="shared" si="0"/>
        <v>0</v>
      </c>
    </row>
    <row r="35" spans="1:11" s="38" customFormat="1" ht="12.2" customHeight="1" thickBot="1" x14ac:dyDescent="0.25">
      <c r="A35" s="74" t="s">
        <v>22</v>
      </c>
      <c r="B35" s="54" t="s">
        <v>338</v>
      </c>
      <c r="C35" s="158"/>
      <c r="D35" s="331">
        <f>'18. sz. mell PH.'!C35+'19. sz. mell PH.'!C35+'20. sz. mell. PH.'!C35</f>
        <v>0</v>
      </c>
      <c r="E35" s="469">
        <f t="shared" si="0"/>
        <v>0</v>
      </c>
    </row>
    <row r="36" spans="1:11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77094632</v>
      </c>
      <c r="D36" s="331">
        <f>'18. sz. mell PH.'!C36+'19. sz. mell PH.'!C36+'20. sz. mell. PH.'!C36</f>
        <v>77094632</v>
      </c>
      <c r="E36" s="469">
        <f t="shared" si="0"/>
        <v>0</v>
      </c>
    </row>
    <row r="37" spans="1:11" s="38" customFormat="1" ht="12.2" customHeight="1" thickBot="1" x14ac:dyDescent="0.25">
      <c r="A37" s="85" t="s">
        <v>24</v>
      </c>
      <c r="B37" s="54" t="s">
        <v>340</v>
      </c>
      <c r="C37" s="650">
        <f>+C38+C39+C40</f>
        <v>586075940</v>
      </c>
      <c r="D37" s="331">
        <f>'18. sz. mell PH.'!C37+'19. sz. mell PH.'!C37+'20. sz. mell. PH.'!C37</f>
        <v>586075940</v>
      </c>
      <c r="E37" s="469">
        <f t="shared" si="0"/>
        <v>0</v>
      </c>
    </row>
    <row r="38" spans="1:11" s="38" customFormat="1" ht="12.2" customHeight="1" x14ac:dyDescent="0.2">
      <c r="A38" s="208" t="s">
        <v>341</v>
      </c>
      <c r="B38" s="209" t="s">
        <v>166</v>
      </c>
      <c r="C38" s="34">
        <f>2214359+13211</f>
        <v>2227570</v>
      </c>
      <c r="D38" s="331">
        <f>'18. sz. mell PH.'!C38+'19. sz. mell PH.'!C38+'20. sz. mell. PH.'!C38</f>
        <v>2227570</v>
      </c>
      <c r="E38" s="469">
        <f t="shared" si="0"/>
        <v>0</v>
      </c>
      <c r="K38" s="703"/>
    </row>
    <row r="39" spans="1:11" s="38" customFormat="1" ht="12.2" customHeight="1" x14ac:dyDescent="0.2">
      <c r="A39" s="208" t="s">
        <v>342</v>
      </c>
      <c r="B39" s="210" t="s">
        <v>6</v>
      </c>
      <c r="C39" s="125"/>
      <c r="D39" s="331">
        <f>'18. sz. mell PH.'!C39+'19. sz. mell PH.'!C39+'20. sz. mell. PH.'!C39</f>
        <v>0</v>
      </c>
      <c r="E39" s="469">
        <f t="shared" si="0"/>
        <v>0</v>
      </c>
    </row>
    <row r="40" spans="1:11" s="39" customFormat="1" ht="12.2" customHeight="1" thickBot="1" x14ac:dyDescent="0.25">
      <c r="A40" s="207" t="s">
        <v>343</v>
      </c>
      <c r="B40" s="57" t="s">
        <v>344</v>
      </c>
      <c r="C40" s="649">
        <f>551811035+32037335</f>
        <v>583848370</v>
      </c>
      <c r="D40" s="331">
        <f>'18. sz. mell PH.'!C40+'19. sz. mell PH.'!C40+'20. sz. mell. PH.'!C40</f>
        <v>583848370</v>
      </c>
      <c r="E40" s="469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663170572</v>
      </c>
      <c r="D41" s="331">
        <f>'18. sz. mell PH.'!C41+'19. sz. mell PH.'!C41+'20. sz. mell. PH.'!C41</f>
        <v>663170572</v>
      </c>
      <c r="E41" s="469">
        <f t="shared" si="0"/>
        <v>0</v>
      </c>
    </row>
    <row r="42" spans="1:11" s="39" customFormat="1" ht="15" customHeight="1" x14ac:dyDescent="0.2">
      <c r="A42" s="87"/>
      <c r="B42" s="88"/>
      <c r="C42" s="159"/>
      <c r="D42" s="331">
        <f>'18. sz. mell PH.'!C42+'19. sz. mell PH.'!C42+'20. sz. mell. PH.'!C42</f>
        <v>0</v>
      </c>
      <c r="E42" s="620"/>
    </row>
    <row r="43" spans="1:11" ht="13.5" thickBot="1" x14ac:dyDescent="0.25">
      <c r="A43" s="89"/>
      <c r="B43" s="90"/>
      <c r="C43" s="160"/>
      <c r="D43" s="331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31">
        <f>'18. sz. mell PH.'!C44+'19. sz. mell PH.'!C44+'20. sz. mell. PH.'!C44</f>
        <v>0</v>
      </c>
      <c r="E44" s="322"/>
    </row>
    <row r="45" spans="1:11" s="213" customFormat="1" ht="12.2" customHeight="1" thickBot="1" x14ac:dyDescent="0.25">
      <c r="A45" s="74" t="s">
        <v>16</v>
      </c>
      <c r="B45" s="54" t="s">
        <v>346</v>
      </c>
      <c r="C45" s="124">
        <f>SUM(C46:C50)</f>
        <v>657757875</v>
      </c>
      <c r="D45" s="331">
        <f>'18. sz. mell PH.'!C45+'19. sz. mell PH.'!C45+'20. sz. mell. PH.'!C45</f>
        <v>657757875</v>
      </c>
      <c r="E45" s="469">
        <f t="shared" ref="E45:E57" si="1">C45-D45</f>
        <v>0</v>
      </c>
    </row>
    <row r="46" spans="1:11" ht="12.2" customHeight="1" x14ac:dyDescent="0.2">
      <c r="A46" s="207" t="s">
        <v>85</v>
      </c>
      <c r="B46" s="6" t="s">
        <v>46</v>
      </c>
      <c r="C46" s="251">
        <f>223112718+1378246</f>
        <v>224490964</v>
      </c>
      <c r="D46" s="331">
        <f>'18. sz. mell PH.'!C46+'19. sz. mell PH.'!C46+'20. sz. mell. PH.'!C46</f>
        <v>224490964</v>
      </c>
      <c r="E46" s="469">
        <f t="shared" si="1"/>
        <v>0</v>
      </c>
    </row>
    <row r="47" spans="1:11" ht="12.2" customHeight="1" x14ac:dyDescent="0.2">
      <c r="A47" s="207" t="s">
        <v>86</v>
      </c>
      <c r="B47" s="5" t="s">
        <v>134</v>
      </c>
      <c r="C47" s="114">
        <f>34194887+179172</f>
        <v>34374059</v>
      </c>
      <c r="D47" s="331">
        <f>'18. sz. mell PH.'!C47+'19. sz. mell PH.'!C47+'20. sz. mell. PH.'!C47</f>
        <v>34374059</v>
      </c>
      <c r="E47" s="469">
        <f t="shared" si="1"/>
        <v>0</v>
      </c>
    </row>
    <row r="48" spans="1:11" ht="12.2" customHeight="1" x14ac:dyDescent="0.2">
      <c r="A48" s="207" t="s">
        <v>87</v>
      </c>
      <c r="B48" s="5" t="s">
        <v>110</v>
      </c>
      <c r="C48" s="170">
        <f>357689697+40029105</f>
        <v>397718802</v>
      </c>
      <c r="D48" s="331">
        <f>'18. sz. mell PH.'!C48+'19. sz. mell PH.'!C48+'20. sz. mell. PH.'!C48</f>
        <v>397718802</v>
      </c>
      <c r="E48" s="469">
        <f t="shared" si="1"/>
        <v>0</v>
      </c>
    </row>
    <row r="49" spans="1:9" ht="12.2" customHeight="1" x14ac:dyDescent="0.2">
      <c r="A49" s="207" t="s">
        <v>88</v>
      </c>
      <c r="B49" s="5" t="s">
        <v>135</v>
      </c>
      <c r="C49" s="36"/>
      <c r="D49" s="331">
        <f>'18. sz. mell PH.'!C49+'19. sz. mell PH.'!C49+'20. sz. mell. PH.'!C49</f>
        <v>0</v>
      </c>
      <c r="E49" s="469">
        <f t="shared" si="1"/>
        <v>0</v>
      </c>
    </row>
    <row r="50" spans="1:9" ht="12.2" customHeight="1" thickBot="1" x14ac:dyDescent="0.25">
      <c r="A50" s="207" t="s">
        <v>111</v>
      </c>
      <c r="B50" s="5" t="s">
        <v>136</v>
      </c>
      <c r="C50" s="170">
        <v>1174050</v>
      </c>
      <c r="D50" s="331">
        <f>'18. sz. mell PH.'!C50+'19. sz. mell PH.'!C50+'20. sz. mell. PH.'!C50</f>
        <v>1174050</v>
      </c>
      <c r="E50" s="469">
        <f t="shared" si="1"/>
        <v>0</v>
      </c>
    </row>
    <row r="51" spans="1:9" ht="12.2" customHeight="1" thickBot="1" x14ac:dyDescent="0.25">
      <c r="A51" s="74" t="s">
        <v>17</v>
      </c>
      <c r="B51" s="54" t="s">
        <v>347</v>
      </c>
      <c r="C51" s="124">
        <f>SUM(C52:C54)</f>
        <v>5412697</v>
      </c>
      <c r="D51" s="331">
        <f>'18. sz. mell PH.'!C51+'19. sz. mell PH.'!C51+'20. sz. mell. PH.'!C51</f>
        <v>5412697</v>
      </c>
      <c r="E51" s="469">
        <f t="shared" si="1"/>
        <v>0</v>
      </c>
    </row>
    <row r="52" spans="1:9" s="213" customFormat="1" ht="12.2" customHeight="1" x14ac:dyDescent="0.2">
      <c r="A52" s="207" t="s">
        <v>91</v>
      </c>
      <c r="B52" s="6" t="s">
        <v>157</v>
      </c>
      <c r="C52" s="214">
        <v>5412697</v>
      </c>
      <c r="D52" s="331">
        <f>'18. sz. mell PH.'!C52+'19. sz. mell PH.'!C52+'20. sz. mell. PH.'!C52</f>
        <v>5412697</v>
      </c>
      <c r="E52" s="469">
        <f t="shared" si="1"/>
        <v>0</v>
      </c>
    </row>
    <row r="53" spans="1:9" ht="12.2" customHeight="1" x14ac:dyDescent="0.2">
      <c r="A53" s="207" t="s">
        <v>92</v>
      </c>
      <c r="B53" s="5" t="s">
        <v>138</v>
      </c>
      <c r="C53" s="36"/>
      <c r="D53" s="331">
        <f>'18. sz. mell PH.'!C53+'19. sz. mell PH.'!C53+'20. sz. mell. PH.'!C53</f>
        <v>0</v>
      </c>
      <c r="E53" s="469">
        <f t="shared" si="1"/>
        <v>0</v>
      </c>
    </row>
    <row r="54" spans="1:9" ht="12.2" customHeight="1" x14ac:dyDescent="0.2">
      <c r="A54" s="207" t="s">
        <v>93</v>
      </c>
      <c r="B54" s="5" t="s">
        <v>54</v>
      </c>
      <c r="C54" s="36"/>
      <c r="D54" s="331">
        <f>'18. sz. mell PH.'!C54+'19. sz. mell PH.'!C54+'20. sz. mell. PH.'!C54</f>
        <v>0</v>
      </c>
      <c r="E54" s="469">
        <f t="shared" si="1"/>
        <v>0</v>
      </c>
    </row>
    <row r="55" spans="1:9" ht="12.2" customHeight="1" thickBot="1" x14ac:dyDescent="0.25">
      <c r="A55" s="207" t="s">
        <v>94</v>
      </c>
      <c r="B55" s="5" t="s">
        <v>462</v>
      </c>
      <c r="C55" s="36"/>
      <c r="D55" s="331">
        <f>'18. sz. mell PH.'!C55+'19. sz. mell PH.'!C55+'20. sz. mell. PH.'!C55</f>
        <v>0</v>
      </c>
      <c r="E55" s="469">
        <f t="shared" si="1"/>
        <v>0</v>
      </c>
    </row>
    <row r="56" spans="1:9" ht="12.2" customHeight="1" thickBot="1" x14ac:dyDescent="0.25">
      <c r="A56" s="74" t="s">
        <v>18</v>
      </c>
      <c r="B56" s="54" t="s">
        <v>12</v>
      </c>
      <c r="C56" s="142"/>
      <c r="D56" s="331">
        <f>'18. sz. mell PH.'!C56+'19. sz. mell PH.'!C56+'20. sz. mell. PH.'!C56</f>
        <v>0</v>
      </c>
      <c r="E56" s="469">
        <f t="shared" si="1"/>
        <v>0</v>
      </c>
    </row>
    <row r="57" spans="1:9" ht="15" customHeight="1" thickBot="1" x14ac:dyDescent="0.25">
      <c r="A57" s="74" t="s">
        <v>19</v>
      </c>
      <c r="B57" s="93" t="s">
        <v>463</v>
      </c>
      <c r="C57" s="162">
        <f>+C45+C51+C56</f>
        <v>663170572</v>
      </c>
      <c r="D57" s="331">
        <f>'18. sz. mell PH.'!C57+'19. sz. mell PH.'!C57+'20. sz. mell. PH.'!C57</f>
        <v>663170572</v>
      </c>
      <c r="E57" s="469">
        <f t="shared" si="1"/>
        <v>0</v>
      </c>
    </row>
    <row r="58" spans="1:9" ht="13.5" thickBot="1" x14ac:dyDescent="0.25">
      <c r="C58" s="163"/>
      <c r="D58" s="331">
        <f>'18. sz. mell PH.'!C58+'19. sz. mell PH.'!C58+'20. sz. mell. PH.'!C58</f>
        <v>0</v>
      </c>
      <c r="E58" s="332"/>
    </row>
    <row r="59" spans="1:9" ht="15" customHeight="1" thickBot="1" x14ac:dyDescent="0.25">
      <c r="A59" s="1276" t="s">
        <v>456</v>
      </c>
      <c r="B59" s="1277"/>
      <c r="C59" s="1010">
        <f>47.375+3</f>
        <v>50.375</v>
      </c>
      <c r="D59" s="1129">
        <f>'18. sz. mell PH.'!C59+'19. sz. mell PH.'!C59+'20. sz. mell. PH.'!C59</f>
        <v>50.375</v>
      </c>
      <c r="E59" s="469">
        <f>C59-D59</f>
        <v>0</v>
      </c>
    </row>
    <row r="60" spans="1:9" ht="13.5" thickBot="1" x14ac:dyDescent="0.25">
      <c r="A60" s="1276" t="s">
        <v>1075</v>
      </c>
      <c r="B60" s="1277"/>
      <c r="C60" s="1010">
        <v>0.5</v>
      </c>
      <c r="I60" s="945"/>
    </row>
  </sheetData>
  <sheetProtection formatCells="0"/>
  <mergeCells count="4">
    <mergeCell ref="A1:C1"/>
    <mergeCell ref="A59:B59"/>
    <mergeCell ref="A3:C3"/>
    <mergeCell ref="A60:B60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M164"/>
  <sheetViews>
    <sheetView tabSelected="1" view="pageBreakPreview" topLeftCell="A13" zoomScaleNormal="115" zoomScaleSheetLayoutView="100" zoomScalePageLayoutView="85" workbookViewId="0">
      <selection activeCell="B81" sqref="B81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10" width="15.33203125" style="167" hidden="1" customWidth="1"/>
    <col min="11" max="11" width="11.1640625" style="167" hidden="1" customWidth="1"/>
    <col min="12" max="12" width="15.5" style="315" hidden="1" customWidth="1"/>
    <col min="13" max="13" width="17.83203125" style="316" hidden="1" customWidth="1"/>
    <col min="14" max="15" width="9.33203125" style="167" customWidth="1"/>
    <col min="16" max="16384" width="9.33203125" style="167"/>
  </cols>
  <sheetData>
    <row r="1" spans="1:13" x14ac:dyDescent="0.25">
      <c r="A1" s="1227" t="str">
        <f>CONCATENATE("1. melléklet"," ",ALAPADATOK!A7," ",ALAPADATOK!B7," ",ALAPADATOK!C7," ",ALAPADATOK!D7," ",ALAPADATOK!E7," ",ALAPADATOK!F7," ",ALAPADATOK!G7," ",ALAPADATOK!H7)</f>
        <v>1. melléklet a .. / 2023. ( …... ) önkormányzati rendelethez</v>
      </c>
      <c r="B1" s="1227"/>
      <c r="C1" s="1227"/>
    </row>
    <row r="2" spans="1:13" x14ac:dyDescent="0.25">
      <c r="A2" s="591"/>
      <c r="B2" s="591"/>
      <c r="C2" s="591"/>
    </row>
    <row r="3" spans="1:13" x14ac:dyDescent="0.25">
      <c r="A3" s="1226" t="str">
        <f>CONCATENATE(ALAPADATOK!A3)</f>
        <v>Tiszavasvári Város Önkormányzat</v>
      </c>
      <c r="B3" s="1226"/>
      <c r="C3" s="1226"/>
      <c r="D3" s="1226"/>
      <c r="E3" s="1226"/>
      <c r="F3" s="1226"/>
      <c r="G3" s="1226"/>
      <c r="H3" s="1226"/>
      <c r="I3" s="1226"/>
      <c r="J3" s="1226"/>
    </row>
    <row r="4" spans="1:13" x14ac:dyDescent="0.25">
      <c r="A4" s="1225" t="str">
        <f>CONCATENATE(ALAPADATOK!D7," ÉVI KÖLTSÉGVETÉS")</f>
        <v>2023. ÉVI KÖLTSÉGVETÉS</v>
      </c>
      <c r="B4" s="1225"/>
      <c r="C4" s="1225"/>
      <c r="D4" s="1225"/>
      <c r="E4" s="1225"/>
      <c r="F4" s="1225"/>
      <c r="G4" s="1225"/>
      <c r="H4" s="1225"/>
      <c r="I4" s="1225"/>
      <c r="J4" s="1225"/>
    </row>
    <row r="5" spans="1:13" x14ac:dyDescent="0.25">
      <c r="A5" s="1225" t="s">
        <v>663</v>
      </c>
      <c r="B5" s="1225"/>
      <c r="C5" s="1225"/>
      <c r="D5" s="1225"/>
      <c r="E5" s="1225"/>
      <c r="F5" s="1225"/>
      <c r="G5" s="1225"/>
      <c r="H5" s="1225"/>
      <c r="I5" s="1225"/>
      <c r="J5" s="1225"/>
    </row>
    <row r="7" spans="1:13" ht="15.95" customHeight="1" x14ac:dyDescent="0.25">
      <c r="A7" s="1229" t="s">
        <v>13</v>
      </c>
      <c r="B7" s="1229"/>
      <c r="C7" s="1229"/>
    </row>
    <row r="8" spans="1:13" ht="15.95" customHeight="1" thickBot="1" x14ac:dyDescent="0.3">
      <c r="A8" s="864" t="s">
        <v>114</v>
      </c>
      <c r="B8" s="864"/>
      <c r="C8" s="764" t="s">
        <v>483</v>
      </c>
    </row>
    <row r="9" spans="1:13" ht="38.1" customHeight="1" thickBot="1" x14ac:dyDescent="0.3">
      <c r="A9" s="20" t="s">
        <v>63</v>
      </c>
      <c r="B9" s="21" t="s">
        <v>15</v>
      </c>
      <c r="C9" s="476" t="s">
        <v>976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378" t="s">
        <v>1051</v>
      </c>
    </row>
    <row r="10" spans="1:13" s="178" customFormat="1" ht="12.2" customHeight="1" thickBot="1" x14ac:dyDescent="0.25">
      <c r="A10" s="173" t="s">
        <v>382</v>
      </c>
      <c r="B10" s="174" t="s">
        <v>383</v>
      </c>
      <c r="C10" s="765" t="s">
        <v>384</v>
      </c>
      <c r="L10" s="315"/>
      <c r="M10" s="316"/>
    </row>
    <row r="11" spans="1:13" s="179" customFormat="1" ht="12.2" customHeight="1" thickBot="1" x14ac:dyDescent="0.25">
      <c r="A11" s="17" t="s">
        <v>16</v>
      </c>
      <c r="B11" s="18" t="s">
        <v>179</v>
      </c>
      <c r="C11" s="115">
        <f t="shared" ref="C11:C43" si="0">SUM(D11:J11)</f>
        <v>2224660652</v>
      </c>
      <c r="D11" s="255">
        <f t="shared" ref="D11:J11" si="1">+D12+D13+D14+D17+D18+D19</f>
        <v>2184055324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ref="I11" si="2">+I12+I13+I14+I17+I18+I19</f>
        <v>0</v>
      </c>
      <c r="J11" s="110">
        <v>40605328</v>
      </c>
      <c r="L11" s="317">
        <f>'2. sz.mell. '!C11+'3. sz.mell.'!C11+'4. sz.mell. '!C11+'5. sz.mell.'!C11</f>
        <v>2224660652</v>
      </c>
      <c r="M11" s="317">
        <f t="shared" ref="M11:M75" si="3">C11-L11</f>
        <v>0</v>
      </c>
    </row>
    <row r="12" spans="1:13" s="179" customFormat="1" ht="12.2" customHeight="1" thickBot="1" x14ac:dyDescent="0.25">
      <c r="A12" s="12" t="s">
        <v>85</v>
      </c>
      <c r="B12" s="180" t="s">
        <v>180</v>
      </c>
      <c r="C12" s="383">
        <f>SUM(D12:J12)</f>
        <v>445216727</v>
      </c>
      <c r="D12" s="214">
        <v>434444567</v>
      </c>
      <c r="E12" s="214"/>
      <c r="F12" s="214"/>
      <c r="G12" s="214"/>
      <c r="H12" s="214"/>
      <c r="I12" s="214"/>
      <c r="J12" s="214">
        <v>10772160</v>
      </c>
      <c r="L12" s="317">
        <f>'2. sz.mell. '!C12+'3. sz.mell.'!C12+'4. sz.mell. '!C12+'5. sz.mell.'!C12</f>
        <v>445216727</v>
      </c>
      <c r="M12" s="318">
        <f>C12-L12</f>
        <v>0</v>
      </c>
    </row>
    <row r="13" spans="1:13" s="179" customFormat="1" ht="12.2" customHeight="1" thickBot="1" x14ac:dyDescent="0.25">
      <c r="A13" s="11" t="s">
        <v>86</v>
      </c>
      <c r="B13" s="181" t="s">
        <v>181</v>
      </c>
      <c r="C13" s="274">
        <f t="shared" si="0"/>
        <v>325490831</v>
      </c>
      <c r="D13" s="114">
        <v>289696140</v>
      </c>
      <c r="E13" s="114"/>
      <c r="F13" s="114"/>
      <c r="G13" s="114"/>
      <c r="H13" s="114"/>
      <c r="I13" s="114"/>
      <c r="J13" s="114">
        <v>35794691</v>
      </c>
      <c r="L13" s="317">
        <f>'2. sz.mell. '!C13+'3. sz.mell.'!C13+'4. sz.mell. '!C13+'5. sz.mell.'!C13</f>
        <v>325490831</v>
      </c>
      <c r="M13" s="319">
        <f t="shared" si="3"/>
        <v>0</v>
      </c>
    </row>
    <row r="14" spans="1:13" s="179" customFormat="1" ht="12.2" customHeight="1" thickBot="1" x14ac:dyDescent="0.25">
      <c r="A14" s="11" t="s">
        <v>87</v>
      </c>
      <c r="B14" s="181" t="s">
        <v>702</v>
      </c>
      <c r="C14" s="274">
        <f t="shared" si="0"/>
        <v>1150437314</v>
      </c>
      <c r="D14" s="114">
        <f t="shared" ref="D14:J14" si="4">SUM(D15:D16)</f>
        <v>1076769025</v>
      </c>
      <c r="E14" s="114">
        <f t="shared" si="4"/>
        <v>0</v>
      </c>
      <c r="F14" s="114">
        <f t="shared" si="4"/>
        <v>0</v>
      </c>
      <c r="G14" s="114">
        <f t="shared" si="4"/>
        <v>0</v>
      </c>
      <c r="H14" s="114">
        <f t="shared" si="4"/>
        <v>0</v>
      </c>
      <c r="I14" s="114">
        <f t="shared" ref="I14" si="5">SUM(I15:I16)</f>
        <v>0</v>
      </c>
      <c r="J14" s="114">
        <v>73668289</v>
      </c>
      <c r="L14" s="317">
        <f>'2. sz.mell. '!C14+'3. sz.mell.'!C14+'4. sz.mell. '!C14+'5. sz.mell.'!C14</f>
        <v>1150437314</v>
      </c>
      <c r="M14" s="319">
        <f t="shared" si="3"/>
        <v>0</v>
      </c>
    </row>
    <row r="15" spans="1:13" s="179" customFormat="1" ht="12.2" customHeight="1" thickBot="1" x14ac:dyDescent="0.25">
      <c r="A15" s="11" t="s">
        <v>700</v>
      </c>
      <c r="B15" s="181" t="s">
        <v>703</v>
      </c>
      <c r="C15" s="274">
        <f t="shared" si="0"/>
        <v>832683139</v>
      </c>
      <c r="D15" s="114">
        <v>767229507</v>
      </c>
      <c r="E15" s="114"/>
      <c r="F15" s="114"/>
      <c r="G15" s="114"/>
      <c r="H15" s="114"/>
      <c r="I15" s="114"/>
      <c r="J15" s="114">
        <v>65453632</v>
      </c>
      <c r="L15" s="317">
        <f>'2. sz.mell. '!C15+'3. sz.mell.'!C15+'4. sz.mell. '!C15+'5. sz.mell.'!C15</f>
        <v>832683139</v>
      </c>
      <c r="M15" s="319">
        <f t="shared" si="3"/>
        <v>0</v>
      </c>
    </row>
    <row r="16" spans="1:13" s="179" customFormat="1" ht="12.2" customHeight="1" thickBot="1" x14ac:dyDescent="0.25">
      <c r="A16" s="11" t="s">
        <v>701</v>
      </c>
      <c r="B16" s="181" t="s">
        <v>704</v>
      </c>
      <c r="C16" s="274">
        <f t="shared" si="0"/>
        <v>317754175</v>
      </c>
      <c r="D16" s="114">
        <v>309539518</v>
      </c>
      <c r="E16" s="114"/>
      <c r="F16" s="114"/>
      <c r="G16" s="114"/>
      <c r="H16" s="114"/>
      <c r="I16" s="114"/>
      <c r="J16" s="114">
        <v>8214657</v>
      </c>
      <c r="L16" s="317">
        <f>'2. sz.mell. '!C16+'3. sz.mell.'!C16+'4. sz.mell. '!C16+'5. sz.mell.'!C16</f>
        <v>317754175</v>
      </c>
      <c r="M16" s="319">
        <f t="shared" si="3"/>
        <v>0</v>
      </c>
    </row>
    <row r="17" spans="1:13" s="179" customFormat="1" ht="12.2" customHeight="1" thickBot="1" x14ac:dyDescent="0.25">
      <c r="A17" s="11" t="s">
        <v>88</v>
      </c>
      <c r="B17" s="181" t="s">
        <v>183</v>
      </c>
      <c r="C17" s="274">
        <f t="shared" si="0"/>
        <v>59235347</v>
      </c>
      <c r="D17" s="114">
        <v>54423347</v>
      </c>
      <c r="E17" s="114"/>
      <c r="F17" s="114"/>
      <c r="G17" s="114"/>
      <c r="H17" s="114"/>
      <c r="I17" s="114"/>
      <c r="J17" s="114">
        <v>4812000</v>
      </c>
      <c r="L17" s="317">
        <f>'2. sz.mell. '!C17+'3. sz.mell.'!C17+'4. sz.mell. '!C17+'5. sz.mell.'!C17</f>
        <v>59235347</v>
      </c>
      <c r="M17" s="319">
        <f t="shared" si="3"/>
        <v>0</v>
      </c>
    </row>
    <row r="18" spans="1:13" s="179" customFormat="1" ht="12.2" customHeight="1" thickBot="1" x14ac:dyDescent="0.25">
      <c r="A18" s="11" t="s">
        <v>111</v>
      </c>
      <c r="B18" s="106" t="s">
        <v>385</v>
      </c>
      <c r="C18" s="274">
        <f t="shared" si="0"/>
        <v>244280433</v>
      </c>
      <c r="D18" s="114">
        <f>328722245</f>
        <v>328722245</v>
      </c>
      <c r="E18" s="114"/>
      <c r="F18" s="114"/>
      <c r="G18" s="114"/>
      <c r="H18" s="114"/>
      <c r="I18" s="114"/>
      <c r="J18" s="114">
        <v>-84441812</v>
      </c>
      <c r="L18" s="317">
        <f>'2. sz.mell. '!C18+'3. sz.mell.'!C18+'4. sz.mell. '!C18+'5. sz.mell.'!C18</f>
        <v>244280433</v>
      </c>
      <c r="M18" s="319">
        <f t="shared" si="3"/>
        <v>0</v>
      </c>
    </row>
    <row r="19" spans="1:13" s="179" customFormat="1" ht="12.2" customHeight="1" thickBot="1" x14ac:dyDescent="0.25">
      <c r="A19" s="13" t="s">
        <v>89</v>
      </c>
      <c r="B19" s="107" t="s">
        <v>386</v>
      </c>
      <c r="C19" s="384">
        <f t="shared" si="0"/>
        <v>0</v>
      </c>
      <c r="D19" s="246"/>
      <c r="E19" s="114"/>
      <c r="F19" s="114"/>
      <c r="G19" s="114"/>
      <c r="H19" s="114"/>
      <c r="I19" s="114"/>
      <c r="J19" s="114">
        <v>0</v>
      </c>
      <c r="L19" s="317">
        <f>'2. sz.mell. '!C19+'3. sz.mell.'!C19+'4. sz.mell. '!C19+'5. sz.mell.'!C19</f>
        <v>0</v>
      </c>
      <c r="M19" s="320">
        <f t="shared" si="3"/>
        <v>0</v>
      </c>
    </row>
    <row r="20" spans="1:13" s="179" customFormat="1" ht="12.2" customHeight="1" thickBot="1" x14ac:dyDescent="0.25">
      <c r="A20" s="17" t="s">
        <v>17</v>
      </c>
      <c r="B20" s="105" t="s">
        <v>184</v>
      </c>
      <c r="C20" s="115">
        <f t="shared" si="0"/>
        <v>360746486</v>
      </c>
      <c r="D20" s="255">
        <f t="shared" ref="D20:J20" si="6">+D21+D22+D23+D24+D25</f>
        <v>104774899</v>
      </c>
      <c r="E20" s="110">
        <f t="shared" si="6"/>
        <v>0</v>
      </c>
      <c r="F20" s="110">
        <f t="shared" si="6"/>
        <v>0</v>
      </c>
      <c r="G20" s="110">
        <f t="shared" si="6"/>
        <v>2969600</v>
      </c>
      <c r="H20" s="110">
        <f t="shared" si="6"/>
        <v>0</v>
      </c>
      <c r="I20" s="110">
        <f t="shared" ref="I20" si="7">+I21+I22+I23+I24+I25</f>
        <v>191865913</v>
      </c>
      <c r="J20" s="110">
        <v>61136074</v>
      </c>
      <c r="L20" s="317">
        <f>'2. sz.mell. '!C20+'3. sz.mell.'!C20+'4. sz.mell. '!C20+'5. sz.mell.'!C20</f>
        <v>360746486</v>
      </c>
      <c r="M20" s="317">
        <f t="shared" si="3"/>
        <v>0</v>
      </c>
    </row>
    <row r="21" spans="1:13" s="179" customFormat="1" ht="12.2" customHeight="1" thickBot="1" x14ac:dyDescent="0.25">
      <c r="A21" s="12" t="s">
        <v>91</v>
      </c>
      <c r="B21" s="180" t="s">
        <v>185</v>
      </c>
      <c r="C21" s="383">
        <f t="shared" si="0"/>
        <v>0</v>
      </c>
      <c r="D21" s="655"/>
      <c r="E21" s="214"/>
      <c r="F21" s="214"/>
      <c r="G21" s="214"/>
      <c r="H21" s="214"/>
      <c r="I21" s="214"/>
      <c r="J21" s="214">
        <v>0</v>
      </c>
      <c r="L21" s="317">
        <f>'2. sz.mell. '!C21+'3. sz.mell.'!C21+'4. sz.mell. '!C21+'5. sz.mell.'!C21</f>
        <v>0</v>
      </c>
      <c r="M21" s="318">
        <f t="shared" si="3"/>
        <v>0</v>
      </c>
    </row>
    <row r="22" spans="1:13" s="179" customFormat="1" ht="12.2" customHeight="1" thickBot="1" x14ac:dyDescent="0.25">
      <c r="A22" s="11" t="s">
        <v>92</v>
      </c>
      <c r="B22" s="181" t="s">
        <v>186</v>
      </c>
      <c r="C22" s="274">
        <f t="shared" si="0"/>
        <v>0</v>
      </c>
      <c r="D22" s="246"/>
      <c r="E22" s="114"/>
      <c r="F22" s="114"/>
      <c r="G22" s="114"/>
      <c r="H22" s="114"/>
      <c r="I22" s="114"/>
      <c r="J22" s="114">
        <v>0</v>
      </c>
      <c r="L22" s="317">
        <f>'2. sz.mell. '!C22+'3. sz.mell.'!C22+'4. sz.mell. '!C22+'5. sz.mell.'!C22</f>
        <v>0</v>
      </c>
      <c r="M22" s="319">
        <f t="shared" si="3"/>
        <v>0</v>
      </c>
    </row>
    <row r="23" spans="1:13" s="179" customFormat="1" ht="12.2" customHeight="1" thickBot="1" x14ac:dyDescent="0.25">
      <c r="A23" s="11" t="s">
        <v>93</v>
      </c>
      <c r="B23" s="181" t="s">
        <v>352</v>
      </c>
      <c r="C23" s="274">
        <f t="shared" si="0"/>
        <v>0</v>
      </c>
      <c r="D23" s="246"/>
      <c r="E23" s="114"/>
      <c r="F23" s="114"/>
      <c r="G23" s="114"/>
      <c r="H23" s="114"/>
      <c r="I23" s="114"/>
      <c r="J23" s="114">
        <v>0</v>
      </c>
      <c r="L23" s="317">
        <f>'2. sz.mell. '!C23+'3. sz.mell.'!C23+'4. sz.mell. '!C23+'5. sz.mell.'!C23</f>
        <v>0</v>
      </c>
      <c r="M23" s="319">
        <f t="shared" si="3"/>
        <v>0</v>
      </c>
    </row>
    <row r="24" spans="1:13" s="179" customFormat="1" ht="12.2" customHeight="1" thickBot="1" x14ac:dyDescent="0.25">
      <c r="A24" s="11" t="s">
        <v>94</v>
      </c>
      <c r="B24" s="181" t="s">
        <v>353</v>
      </c>
      <c r="C24" s="274">
        <f t="shared" si="0"/>
        <v>0</v>
      </c>
      <c r="D24" s="246"/>
      <c r="E24" s="114"/>
      <c r="F24" s="114"/>
      <c r="G24" s="114"/>
      <c r="H24" s="114"/>
      <c r="I24" s="114"/>
      <c r="J24" s="114">
        <v>0</v>
      </c>
      <c r="L24" s="317">
        <f>'2. sz.mell. '!C24+'3. sz.mell.'!C24+'4. sz.mell. '!C24+'5. sz.mell.'!C24</f>
        <v>0</v>
      </c>
      <c r="M24" s="319">
        <f t="shared" si="3"/>
        <v>0</v>
      </c>
    </row>
    <row r="25" spans="1:13" s="179" customFormat="1" ht="12.2" customHeight="1" thickBot="1" x14ac:dyDescent="0.25">
      <c r="A25" s="11" t="s">
        <v>95</v>
      </c>
      <c r="B25" s="181" t="s">
        <v>187</v>
      </c>
      <c r="C25" s="274">
        <f t="shared" si="0"/>
        <v>360746486</v>
      </c>
      <c r="D25" s="246">
        <v>104774899</v>
      </c>
      <c r="E25" s="114"/>
      <c r="F25" s="114"/>
      <c r="G25" s="114">
        <v>2969600</v>
      </c>
      <c r="H25" s="114"/>
      <c r="I25" s="36">
        <v>191865913</v>
      </c>
      <c r="J25" s="36">
        <v>61136074</v>
      </c>
      <c r="L25" s="317">
        <f>'2. sz.mell. '!C25+'3. sz.mell.'!C25+'4. sz.mell. '!C25+'5. sz.mell.'!C25</f>
        <v>360746486</v>
      </c>
      <c r="M25" s="319">
        <f t="shared" si="3"/>
        <v>0</v>
      </c>
    </row>
    <row r="26" spans="1:13" s="179" customFormat="1" ht="12.2" customHeight="1" thickBot="1" x14ac:dyDescent="0.25">
      <c r="A26" s="13" t="s">
        <v>104</v>
      </c>
      <c r="B26" s="107" t="s">
        <v>188</v>
      </c>
      <c r="C26" s="384">
        <f t="shared" si="0"/>
        <v>112633555</v>
      </c>
      <c r="D26" s="249">
        <f>5950971+4141777+17143608+9768776+16049767</f>
        <v>53054899</v>
      </c>
      <c r="E26" s="170"/>
      <c r="F26" s="170"/>
      <c r="G26" s="170"/>
      <c r="H26" s="170"/>
      <c r="I26" s="170"/>
      <c r="J26" s="170">
        <v>59578656</v>
      </c>
      <c r="L26" s="317">
        <f>'2. sz.mell. '!C26+'3. sz.mell.'!C26+'4. sz.mell. '!C26+'5. sz.mell.'!C26</f>
        <v>112633555</v>
      </c>
      <c r="M26" s="320">
        <f t="shared" si="3"/>
        <v>0</v>
      </c>
    </row>
    <row r="27" spans="1:13" s="179" customFormat="1" ht="12.2" customHeight="1" thickBot="1" x14ac:dyDescent="0.25">
      <c r="A27" s="17" t="s">
        <v>18</v>
      </c>
      <c r="B27" s="18" t="s">
        <v>189</v>
      </c>
      <c r="C27" s="247">
        <f t="shared" si="0"/>
        <v>580378505</v>
      </c>
      <c r="D27" s="255">
        <f t="shared" ref="D27:J27" si="8">+D28+D29+D30+D31+D32</f>
        <v>272339867</v>
      </c>
      <c r="E27" s="110">
        <f t="shared" si="8"/>
        <v>0</v>
      </c>
      <c r="F27" s="110">
        <f t="shared" si="8"/>
        <v>0</v>
      </c>
      <c r="G27" s="110">
        <f t="shared" si="8"/>
        <v>0</v>
      </c>
      <c r="H27" s="110">
        <f t="shared" si="8"/>
        <v>0</v>
      </c>
      <c r="I27" s="110">
        <f t="shared" ref="I27" si="9">+I28+I29+I30+I31+I32</f>
        <v>36147000</v>
      </c>
      <c r="J27" s="110">
        <v>271891638</v>
      </c>
      <c r="L27" s="317">
        <f>'2. sz.mell. '!C27+'3. sz.mell.'!C27+'4. sz.mell. '!C27+'5. sz.mell.'!C27</f>
        <v>580378505</v>
      </c>
      <c r="M27" s="317">
        <f t="shared" si="3"/>
        <v>0</v>
      </c>
    </row>
    <row r="28" spans="1:13" s="179" customFormat="1" ht="12.2" customHeight="1" thickBot="1" x14ac:dyDescent="0.25">
      <c r="A28" s="12" t="s">
        <v>74</v>
      </c>
      <c r="B28" s="180" t="s">
        <v>190</v>
      </c>
      <c r="C28" s="383">
        <f t="shared" si="0"/>
        <v>0</v>
      </c>
      <c r="D28" s="655"/>
      <c r="E28" s="214"/>
      <c r="F28" s="214"/>
      <c r="G28" s="214"/>
      <c r="H28" s="214"/>
      <c r="I28" s="214"/>
      <c r="J28" s="214">
        <v>0</v>
      </c>
      <c r="L28" s="317">
        <f>'2. sz.mell. '!C28+'3. sz.mell.'!C28+'4. sz.mell. '!C28+'5. sz.mell.'!C28</f>
        <v>0</v>
      </c>
      <c r="M28" s="318">
        <f t="shared" si="3"/>
        <v>0</v>
      </c>
    </row>
    <row r="29" spans="1:13" s="179" customFormat="1" ht="12.2" customHeight="1" thickBot="1" x14ac:dyDescent="0.25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  <c r="L29" s="317">
        <f>'2. sz.mell. '!C29+'3. sz.mell.'!C29+'4. sz.mell. '!C29+'5. sz.mell.'!C29</f>
        <v>0</v>
      </c>
      <c r="M29" s="319">
        <f t="shared" si="3"/>
        <v>0</v>
      </c>
    </row>
    <row r="30" spans="1:13" s="179" customFormat="1" ht="12.2" customHeight="1" thickBot="1" x14ac:dyDescent="0.25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  <c r="L30" s="317">
        <f>'2. sz.mell. '!C30+'3. sz.mell.'!C30+'4. sz.mell. '!C30+'5. sz.mell.'!C30</f>
        <v>0</v>
      </c>
      <c r="M30" s="319">
        <f t="shared" si="3"/>
        <v>0</v>
      </c>
    </row>
    <row r="31" spans="1:13" s="179" customFormat="1" ht="12.2" customHeight="1" thickBot="1" x14ac:dyDescent="0.25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  <c r="L31" s="317">
        <f>'2. sz.mell. '!C31+'3. sz.mell.'!C31+'4. sz.mell. '!C31+'5. sz.mell.'!C31</f>
        <v>0</v>
      </c>
      <c r="M31" s="319">
        <f t="shared" si="3"/>
        <v>0</v>
      </c>
    </row>
    <row r="32" spans="1:13" s="179" customFormat="1" ht="12.2" customHeight="1" thickBot="1" x14ac:dyDescent="0.25">
      <c r="A32" s="11" t="s">
        <v>122</v>
      </c>
      <c r="B32" s="181" t="s">
        <v>192</v>
      </c>
      <c r="C32" s="274">
        <f t="shared" si="0"/>
        <v>580378505</v>
      </c>
      <c r="D32" s="246">
        <v>272339867</v>
      </c>
      <c r="E32" s="114"/>
      <c r="F32" s="114"/>
      <c r="G32" s="114"/>
      <c r="H32" s="114"/>
      <c r="I32" s="114">
        <v>36147000</v>
      </c>
      <c r="J32" s="114">
        <v>271891638</v>
      </c>
      <c r="L32" s="317">
        <f>'2. sz.mell. '!C32+'3. sz.mell.'!C32+'4. sz.mell. '!C32+'5. sz.mell.'!C32</f>
        <v>580378505</v>
      </c>
      <c r="M32" s="319">
        <f t="shared" si="3"/>
        <v>0</v>
      </c>
    </row>
    <row r="33" spans="1:13" s="179" customFormat="1" ht="12.2" customHeight="1" thickBot="1" x14ac:dyDescent="0.25">
      <c r="A33" s="13" t="s">
        <v>123</v>
      </c>
      <c r="B33" s="182" t="s">
        <v>193</v>
      </c>
      <c r="C33" s="384">
        <f t="shared" si="0"/>
        <v>544231505</v>
      </c>
      <c r="D33" s="249">
        <f>92693342+114194761+6503698+245863+58702203</f>
        <v>272339867</v>
      </c>
      <c r="E33" s="170"/>
      <c r="F33" s="170"/>
      <c r="G33" s="170"/>
      <c r="H33" s="170"/>
      <c r="I33" s="170"/>
      <c r="J33" s="170">
        <v>271891638</v>
      </c>
      <c r="L33" s="317">
        <f>'2. sz.mell. '!C33+'3. sz.mell.'!C33+'4. sz.mell. '!C33+'5. sz.mell.'!C33</f>
        <v>544231505</v>
      </c>
      <c r="M33" s="320">
        <f t="shared" si="3"/>
        <v>0</v>
      </c>
    </row>
    <row r="34" spans="1:13" s="179" customFormat="1" ht="12.2" customHeight="1" thickBot="1" x14ac:dyDescent="0.25">
      <c r="A34" s="17" t="s">
        <v>124</v>
      </c>
      <c r="B34" s="18" t="s">
        <v>194</v>
      </c>
      <c r="C34" s="115">
        <f t="shared" si="0"/>
        <v>639195000</v>
      </c>
      <c r="D34" s="257">
        <f t="shared" ref="D34:J34" si="10">+D35++D39+D40</f>
        <v>639195000</v>
      </c>
      <c r="E34" s="257">
        <f t="shared" si="10"/>
        <v>0</v>
      </c>
      <c r="F34" s="257">
        <f t="shared" si="10"/>
        <v>0</v>
      </c>
      <c r="G34" s="257">
        <f t="shared" si="10"/>
        <v>0</v>
      </c>
      <c r="H34" s="257">
        <f t="shared" si="10"/>
        <v>0</v>
      </c>
      <c r="I34" s="257">
        <f t="shared" ref="I34" si="11">+I35++I39+I40</f>
        <v>0</v>
      </c>
      <c r="J34" s="257">
        <v>0</v>
      </c>
      <c r="L34" s="317">
        <f>'2. sz.mell. '!C34+'3. sz.mell.'!C34+'4. sz.mell. '!C34+'5. sz.mell.'!C34</f>
        <v>639195000</v>
      </c>
      <c r="M34" s="317">
        <f t="shared" si="3"/>
        <v>0</v>
      </c>
    </row>
    <row r="35" spans="1:13" s="179" customFormat="1" ht="12.2" customHeight="1" thickBot="1" x14ac:dyDescent="0.25">
      <c r="A35" s="12" t="s">
        <v>195</v>
      </c>
      <c r="B35" s="180" t="s">
        <v>554</v>
      </c>
      <c r="C35" s="383">
        <f>SUM(D35:J35)</f>
        <v>615395000</v>
      </c>
      <c r="D35" s="1127">
        <f t="shared" ref="D35:J35" si="12">SUM(D36:D37)</f>
        <v>615395000</v>
      </c>
      <c r="E35" s="1127">
        <f t="shared" si="12"/>
        <v>0</v>
      </c>
      <c r="F35" s="1127">
        <f t="shared" si="12"/>
        <v>0</v>
      </c>
      <c r="G35" s="1127">
        <f t="shared" si="12"/>
        <v>0</v>
      </c>
      <c r="H35" s="1127">
        <f t="shared" si="12"/>
        <v>0</v>
      </c>
      <c r="I35" s="1127">
        <f t="shared" ref="I35" si="13">SUM(I36:I37)</f>
        <v>0</v>
      </c>
      <c r="J35" s="1127">
        <v>0</v>
      </c>
      <c r="L35" s="317">
        <f>'2. sz.mell. '!C35+'3. sz.mell.'!C35+'4. sz.mell. '!C35+'5. sz.mell.'!C35</f>
        <v>615395000</v>
      </c>
      <c r="M35" s="318">
        <f t="shared" si="3"/>
        <v>0</v>
      </c>
    </row>
    <row r="36" spans="1:13" s="179" customFormat="1" ht="12.2" customHeight="1" thickBot="1" x14ac:dyDescent="0.25">
      <c r="A36" s="11" t="s">
        <v>196</v>
      </c>
      <c r="B36" s="181" t="s">
        <v>201</v>
      </c>
      <c r="C36" s="274">
        <f>SUM(D36:J36)</f>
        <v>109395000</v>
      </c>
      <c r="D36" s="246">
        <v>109395000</v>
      </c>
      <c r="E36" s="114"/>
      <c r="F36" s="114"/>
      <c r="G36" s="114"/>
      <c r="H36" s="114"/>
      <c r="I36" s="114"/>
      <c r="J36" s="114">
        <v>0</v>
      </c>
      <c r="L36" s="317">
        <f>'2. sz.mell. '!C36+'3. sz.mell.'!C36+'4. sz.mell. '!C36+'5. sz.mell.'!C36</f>
        <v>109395000</v>
      </c>
      <c r="M36" s="319">
        <f t="shared" si="3"/>
        <v>0</v>
      </c>
    </row>
    <row r="37" spans="1:13" s="179" customFormat="1" ht="12.2" customHeight="1" thickBot="1" x14ac:dyDescent="0.25">
      <c r="A37" s="11" t="s">
        <v>197</v>
      </c>
      <c r="B37" s="232" t="s">
        <v>553</v>
      </c>
      <c r="C37" s="273">
        <f>SUM(D37:J37)</f>
        <v>506000000</v>
      </c>
      <c r="D37" s="246">
        <v>506000000</v>
      </c>
      <c r="E37" s="114"/>
      <c r="F37" s="114"/>
      <c r="G37" s="114"/>
      <c r="H37" s="114"/>
      <c r="I37" s="114"/>
      <c r="J37" s="114">
        <v>0</v>
      </c>
      <c r="L37" s="317">
        <f>'2. sz.mell. '!C37+'3. sz.mell.'!C37+'4. sz.mell. '!C37+'5. sz.mell.'!C37</f>
        <v>506000000</v>
      </c>
      <c r="M37" s="319">
        <f t="shared" si="3"/>
        <v>0</v>
      </c>
    </row>
    <row r="38" spans="1:13" s="179" customFormat="1" ht="12.2" customHeight="1" thickBot="1" x14ac:dyDescent="0.25">
      <c r="A38" s="11" t="s">
        <v>198</v>
      </c>
      <c r="B38" s="181" t="s">
        <v>469</v>
      </c>
      <c r="C38" s="273">
        <f>SUM(D38:J38)</f>
        <v>0</v>
      </c>
      <c r="D38" s="246"/>
      <c r="E38" s="114"/>
      <c r="F38" s="114"/>
      <c r="G38" s="114"/>
      <c r="H38" s="114"/>
      <c r="I38" s="114"/>
      <c r="J38" s="114">
        <v>0</v>
      </c>
      <c r="L38" s="317">
        <f>'2. sz.mell. '!C38+'3. sz.mell.'!C38+'4. sz.mell. '!C38+'5. sz.mell.'!C38</f>
        <v>0</v>
      </c>
      <c r="M38" s="319">
        <f t="shared" si="3"/>
        <v>0</v>
      </c>
    </row>
    <row r="39" spans="1:13" s="179" customFormat="1" ht="12.2" customHeight="1" thickBot="1" x14ac:dyDescent="0.25">
      <c r="A39" s="11" t="s">
        <v>199</v>
      </c>
      <c r="B39" s="181" t="s">
        <v>203</v>
      </c>
      <c r="C39" s="273">
        <f>SUM(D39:J39)</f>
        <v>1000000</v>
      </c>
      <c r="D39" s="246">
        <f>1000000</f>
        <v>1000000</v>
      </c>
      <c r="E39" s="114"/>
      <c r="F39" s="114"/>
      <c r="G39" s="114"/>
      <c r="H39" s="114"/>
      <c r="I39" s="114"/>
      <c r="J39" s="114">
        <v>0</v>
      </c>
      <c r="L39" s="317">
        <f>'2. sz.mell. '!C39+'3. sz.mell.'!C39+'4. sz.mell. '!C39+'5. sz.mell.'!C39</f>
        <v>1000000</v>
      </c>
      <c r="M39" s="319">
        <f t="shared" si="3"/>
        <v>0</v>
      </c>
    </row>
    <row r="40" spans="1:13" s="179" customFormat="1" ht="12.2" customHeight="1" thickBot="1" x14ac:dyDescent="0.25">
      <c r="A40" s="13" t="s">
        <v>200</v>
      </c>
      <c r="B40" s="182" t="s">
        <v>204</v>
      </c>
      <c r="C40" s="384">
        <f t="shared" si="0"/>
        <v>22800000</v>
      </c>
      <c r="D40" s="249">
        <v>22800000</v>
      </c>
      <c r="E40" s="170"/>
      <c r="F40" s="170"/>
      <c r="G40" s="170"/>
      <c r="H40" s="170"/>
      <c r="I40" s="170"/>
      <c r="J40" s="170">
        <v>0</v>
      </c>
      <c r="L40" s="317">
        <f>'2. sz.mell. '!C40+'3. sz.mell.'!C40+'4. sz.mell. '!C40+'5. sz.mell.'!C40</f>
        <v>22800000</v>
      </c>
      <c r="M40" s="320">
        <f t="shared" si="3"/>
        <v>0</v>
      </c>
    </row>
    <row r="41" spans="1:13" s="179" customFormat="1" ht="12.2" customHeight="1" thickBot="1" x14ac:dyDescent="0.25">
      <c r="A41" s="17" t="s">
        <v>20</v>
      </c>
      <c r="B41" s="18" t="s">
        <v>387</v>
      </c>
      <c r="C41" s="115">
        <f>SUM(D41:J41)</f>
        <v>496802113</v>
      </c>
      <c r="D41" s="255">
        <f t="shared" ref="D41:J41" si="14">SUM(D42:D52)</f>
        <v>69235946</v>
      </c>
      <c r="E41" s="110">
        <f t="shared" si="14"/>
        <v>67558655</v>
      </c>
      <c r="F41" s="110">
        <f t="shared" si="14"/>
        <v>25413947</v>
      </c>
      <c r="G41" s="110">
        <f t="shared" si="14"/>
        <v>11504800</v>
      </c>
      <c r="H41" s="110">
        <f t="shared" si="14"/>
        <v>2787600</v>
      </c>
      <c r="I41" s="110">
        <f t="shared" ref="I41" si="15">SUM(I42:I52)</f>
        <v>260543980</v>
      </c>
      <c r="J41" s="110">
        <v>59757185</v>
      </c>
      <c r="L41" s="317">
        <f>'2. sz.mell. '!C41+'3. sz.mell.'!C41+'4. sz.mell. '!C41+'5. sz.mell.'!C41</f>
        <v>496802113</v>
      </c>
      <c r="M41" s="317">
        <f t="shared" si="3"/>
        <v>0</v>
      </c>
    </row>
    <row r="42" spans="1:13" s="179" customFormat="1" ht="12.2" customHeight="1" thickBot="1" x14ac:dyDescent="0.25">
      <c r="A42" s="12" t="s">
        <v>78</v>
      </c>
      <c r="B42" s="180" t="s">
        <v>207</v>
      </c>
      <c r="C42" s="383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  <c r="L42" s="317">
        <f>'2. sz.mell. '!C42+'3. sz.mell.'!C42+'4. sz.mell. '!C42+'5. sz.mell.'!C42</f>
        <v>0</v>
      </c>
      <c r="M42" s="318">
        <f t="shared" si="3"/>
        <v>0</v>
      </c>
    </row>
    <row r="43" spans="1:13" s="179" customFormat="1" ht="12.75" customHeight="1" thickBot="1" x14ac:dyDescent="0.25">
      <c r="A43" s="11" t="s">
        <v>79</v>
      </c>
      <c r="B43" s="181" t="s">
        <v>208</v>
      </c>
      <c r="C43" s="274">
        <f t="shared" si="0"/>
        <v>56469214</v>
      </c>
      <c r="D43" s="246">
        <v>20852803</v>
      </c>
      <c r="E43" s="114">
        <v>11050000</v>
      </c>
      <c r="F43" s="214">
        <v>600000</v>
      </c>
      <c r="G43" s="214">
        <v>9444093</v>
      </c>
      <c r="H43" s="214"/>
      <c r="I43" s="214">
        <v>14522318</v>
      </c>
      <c r="J43" s="214">
        <v>0</v>
      </c>
      <c r="L43" s="317">
        <f>'2. sz.mell. '!C43+'3. sz.mell.'!C43+'4. sz.mell. '!C43+'5. sz.mell.'!C43</f>
        <v>56469214</v>
      </c>
      <c r="M43" s="319">
        <f t="shared" si="3"/>
        <v>0</v>
      </c>
    </row>
    <row r="44" spans="1:13" s="179" customFormat="1" ht="12.2" customHeight="1" thickBot="1" x14ac:dyDescent="0.25">
      <c r="A44" s="11" t="s">
        <v>80</v>
      </c>
      <c r="B44" s="181" t="s">
        <v>209</v>
      </c>
      <c r="C44" s="274">
        <f t="shared" ref="C44:C94" si="16">SUM(D44:J44)</f>
        <v>61126394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10326000</v>
      </c>
      <c r="J44" s="214">
        <v>1300300</v>
      </c>
      <c r="L44" s="317">
        <f>'2. sz.mell. '!C44+'3. sz.mell.'!C44+'4. sz.mell. '!C44+'5. sz.mell.'!C44</f>
        <v>61126394</v>
      </c>
      <c r="M44" s="319">
        <f t="shared" si="3"/>
        <v>0</v>
      </c>
    </row>
    <row r="45" spans="1:13" s="179" customFormat="1" ht="12.2" customHeight="1" thickBot="1" x14ac:dyDescent="0.25">
      <c r="A45" s="11" t="s">
        <v>126</v>
      </c>
      <c r="B45" s="181" t="s">
        <v>210</v>
      </c>
      <c r="C45" s="274">
        <f t="shared" si="16"/>
        <v>3700000</v>
      </c>
      <c r="D45" s="246">
        <v>3700000</v>
      </c>
      <c r="E45" s="114"/>
      <c r="F45" s="214"/>
      <c r="G45" s="214"/>
      <c r="H45" s="214"/>
      <c r="I45" s="214"/>
      <c r="J45" s="214">
        <v>0</v>
      </c>
      <c r="L45" s="317">
        <f>'2. sz.mell. '!C45+'3. sz.mell.'!C45+'4. sz.mell. '!C45+'5. sz.mell.'!C45</f>
        <v>3700000</v>
      </c>
      <c r="M45" s="319">
        <f t="shared" si="3"/>
        <v>0</v>
      </c>
    </row>
    <row r="46" spans="1:13" s="179" customFormat="1" ht="12.2" customHeight="1" thickBot="1" x14ac:dyDescent="0.25">
      <c r="A46" s="11" t="s">
        <v>127</v>
      </c>
      <c r="B46" s="181" t="s">
        <v>211</v>
      </c>
      <c r="C46" s="274">
        <f>SUM(D46:J46)</f>
        <v>266344271</v>
      </c>
      <c r="D46" s="246"/>
      <c r="E46" s="114">
        <v>25007525</v>
      </c>
      <c r="F46" s="214">
        <v>567600</v>
      </c>
      <c r="G46" s="214"/>
      <c r="H46" s="214">
        <v>2787600</v>
      </c>
      <c r="I46" s="214">
        <v>231540816</v>
      </c>
      <c r="J46" s="214">
        <v>6440730</v>
      </c>
      <c r="L46" s="317">
        <f>'2. sz.mell. '!C46+'3. sz.mell.'!C46+'4. sz.mell. '!C46+'5. sz.mell.'!C46</f>
        <v>266344271</v>
      </c>
      <c r="M46" s="319">
        <f t="shared" si="3"/>
        <v>0</v>
      </c>
    </row>
    <row r="47" spans="1:13" s="179" customFormat="1" ht="12.2" customHeight="1" thickBot="1" x14ac:dyDescent="0.25">
      <c r="A47" s="11" t="s">
        <v>128</v>
      </c>
      <c r="B47" s="181" t="s">
        <v>212</v>
      </c>
      <c r="C47" s="274">
        <f t="shared" si="16"/>
        <v>45592274</v>
      </c>
      <c r="D47" s="246">
        <v>21841670</v>
      </c>
      <c r="E47" s="114">
        <v>10084134</v>
      </c>
      <c r="F47" s="214">
        <v>5400839</v>
      </c>
      <c r="G47" s="214">
        <v>2020707</v>
      </c>
      <c r="H47" s="214"/>
      <c r="I47" s="214">
        <v>4154846</v>
      </c>
      <c r="J47" s="214">
        <v>2090078</v>
      </c>
      <c r="L47" s="317">
        <f>'2. sz.mell. '!C47+'3. sz.mell.'!C47+'4. sz.mell. '!C47+'5. sz.mell.'!C47</f>
        <v>45592274</v>
      </c>
      <c r="M47" s="319">
        <f t="shared" si="3"/>
        <v>0</v>
      </c>
    </row>
    <row r="48" spans="1:13" s="179" customFormat="1" ht="12.2" customHeight="1" thickBot="1" x14ac:dyDescent="0.25">
      <c r="A48" s="11" t="s">
        <v>129</v>
      </c>
      <c r="B48" s="181" t="s">
        <v>213</v>
      </c>
      <c r="C48" s="274">
        <f t="shared" si="16"/>
        <v>34436111</v>
      </c>
      <c r="D48" s="246">
        <v>2808000</v>
      </c>
      <c r="E48" s="114">
        <v>10125883</v>
      </c>
      <c r="F48" s="214"/>
      <c r="G48" s="214"/>
      <c r="H48" s="214"/>
      <c r="I48" s="214"/>
      <c r="J48" s="214">
        <v>21502228</v>
      </c>
      <c r="L48" s="317">
        <f>'2. sz.mell. '!C48+'3. sz.mell.'!C48+'4. sz.mell. '!C48+'5. sz.mell.'!C48</f>
        <v>34436111</v>
      </c>
      <c r="M48" s="319">
        <f t="shared" si="3"/>
        <v>0</v>
      </c>
    </row>
    <row r="49" spans="1:13" s="179" customFormat="1" ht="12.2" customHeight="1" thickBot="1" x14ac:dyDescent="0.25">
      <c r="A49" s="11" t="s">
        <v>130</v>
      </c>
      <c r="B49" s="181" t="s">
        <v>474</v>
      </c>
      <c r="C49" s="274">
        <f t="shared" si="16"/>
        <v>0</v>
      </c>
      <c r="D49" s="246"/>
      <c r="E49" s="114"/>
      <c r="F49" s="214"/>
      <c r="G49" s="214"/>
      <c r="H49" s="214"/>
      <c r="I49" s="214"/>
      <c r="J49" s="214">
        <v>0</v>
      </c>
      <c r="L49" s="317">
        <f>'2. sz.mell. '!C49+'3. sz.mell.'!C49+'4. sz.mell. '!C49+'5. sz.mell.'!C49</f>
        <v>0</v>
      </c>
      <c r="M49" s="319">
        <f t="shared" si="3"/>
        <v>0</v>
      </c>
    </row>
    <row r="50" spans="1:13" s="179" customFormat="1" ht="12.2" customHeight="1" thickBot="1" x14ac:dyDescent="0.25">
      <c r="A50" s="11" t="s">
        <v>205</v>
      </c>
      <c r="B50" s="181" t="s">
        <v>215</v>
      </c>
      <c r="C50" s="274">
        <f t="shared" si="16"/>
        <v>0</v>
      </c>
      <c r="D50" s="246"/>
      <c r="E50" s="114"/>
      <c r="F50" s="214"/>
      <c r="G50" s="214"/>
      <c r="H50" s="214"/>
      <c r="I50" s="214"/>
      <c r="J50" s="214">
        <v>0</v>
      </c>
      <c r="L50" s="317">
        <f>'2. sz.mell. '!C50+'3. sz.mell.'!C50+'4. sz.mell. '!C50+'5. sz.mell.'!C50</f>
        <v>0</v>
      </c>
      <c r="M50" s="319">
        <f t="shared" si="3"/>
        <v>0</v>
      </c>
    </row>
    <row r="51" spans="1:13" s="179" customFormat="1" ht="12.2" customHeight="1" thickBot="1" x14ac:dyDescent="0.25">
      <c r="A51" s="13" t="s">
        <v>206</v>
      </c>
      <c r="B51" s="182" t="s">
        <v>388</v>
      </c>
      <c r="C51" s="274">
        <f t="shared" si="16"/>
        <v>0</v>
      </c>
      <c r="D51" s="249"/>
      <c r="E51" s="170"/>
      <c r="F51" s="214"/>
      <c r="G51" s="214"/>
      <c r="H51" s="214"/>
      <c r="I51" s="214"/>
      <c r="J51" s="214">
        <v>0</v>
      </c>
      <c r="L51" s="317">
        <f>'2. sz.mell. '!C51+'3. sz.mell.'!C51+'4. sz.mell. '!C51+'5. sz.mell.'!C51</f>
        <v>0</v>
      </c>
      <c r="M51" s="319">
        <f t="shared" si="3"/>
        <v>0</v>
      </c>
    </row>
    <row r="52" spans="1:13" s="179" customFormat="1" ht="12.2" customHeight="1" thickBot="1" x14ac:dyDescent="0.25">
      <c r="A52" s="13" t="s">
        <v>389</v>
      </c>
      <c r="B52" s="107" t="s">
        <v>216</v>
      </c>
      <c r="C52" s="384">
        <f t="shared" si="16"/>
        <v>29133849</v>
      </c>
      <c r="D52" s="249">
        <v>600000</v>
      </c>
      <c r="E52" s="170">
        <v>100000</v>
      </c>
      <c r="F52" s="214">
        <v>10000</v>
      </c>
      <c r="G52" s="214"/>
      <c r="H52" s="214"/>
      <c r="I52" s="214"/>
      <c r="J52" s="214">
        <v>28423849</v>
      </c>
      <c r="L52" s="317">
        <f>'2. sz.mell. '!C52+'3. sz.mell.'!C52+'4. sz.mell. '!C52+'5. sz.mell.'!C52</f>
        <v>29133849</v>
      </c>
      <c r="M52" s="320">
        <f t="shared" si="3"/>
        <v>0</v>
      </c>
    </row>
    <row r="53" spans="1:13" s="179" customFormat="1" ht="12.2" customHeight="1" thickBot="1" x14ac:dyDescent="0.25">
      <c r="A53" s="17" t="s">
        <v>21</v>
      </c>
      <c r="B53" s="18" t="s">
        <v>217</v>
      </c>
      <c r="C53" s="115">
        <f t="shared" si="16"/>
        <v>60500000</v>
      </c>
      <c r="D53" s="255">
        <f t="shared" ref="D53:J53" si="17">SUM(D54:D58)</f>
        <v>60500000</v>
      </c>
      <c r="E53" s="110">
        <f t="shared" si="17"/>
        <v>0</v>
      </c>
      <c r="F53" s="110">
        <f t="shared" si="17"/>
        <v>0</v>
      </c>
      <c r="G53" s="110">
        <f t="shared" si="17"/>
        <v>0</v>
      </c>
      <c r="H53" s="110">
        <f t="shared" si="17"/>
        <v>0</v>
      </c>
      <c r="I53" s="110">
        <f t="shared" ref="I53" si="18">SUM(I54:I58)</f>
        <v>0</v>
      </c>
      <c r="J53" s="110">
        <v>0</v>
      </c>
      <c r="L53" s="317">
        <f>'2. sz.mell. '!C53+'3. sz.mell.'!C53+'4. sz.mell. '!C53+'5. sz.mell.'!C53</f>
        <v>60500000</v>
      </c>
      <c r="M53" s="317">
        <f t="shared" si="3"/>
        <v>0</v>
      </c>
    </row>
    <row r="54" spans="1:13" s="179" customFormat="1" ht="12.2" customHeight="1" thickBot="1" x14ac:dyDescent="0.25">
      <c r="A54" s="12" t="s">
        <v>81</v>
      </c>
      <c r="B54" s="180" t="s">
        <v>221</v>
      </c>
      <c r="C54" s="383">
        <f t="shared" si="16"/>
        <v>0</v>
      </c>
      <c r="D54" s="655"/>
      <c r="E54" s="214"/>
      <c r="F54" s="214"/>
      <c r="G54" s="214"/>
      <c r="H54" s="214"/>
      <c r="I54" s="214"/>
      <c r="J54" s="214">
        <v>0</v>
      </c>
      <c r="L54" s="317">
        <f>'2. sz.mell. '!C54+'3. sz.mell.'!C54+'4. sz.mell. '!C54+'5. sz.mell.'!C54</f>
        <v>0</v>
      </c>
      <c r="M54" s="318">
        <f t="shared" si="3"/>
        <v>0</v>
      </c>
    </row>
    <row r="55" spans="1:13" s="179" customFormat="1" ht="12.2" customHeight="1" thickBot="1" x14ac:dyDescent="0.25">
      <c r="A55" s="11" t="s">
        <v>82</v>
      </c>
      <c r="B55" s="181" t="s">
        <v>222</v>
      </c>
      <c r="C55" s="274">
        <f t="shared" si="16"/>
        <v>60500000</v>
      </c>
      <c r="D55" s="246">
        <v>60500000</v>
      </c>
      <c r="E55" s="114"/>
      <c r="F55" s="114"/>
      <c r="G55" s="114"/>
      <c r="H55" s="114"/>
      <c r="I55" s="114"/>
      <c r="J55" s="114">
        <v>0</v>
      </c>
      <c r="L55" s="317">
        <f>'2. sz.mell. '!C55+'3. sz.mell.'!C55+'4. sz.mell. '!C55+'5. sz.mell.'!C55</f>
        <v>60500000</v>
      </c>
      <c r="M55" s="319">
        <f t="shared" si="3"/>
        <v>0</v>
      </c>
    </row>
    <row r="56" spans="1:13" s="179" customFormat="1" ht="12.2" customHeight="1" thickBot="1" x14ac:dyDescent="0.25">
      <c r="A56" s="11" t="s">
        <v>218</v>
      </c>
      <c r="B56" s="181" t="s">
        <v>223</v>
      </c>
      <c r="C56" s="274">
        <f t="shared" si="16"/>
        <v>0</v>
      </c>
      <c r="D56" s="246"/>
      <c r="E56" s="114"/>
      <c r="F56" s="114"/>
      <c r="G56" s="114"/>
      <c r="H56" s="114"/>
      <c r="I56" s="114"/>
      <c r="J56" s="114">
        <v>0</v>
      </c>
      <c r="L56" s="317">
        <f>'2. sz.mell. '!C56+'3. sz.mell.'!C56+'4. sz.mell. '!C56+'5. sz.mell.'!C56</f>
        <v>0</v>
      </c>
      <c r="M56" s="319">
        <f t="shared" si="3"/>
        <v>0</v>
      </c>
    </row>
    <row r="57" spans="1:13" s="179" customFormat="1" ht="12.2" customHeight="1" thickBot="1" x14ac:dyDescent="0.25">
      <c r="A57" s="11" t="s">
        <v>219</v>
      </c>
      <c r="B57" s="181" t="s">
        <v>224</v>
      </c>
      <c r="C57" s="274">
        <f t="shared" si="16"/>
        <v>0</v>
      </c>
      <c r="D57" s="246"/>
      <c r="E57" s="114"/>
      <c r="F57" s="114"/>
      <c r="G57" s="114"/>
      <c r="H57" s="114"/>
      <c r="I57" s="114"/>
      <c r="J57" s="114">
        <v>0</v>
      </c>
      <c r="L57" s="317">
        <f>'2. sz.mell. '!C57+'3. sz.mell.'!C57+'4. sz.mell. '!C57+'5. sz.mell.'!C57</f>
        <v>0</v>
      </c>
      <c r="M57" s="319">
        <f t="shared" si="3"/>
        <v>0</v>
      </c>
    </row>
    <row r="58" spans="1:13" s="179" customFormat="1" ht="12.2" customHeight="1" thickBot="1" x14ac:dyDescent="0.25">
      <c r="A58" s="13" t="s">
        <v>220</v>
      </c>
      <c r="B58" s="107" t="s">
        <v>225</v>
      </c>
      <c r="C58" s="384">
        <f t="shared" si="16"/>
        <v>0</v>
      </c>
      <c r="D58" s="249"/>
      <c r="E58" s="170"/>
      <c r="F58" s="170"/>
      <c r="G58" s="170"/>
      <c r="H58" s="170"/>
      <c r="I58" s="170"/>
      <c r="J58" s="170">
        <v>0</v>
      </c>
      <c r="L58" s="317">
        <f>'2. sz.mell. '!C58+'3. sz.mell.'!C58+'4. sz.mell. '!C58+'5. sz.mell.'!C58</f>
        <v>0</v>
      </c>
      <c r="M58" s="320">
        <f t="shared" si="3"/>
        <v>0</v>
      </c>
    </row>
    <row r="59" spans="1:13" s="179" customFormat="1" ht="12.2" customHeight="1" thickBot="1" x14ac:dyDescent="0.25">
      <c r="A59" s="17" t="s">
        <v>131</v>
      </c>
      <c r="B59" s="362" t="s">
        <v>226</v>
      </c>
      <c r="C59" s="448">
        <f t="shared" si="16"/>
        <v>1200000</v>
      </c>
      <c r="D59" s="255">
        <f t="shared" ref="D59:J59" si="19">SUM(D60:D62)</f>
        <v>1200000</v>
      </c>
      <c r="E59" s="110">
        <f t="shared" si="19"/>
        <v>0</v>
      </c>
      <c r="F59" s="110">
        <f t="shared" si="19"/>
        <v>0</v>
      </c>
      <c r="G59" s="110">
        <f t="shared" si="19"/>
        <v>0</v>
      </c>
      <c r="H59" s="110">
        <f t="shared" si="19"/>
        <v>0</v>
      </c>
      <c r="I59" s="110">
        <f t="shared" ref="I59" si="20">SUM(I60:I62)</f>
        <v>0</v>
      </c>
      <c r="J59" s="110">
        <v>0</v>
      </c>
      <c r="L59" s="317">
        <f>'2. sz.mell. '!C59+'3. sz.mell.'!C59+'4. sz.mell. '!C59+'5. sz.mell.'!C59</f>
        <v>1200000</v>
      </c>
      <c r="M59" s="317">
        <f t="shared" si="3"/>
        <v>0</v>
      </c>
    </row>
    <row r="60" spans="1:13" s="179" customFormat="1" ht="12.2" customHeight="1" thickBot="1" x14ac:dyDescent="0.25">
      <c r="A60" s="12" t="s">
        <v>83</v>
      </c>
      <c r="B60" s="180" t="s">
        <v>227</v>
      </c>
      <c r="C60" s="273">
        <f t="shared" si="16"/>
        <v>1000000</v>
      </c>
      <c r="D60" s="655">
        <v>1000000</v>
      </c>
      <c r="E60" s="214"/>
      <c r="F60" s="214"/>
      <c r="G60" s="214"/>
      <c r="H60" s="214"/>
      <c r="I60" s="214"/>
      <c r="J60" s="214">
        <v>0</v>
      </c>
      <c r="L60" s="317">
        <f>'2. sz.mell. '!C60+'3. sz.mell.'!C60+'4. sz.mell. '!C60+'5. sz.mell.'!C60</f>
        <v>1000000</v>
      </c>
      <c r="M60" s="318">
        <f t="shared" si="3"/>
        <v>0</v>
      </c>
    </row>
    <row r="61" spans="1:13" s="179" customFormat="1" ht="12.2" customHeight="1" thickBot="1" x14ac:dyDescent="0.25">
      <c r="A61" s="11" t="s">
        <v>84</v>
      </c>
      <c r="B61" s="181" t="s">
        <v>356</v>
      </c>
      <c r="C61" s="274">
        <f t="shared" si="16"/>
        <v>200000</v>
      </c>
      <c r="D61" s="246">
        <v>200000</v>
      </c>
      <c r="E61" s="114"/>
      <c r="F61" s="114"/>
      <c r="G61" s="114"/>
      <c r="H61" s="114"/>
      <c r="I61" s="114"/>
      <c r="J61" s="114">
        <v>0</v>
      </c>
      <c r="L61" s="317">
        <f>'2. sz.mell. '!C61+'3. sz.mell.'!C61+'4. sz.mell. '!C61+'5. sz.mell.'!C61</f>
        <v>200000</v>
      </c>
      <c r="M61" s="319">
        <f t="shared" si="3"/>
        <v>0</v>
      </c>
    </row>
    <row r="62" spans="1:13" s="179" customFormat="1" ht="12.2" customHeight="1" thickBot="1" x14ac:dyDescent="0.25">
      <c r="A62" s="11" t="s">
        <v>230</v>
      </c>
      <c r="B62" s="181" t="s">
        <v>228</v>
      </c>
      <c r="C62" s="274">
        <f t="shared" si="16"/>
        <v>0</v>
      </c>
      <c r="D62" s="246"/>
      <c r="E62" s="114"/>
      <c r="F62" s="114"/>
      <c r="G62" s="114"/>
      <c r="H62" s="114"/>
      <c r="I62" s="114"/>
      <c r="J62" s="114">
        <v>0</v>
      </c>
      <c r="L62" s="317">
        <f>'2. sz.mell. '!C62+'3. sz.mell.'!C62+'4. sz.mell. '!C62+'5. sz.mell.'!C62</f>
        <v>0</v>
      </c>
      <c r="M62" s="319">
        <f t="shared" si="3"/>
        <v>0</v>
      </c>
    </row>
    <row r="63" spans="1:13" s="179" customFormat="1" ht="12.2" customHeight="1" thickBot="1" x14ac:dyDescent="0.25">
      <c r="A63" s="13" t="s">
        <v>231</v>
      </c>
      <c r="B63" s="107" t="s">
        <v>229</v>
      </c>
      <c r="C63" s="384">
        <f t="shared" si="16"/>
        <v>0</v>
      </c>
      <c r="D63" s="249"/>
      <c r="E63" s="170"/>
      <c r="F63" s="170"/>
      <c r="G63" s="170"/>
      <c r="H63" s="170"/>
      <c r="I63" s="170"/>
      <c r="J63" s="170">
        <v>0</v>
      </c>
      <c r="L63" s="317">
        <f>'2. sz.mell. '!C63+'3. sz.mell.'!C63+'4. sz.mell. '!C63+'5. sz.mell.'!C63</f>
        <v>0</v>
      </c>
      <c r="M63" s="320">
        <f t="shared" si="3"/>
        <v>0</v>
      </c>
    </row>
    <row r="64" spans="1:13" s="179" customFormat="1" ht="12.2" customHeight="1" thickBot="1" x14ac:dyDescent="0.25">
      <c r="A64" s="17" t="s">
        <v>23</v>
      </c>
      <c r="B64" s="105" t="s">
        <v>232</v>
      </c>
      <c r="C64" s="115">
        <f t="shared" si="16"/>
        <v>0</v>
      </c>
      <c r="D64" s="255">
        <f t="shared" ref="D64:J64" si="21">SUM(D65:D67)</f>
        <v>0</v>
      </c>
      <c r="E64" s="110">
        <f t="shared" si="21"/>
        <v>0</v>
      </c>
      <c r="F64" s="110">
        <f t="shared" si="21"/>
        <v>0</v>
      </c>
      <c r="G64" s="110">
        <f t="shared" si="21"/>
        <v>0</v>
      </c>
      <c r="H64" s="110">
        <f t="shared" si="21"/>
        <v>0</v>
      </c>
      <c r="I64" s="110">
        <f t="shared" ref="I64" si="22">SUM(I65:I67)</f>
        <v>0</v>
      </c>
      <c r="J64" s="110">
        <v>0</v>
      </c>
      <c r="L64" s="317">
        <f>'2. sz.mell. '!C64+'3. sz.mell.'!C64+'4. sz.mell. '!C64+'5. sz.mell.'!C64</f>
        <v>0</v>
      </c>
      <c r="M64" s="317">
        <f t="shared" si="3"/>
        <v>0</v>
      </c>
    </row>
    <row r="65" spans="1:13" s="179" customFormat="1" ht="12.2" customHeight="1" thickBot="1" x14ac:dyDescent="0.25">
      <c r="A65" s="12" t="s">
        <v>132</v>
      </c>
      <c r="B65" s="180" t="s">
        <v>234</v>
      </c>
      <c r="C65" s="383">
        <f t="shared" si="16"/>
        <v>0</v>
      </c>
      <c r="D65" s="246"/>
      <c r="E65" s="114"/>
      <c r="F65" s="114"/>
      <c r="G65" s="114"/>
      <c r="H65" s="114"/>
      <c r="I65" s="114"/>
      <c r="J65" s="114">
        <v>0</v>
      </c>
      <c r="L65" s="317">
        <f>'2. sz.mell. '!C65+'3. sz.mell.'!C65+'4. sz.mell. '!C65+'5. sz.mell.'!C65</f>
        <v>0</v>
      </c>
      <c r="M65" s="318">
        <f t="shared" si="3"/>
        <v>0</v>
      </c>
    </row>
    <row r="66" spans="1:13" s="179" customFormat="1" ht="12.2" customHeight="1" thickBot="1" x14ac:dyDescent="0.25">
      <c r="A66" s="11" t="s">
        <v>133</v>
      </c>
      <c r="B66" s="181" t="s">
        <v>357</v>
      </c>
      <c r="C66" s="274">
        <f t="shared" si="16"/>
        <v>0</v>
      </c>
      <c r="D66" s="246"/>
      <c r="E66" s="114"/>
      <c r="F66" s="114"/>
      <c r="G66" s="114"/>
      <c r="H66" s="114"/>
      <c r="I66" s="114"/>
      <c r="J66" s="114">
        <v>0</v>
      </c>
      <c r="L66" s="317">
        <f>'2. sz.mell. '!C66+'3. sz.mell.'!C66+'4. sz.mell. '!C66+'5. sz.mell.'!C66</f>
        <v>0</v>
      </c>
      <c r="M66" s="319">
        <f t="shared" si="3"/>
        <v>0</v>
      </c>
    </row>
    <row r="67" spans="1:13" s="179" customFormat="1" ht="12.2" customHeight="1" thickBot="1" x14ac:dyDescent="0.25">
      <c r="A67" s="11" t="s">
        <v>158</v>
      </c>
      <c r="B67" s="181" t="s">
        <v>235</v>
      </c>
      <c r="C67" s="274">
        <f t="shared" si="16"/>
        <v>0</v>
      </c>
      <c r="D67" s="246"/>
      <c r="E67" s="114"/>
      <c r="F67" s="114"/>
      <c r="G67" s="114"/>
      <c r="H67" s="114"/>
      <c r="I67" s="114"/>
      <c r="J67" s="114">
        <v>0</v>
      </c>
      <c r="L67" s="317">
        <f>'2. sz.mell. '!C67+'3. sz.mell.'!C67+'4. sz.mell. '!C67+'5. sz.mell.'!C67</f>
        <v>0</v>
      </c>
      <c r="M67" s="319">
        <f t="shared" si="3"/>
        <v>0</v>
      </c>
    </row>
    <row r="68" spans="1:13" s="179" customFormat="1" ht="12.2" customHeight="1" thickBot="1" x14ac:dyDescent="0.25">
      <c r="A68" s="13" t="s">
        <v>233</v>
      </c>
      <c r="B68" s="107" t="s">
        <v>236</v>
      </c>
      <c r="C68" s="384">
        <f t="shared" si="16"/>
        <v>0</v>
      </c>
      <c r="D68" s="246"/>
      <c r="E68" s="114"/>
      <c r="F68" s="114"/>
      <c r="G68" s="114"/>
      <c r="H68" s="114"/>
      <c r="I68" s="114"/>
      <c r="J68" s="114">
        <v>0</v>
      </c>
      <c r="L68" s="317">
        <f>'2. sz.mell. '!C68+'3. sz.mell.'!C68+'4. sz.mell. '!C68+'5. sz.mell.'!C68</f>
        <v>0</v>
      </c>
      <c r="M68" s="320">
        <f t="shared" si="3"/>
        <v>0</v>
      </c>
    </row>
    <row r="69" spans="1:13" s="179" customFormat="1" ht="12.2" customHeight="1" thickBot="1" x14ac:dyDescent="0.25">
      <c r="A69" s="233" t="s">
        <v>390</v>
      </c>
      <c r="B69" s="18" t="s">
        <v>237</v>
      </c>
      <c r="C69" s="115">
        <f t="shared" si="16"/>
        <v>4363482756</v>
      </c>
      <c r="D69" s="257">
        <f t="shared" ref="D69:J69" si="23">+D11+D20+D27+D34+D41+D53+D59+D64</f>
        <v>3331301036</v>
      </c>
      <c r="E69" s="115">
        <f t="shared" si="23"/>
        <v>67558655</v>
      </c>
      <c r="F69" s="115">
        <f t="shared" si="23"/>
        <v>25413947</v>
      </c>
      <c r="G69" s="115">
        <f t="shared" si="23"/>
        <v>14474400</v>
      </c>
      <c r="H69" s="115">
        <f t="shared" si="23"/>
        <v>2787600</v>
      </c>
      <c r="I69" s="115">
        <f t="shared" ref="I69" si="24">+I11+I20+I27+I34+I41+I53+I59+I64</f>
        <v>488556893</v>
      </c>
      <c r="J69" s="115">
        <v>433390225</v>
      </c>
      <c r="L69" s="317">
        <f>'2. sz.mell. '!C69+'3. sz.mell.'!C69+'4. sz.mell. '!C69+'5. sz.mell.'!C69</f>
        <v>4363482756</v>
      </c>
      <c r="M69" s="317">
        <f t="shared" si="3"/>
        <v>0</v>
      </c>
    </row>
    <row r="70" spans="1:13" s="179" customFormat="1" ht="12.2" customHeight="1" thickBot="1" x14ac:dyDescent="0.25">
      <c r="A70" s="234" t="s">
        <v>238</v>
      </c>
      <c r="B70" s="105" t="s">
        <v>239</v>
      </c>
      <c r="C70" s="115">
        <f t="shared" si="16"/>
        <v>1254058824</v>
      </c>
      <c r="D70" s="255">
        <f t="shared" ref="D70:J70" si="25">SUM(D71:D73)</f>
        <v>1254058824</v>
      </c>
      <c r="E70" s="110">
        <f t="shared" si="25"/>
        <v>0</v>
      </c>
      <c r="F70" s="110">
        <f t="shared" si="25"/>
        <v>0</v>
      </c>
      <c r="G70" s="110">
        <f t="shared" si="25"/>
        <v>0</v>
      </c>
      <c r="H70" s="110">
        <f t="shared" si="25"/>
        <v>0</v>
      </c>
      <c r="I70" s="110">
        <f t="shared" ref="I70" si="26">SUM(I71:I73)</f>
        <v>0</v>
      </c>
      <c r="J70" s="110">
        <v>0</v>
      </c>
      <c r="L70" s="317">
        <f>'2. sz.mell. '!C70+'3. sz.mell.'!C70+'4. sz.mell. '!C70+'5. sz.mell.'!C70</f>
        <v>1254058824</v>
      </c>
      <c r="M70" s="317">
        <f t="shared" si="3"/>
        <v>0</v>
      </c>
    </row>
    <row r="71" spans="1:13" s="179" customFormat="1" ht="12.2" customHeight="1" thickBot="1" x14ac:dyDescent="0.25">
      <c r="A71" s="12" t="s">
        <v>270</v>
      </c>
      <c r="B71" s="180" t="s">
        <v>240</v>
      </c>
      <c r="C71" s="383">
        <f t="shared" si="16"/>
        <v>154058824</v>
      </c>
      <c r="D71" s="246">
        <v>154058824</v>
      </c>
      <c r="E71" s="114"/>
      <c r="F71" s="114"/>
      <c r="G71" s="114"/>
      <c r="H71" s="114"/>
      <c r="I71" s="114"/>
      <c r="J71" s="114">
        <v>0</v>
      </c>
      <c r="L71" s="317">
        <f>'2. sz.mell. '!C71+'3. sz.mell.'!C71+'4. sz.mell. '!C71+'5. sz.mell.'!C71</f>
        <v>154058824</v>
      </c>
      <c r="M71" s="318">
        <f t="shared" si="3"/>
        <v>0</v>
      </c>
    </row>
    <row r="72" spans="1:13" s="179" customFormat="1" ht="12.2" customHeight="1" thickBot="1" x14ac:dyDescent="0.25">
      <c r="A72" s="11" t="s">
        <v>279</v>
      </c>
      <c r="B72" s="181" t="s">
        <v>241</v>
      </c>
      <c r="C72" s="274">
        <f t="shared" si="16"/>
        <v>1100000000</v>
      </c>
      <c r="D72" s="246">
        <v>1100000000</v>
      </c>
      <c r="E72" s="114"/>
      <c r="F72" s="114"/>
      <c r="G72" s="114"/>
      <c r="H72" s="114"/>
      <c r="I72" s="114"/>
      <c r="J72" s="114">
        <v>0</v>
      </c>
      <c r="L72" s="317">
        <f>'2. sz.mell. '!C72+'3. sz.mell.'!C72+'4. sz.mell. '!C72+'5. sz.mell.'!C72</f>
        <v>1100000000</v>
      </c>
      <c r="M72" s="319">
        <f t="shared" si="3"/>
        <v>0</v>
      </c>
    </row>
    <row r="73" spans="1:13" s="179" customFormat="1" ht="12.2" customHeight="1" thickBot="1" x14ac:dyDescent="0.25">
      <c r="A73" s="13" t="s">
        <v>280</v>
      </c>
      <c r="B73" s="235" t="s">
        <v>391</v>
      </c>
      <c r="C73" s="384">
        <f t="shared" si="16"/>
        <v>0</v>
      </c>
      <c r="D73" s="246"/>
      <c r="E73" s="114"/>
      <c r="F73" s="114"/>
      <c r="G73" s="114"/>
      <c r="H73" s="114"/>
      <c r="I73" s="114"/>
      <c r="J73" s="114">
        <v>0</v>
      </c>
      <c r="L73" s="317">
        <f>'2. sz.mell. '!C73+'3. sz.mell.'!C73+'4. sz.mell. '!C73+'5. sz.mell.'!C73</f>
        <v>0</v>
      </c>
      <c r="M73" s="320">
        <f t="shared" si="3"/>
        <v>0</v>
      </c>
    </row>
    <row r="74" spans="1:13" s="179" customFormat="1" ht="12.2" customHeight="1" thickBot="1" x14ac:dyDescent="0.25">
      <c r="A74" s="234" t="s">
        <v>243</v>
      </c>
      <c r="B74" s="105" t="s">
        <v>244</v>
      </c>
      <c r="C74" s="115">
        <f t="shared" si="16"/>
        <v>0</v>
      </c>
      <c r="D74" s="255">
        <f t="shared" ref="D74:J74" si="27">SUM(D75:D78)</f>
        <v>0</v>
      </c>
      <c r="E74" s="110">
        <f t="shared" si="27"/>
        <v>0</v>
      </c>
      <c r="F74" s="110">
        <f t="shared" si="27"/>
        <v>0</v>
      </c>
      <c r="G74" s="110">
        <f t="shared" si="27"/>
        <v>0</v>
      </c>
      <c r="H74" s="110">
        <f t="shared" si="27"/>
        <v>0</v>
      </c>
      <c r="I74" s="110">
        <f t="shared" ref="I74" si="28">SUM(I75:I78)</f>
        <v>0</v>
      </c>
      <c r="J74" s="110">
        <v>0</v>
      </c>
      <c r="L74" s="317">
        <f>'2. sz.mell. '!C74+'3. sz.mell.'!C74+'4. sz.mell. '!C74+'5. sz.mell.'!C74</f>
        <v>0</v>
      </c>
      <c r="M74" s="317">
        <f t="shared" si="3"/>
        <v>0</v>
      </c>
    </row>
    <row r="75" spans="1:13" s="179" customFormat="1" ht="12.2" customHeight="1" thickBot="1" x14ac:dyDescent="0.25">
      <c r="A75" s="12" t="s">
        <v>112</v>
      </c>
      <c r="B75" s="180" t="s">
        <v>245</v>
      </c>
      <c r="C75" s="383">
        <f t="shared" si="16"/>
        <v>0</v>
      </c>
      <c r="D75" s="246"/>
      <c r="E75" s="114"/>
      <c r="F75" s="114"/>
      <c r="G75" s="114"/>
      <c r="H75" s="114"/>
      <c r="I75" s="114"/>
      <c r="J75" s="114">
        <v>0</v>
      </c>
      <c r="L75" s="317">
        <f>'2. sz.mell. '!C75+'3. sz.mell.'!C75+'4. sz.mell. '!C75+'5. sz.mell.'!C75</f>
        <v>0</v>
      </c>
      <c r="M75" s="318">
        <f t="shared" si="3"/>
        <v>0</v>
      </c>
    </row>
    <row r="76" spans="1:13" s="179" customFormat="1" ht="12.2" customHeight="1" thickBot="1" x14ac:dyDescent="0.25">
      <c r="A76" s="11" t="s">
        <v>113</v>
      </c>
      <c r="B76" s="181" t="s">
        <v>725</v>
      </c>
      <c r="C76" s="274">
        <f t="shared" si="16"/>
        <v>0</v>
      </c>
      <c r="D76" s="246"/>
      <c r="E76" s="114"/>
      <c r="F76" s="114"/>
      <c r="G76" s="114"/>
      <c r="H76" s="114"/>
      <c r="I76" s="114"/>
      <c r="J76" s="114">
        <v>0</v>
      </c>
      <c r="L76" s="317">
        <f>'2. sz.mell. '!C76+'3. sz.mell.'!C76+'4. sz.mell. '!C76+'5. sz.mell.'!C76</f>
        <v>0</v>
      </c>
      <c r="M76" s="319">
        <f t="shared" ref="M76:M94" si="29">C76-L76</f>
        <v>0</v>
      </c>
    </row>
    <row r="77" spans="1:13" s="179" customFormat="1" ht="12.2" customHeight="1" thickBot="1" x14ac:dyDescent="0.25">
      <c r="A77" s="11" t="s">
        <v>271</v>
      </c>
      <c r="B77" s="181" t="s">
        <v>247</v>
      </c>
      <c r="C77" s="274">
        <f t="shared" si="16"/>
        <v>0</v>
      </c>
      <c r="D77" s="246"/>
      <c r="E77" s="114"/>
      <c r="F77" s="114"/>
      <c r="G77" s="114"/>
      <c r="H77" s="114"/>
      <c r="I77" s="114"/>
      <c r="J77" s="114">
        <v>0</v>
      </c>
      <c r="L77" s="317">
        <f>'2. sz.mell. '!C77+'3. sz.mell.'!C77+'4. sz.mell. '!C77+'5. sz.mell.'!C77</f>
        <v>0</v>
      </c>
      <c r="M77" s="319">
        <f t="shared" si="29"/>
        <v>0</v>
      </c>
    </row>
    <row r="78" spans="1:13" s="179" customFormat="1" ht="12.2" customHeight="1" thickBot="1" x14ac:dyDescent="0.25">
      <c r="A78" s="13" t="s">
        <v>272</v>
      </c>
      <c r="B78" s="107" t="s">
        <v>726</v>
      </c>
      <c r="C78" s="384">
        <f t="shared" si="16"/>
        <v>0</v>
      </c>
      <c r="D78" s="246"/>
      <c r="E78" s="114"/>
      <c r="F78" s="114"/>
      <c r="G78" s="114"/>
      <c r="H78" s="114"/>
      <c r="I78" s="114"/>
      <c r="J78" s="114">
        <v>0</v>
      </c>
      <c r="L78" s="317">
        <f>'2. sz.mell. '!C78+'3. sz.mell.'!C78+'4. sz.mell. '!C78+'5. sz.mell.'!C78</f>
        <v>0</v>
      </c>
      <c r="M78" s="320">
        <f t="shared" si="29"/>
        <v>0</v>
      </c>
    </row>
    <row r="79" spans="1:13" s="179" customFormat="1" ht="12.2" customHeight="1" thickBot="1" x14ac:dyDescent="0.25">
      <c r="A79" s="234" t="s">
        <v>249</v>
      </c>
      <c r="B79" s="105" t="s">
        <v>250</v>
      </c>
      <c r="C79" s="115">
        <f t="shared" si="16"/>
        <v>2241380024</v>
      </c>
      <c r="D79" s="255">
        <f t="shared" ref="D79:J79" si="30">SUM(D80:D81)</f>
        <v>2178537308</v>
      </c>
      <c r="E79" s="110">
        <f t="shared" si="30"/>
        <v>2214359</v>
      </c>
      <c r="F79" s="110">
        <f t="shared" si="30"/>
        <v>248609</v>
      </c>
      <c r="G79" s="110">
        <f t="shared" si="30"/>
        <v>1338180</v>
      </c>
      <c r="H79" s="110">
        <f t="shared" si="30"/>
        <v>211401</v>
      </c>
      <c r="I79" s="110">
        <f t="shared" ref="I79" si="31">SUM(I80:I81)</f>
        <v>58816956</v>
      </c>
      <c r="J79" s="110">
        <v>13211</v>
      </c>
      <c r="L79" s="317">
        <f>'2. sz.mell. '!C79+'3. sz.mell.'!C79+'4. sz.mell. '!C79+'5. sz.mell.'!C79</f>
        <v>2241380024</v>
      </c>
      <c r="M79" s="317">
        <f t="shared" si="29"/>
        <v>0</v>
      </c>
    </row>
    <row r="80" spans="1:13" s="179" customFormat="1" ht="12.2" customHeight="1" thickBot="1" x14ac:dyDescent="0.25">
      <c r="A80" s="12" t="s">
        <v>273</v>
      </c>
      <c r="B80" s="180" t="s">
        <v>251</v>
      </c>
      <c r="C80" s="383">
        <f t="shared" si="16"/>
        <v>2241380024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>
        <v>58816956</v>
      </c>
      <c r="J80" s="114">
        <v>13211</v>
      </c>
      <c r="L80" s="317">
        <f>'2. sz.mell. '!C80+'3. sz.mell.'!C80+'4. sz.mell. '!C80+'5. sz.mell.'!C80</f>
        <v>2241380024</v>
      </c>
      <c r="M80" s="318">
        <f t="shared" si="29"/>
        <v>0</v>
      </c>
    </row>
    <row r="81" spans="1:13" s="179" customFormat="1" ht="12.2" customHeight="1" thickBot="1" x14ac:dyDescent="0.25">
      <c r="A81" s="13" t="s">
        <v>274</v>
      </c>
      <c r="B81" s="107" t="s">
        <v>252</v>
      </c>
      <c r="C81" s="384">
        <f t="shared" si="16"/>
        <v>0</v>
      </c>
      <c r="D81" s="246"/>
      <c r="E81" s="114"/>
      <c r="F81" s="114"/>
      <c r="G81" s="114"/>
      <c r="H81" s="114"/>
      <c r="I81" s="114"/>
      <c r="J81" s="114">
        <v>0</v>
      </c>
      <c r="L81" s="317">
        <f>'2. sz.mell. '!C81+'3. sz.mell.'!C81+'4. sz.mell. '!C81+'5. sz.mell.'!C81</f>
        <v>0</v>
      </c>
      <c r="M81" s="320">
        <f t="shared" si="29"/>
        <v>0</v>
      </c>
    </row>
    <row r="82" spans="1:13" s="179" customFormat="1" ht="12.2" customHeight="1" thickBot="1" x14ac:dyDescent="0.25">
      <c r="A82" s="234" t="s">
        <v>253</v>
      </c>
      <c r="B82" s="105" t="s">
        <v>254</v>
      </c>
      <c r="C82" s="115">
        <f t="shared" si="16"/>
        <v>61842606</v>
      </c>
      <c r="D82" s="255">
        <f t="shared" ref="D82:J82" si="32">SUM(D83:D85)</f>
        <v>61842606</v>
      </c>
      <c r="E82" s="110">
        <f t="shared" si="32"/>
        <v>0</v>
      </c>
      <c r="F82" s="110">
        <f t="shared" si="32"/>
        <v>0</v>
      </c>
      <c r="G82" s="110">
        <f t="shared" si="32"/>
        <v>0</v>
      </c>
      <c r="H82" s="110">
        <f t="shared" si="32"/>
        <v>0</v>
      </c>
      <c r="I82" s="110">
        <f t="shared" ref="I82" si="33">SUM(I83:I85)</f>
        <v>0</v>
      </c>
      <c r="J82" s="110">
        <v>0</v>
      </c>
      <c r="L82" s="317">
        <f>'2. sz.mell. '!C82+'3. sz.mell.'!C82+'4. sz.mell. '!C82+'5. sz.mell.'!C82</f>
        <v>61842606</v>
      </c>
      <c r="M82" s="317">
        <f t="shared" si="29"/>
        <v>0</v>
      </c>
    </row>
    <row r="83" spans="1:13" s="179" customFormat="1" ht="12.2" customHeight="1" thickBot="1" x14ac:dyDescent="0.25">
      <c r="A83" s="12" t="s">
        <v>275</v>
      </c>
      <c r="B83" s="180" t="s">
        <v>255</v>
      </c>
      <c r="C83" s="383">
        <f t="shared" si="16"/>
        <v>61842606</v>
      </c>
      <c r="D83" s="246">
        <v>61842606</v>
      </c>
      <c r="E83" s="114"/>
      <c r="F83" s="114"/>
      <c r="G83" s="114"/>
      <c r="H83" s="114"/>
      <c r="I83" s="114"/>
      <c r="J83" s="114">
        <v>0</v>
      </c>
      <c r="L83" s="317">
        <f>'2. sz.mell. '!C83+'3. sz.mell.'!C83+'4. sz.mell. '!C83+'5. sz.mell.'!C83</f>
        <v>61842606</v>
      </c>
      <c r="M83" s="318">
        <f t="shared" si="29"/>
        <v>0</v>
      </c>
    </row>
    <row r="84" spans="1:13" s="179" customFormat="1" ht="12.2" customHeight="1" thickBot="1" x14ac:dyDescent="0.25">
      <c r="A84" s="11" t="s">
        <v>276</v>
      </c>
      <c r="B84" s="181" t="s">
        <v>256</v>
      </c>
      <c r="C84" s="274">
        <f t="shared" si="16"/>
        <v>0</v>
      </c>
      <c r="D84" s="246"/>
      <c r="E84" s="114"/>
      <c r="F84" s="114"/>
      <c r="G84" s="114"/>
      <c r="H84" s="114"/>
      <c r="I84" s="114"/>
      <c r="J84" s="114">
        <v>0</v>
      </c>
      <c r="L84" s="317">
        <f>'2. sz.mell. '!C84+'3. sz.mell.'!C84+'4. sz.mell. '!C84+'5. sz.mell.'!C84</f>
        <v>0</v>
      </c>
      <c r="M84" s="319">
        <f t="shared" si="29"/>
        <v>0</v>
      </c>
    </row>
    <row r="85" spans="1:13" s="179" customFormat="1" ht="12.2" customHeight="1" thickBot="1" x14ac:dyDescent="0.25">
      <c r="A85" s="13" t="s">
        <v>277</v>
      </c>
      <c r="B85" s="107" t="s">
        <v>727</v>
      </c>
      <c r="C85" s="384">
        <f t="shared" si="16"/>
        <v>0</v>
      </c>
      <c r="D85" s="246"/>
      <c r="E85" s="114"/>
      <c r="F85" s="114"/>
      <c r="G85" s="114"/>
      <c r="H85" s="114"/>
      <c r="I85" s="114"/>
      <c r="J85" s="114">
        <v>0</v>
      </c>
      <c r="L85" s="317">
        <f>'2. sz.mell. '!C85+'3. sz.mell.'!C85+'4. sz.mell. '!C85+'5. sz.mell.'!C85</f>
        <v>0</v>
      </c>
      <c r="M85" s="320">
        <f t="shared" si="29"/>
        <v>0</v>
      </c>
    </row>
    <row r="86" spans="1:13" s="179" customFormat="1" ht="12.2" customHeight="1" thickBot="1" x14ac:dyDescent="0.25">
      <c r="A86" s="234" t="s">
        <v>258</v>
      </c>
      <c r="B86" s="105" t="s">
        <v>278</v>
      </c>
      <c r="C86" s="115">
        <f t="shared" si="16"/>
        <v>0</v>
      </c>
      <c r="D86" s="255">
        <f t="shared" ref="D86:J86" si="34">SUM(D87:D90)</f>
        <v>0</v>
      </c>
      <c r="E86" s="110">
        <f t="shared" si="34"/>
        <v>0</v>
      </c>
      <c r="F86" s="110">
        <f t="shared" si="34"/>
        <v>0</v>
      </c>
      <c r="G86" s="110">
        <f t="shared" si="34"/>
        <v>0</v>
      </c>
      <c r="H86" s="110">
        <f t="shared" si="34"/>
        <v>0</v>
      </c>
      <c r="I86" s="110">
        <f t="shared" ref="I86" si="35">SUM(I87:I90)</f>
        <v>0</v>
      </c>
      <c r="J86" s="110">
        <v>0</v>
      </c>
      <c r="L86" s="317">
        <f>'2. sz.mell. '!C86+'3. sz.mell.'!C86+'4. sz.mell. '!C86+'5. sz.mell.'!C86</f>
        <v>0</v>
      </c>
      <c r="M86" s="317">
        <f t="shared" si="29"/>
        <v>0</v>
      </c>
    </row>
    <row r="87" spans="1:13" s="179" customFormat="1" ht="12.2" customHeight="1" thickBot="1" x14ac:dyDescent="0.25">
      <c r="A87" s="184" t="s">
        <v>259</v>
      </c>
      <c r="B87" s="180" t="s">
        <v>260</v>
      </c>
      <c r="C87" s="383">
        <f t="shared" si="16"/>
        <v>0</v>
      </c>
      <c r="D87" s="246"/>
      <c r="E87" s="114"/>
      <c r="F87" s="114"/>
      <c r="G87" s="114"/>
      <c r="H87" s="114"/>
      <c r="I87" s="114"/>
      <c r="J87" s="114">
        <v>0</v>
      </c>
      <c r="L87" s="317">
        <f>'2. sz.mell. '!C87+'3. sz.mell.'!C87+'4. sz.mell. '!C87+'5. sz.mell.'!C87</f>
        <v>0</v>
      </c>
      <c r="M87" s="318">
        <f t="shared" si="29"/>
        <v>0</v>
      </c>
    </row>
    <row r="88" spans="1:13" s="179" customFormat="1" ht="12.2" customHeight="1" thickBot="1" x14ac:dyDescent="0.25">
      <c r="A88" s="185" t="s">
        <v>261</v>
      </c>
      <c r="B88" s="181" t="s">
        <v>262</v>
      </c>
      <c r="C88" s="274">
        <f t="shared" si="16"/>
        <v>0</v>
      </c>
      <c r="D88" s="246"/>
      <c r="E88" s="114"/>
      <c r="F88" s="114"/>
      <c r="G88" s="114"/>
      <c r="H88" s="114"/>
      <c r="I88" s="114"/>
      <c r="J88" s="114">
        <v>0</v>
      </c>
      <c r="L88" s="317">
        <f>'2. sz.mell. '!C88+'3. sz.mell.'!C88+'4. sz.mell. '!C88+'5. sz.mell.'!C88</f>
        <v>0</v>
      </c>
      <c r="M88" s="319">
        <f t="shared" si="29"/>
        <v>0</v>
      </c>
    </row>
    <row r="89" spans="1:13" s="179" customFormat="1" ht="12.2" customHeight="1" thickBot="1" x14ac:dyDescent="0.25">
      <c r="A89" s="185" t="s">
        <v>263</v>
      </c>
      <c r="B89" s="181" t="s">
        <v>264</v>
      </c>
      <c r="C89" s="274">
        <f t="shared" si="16"/>
        <v>0</v>
      </c>
      <c r="D89" s="246"/>
      <c r="E89" s="114"/>
      <c r="F89" s="114"/>
      <c r="G89" s="114"/>
      <c r="H89" s="114"/>
      <c r="I89" s="114"/>
      <c r="J89" s="114">
        <v>0</v>
      </c>
      <c r="L89" s="317">
        <f>'2. sz.mell. '!C89+'3. sz.mell.'!C89+'4. sz.mell. '!C89+'5. sz.mell.'!C89</f>
        <v>0</v>
      </c>
      <c r="M89" s="319">
        <f t="shared" si="29"/>
        <v>0</v>
      </c>
    </row>
    <row r="90" spans="1:13" s="179" customFormat="1" ht="12.2" customHeight="1" thickBot="1" x14ac:dyDescent="0.25">
      <c r="A90" s="186" t="s">
        <v>265</v>
      </c>
      <c r="B90" s="107" t="s">
        <v>266</v>
      </c>
      <c r="C90" s="384">
        <f t="shared" si="16"/>
        <v>0</v>
      </c>
      <c r="D90" s="246"/>
      <c r="E90" s="114"/>
      <c r="F90" s="114"/>
      <c r="G90" s="114"/>
      <c r="H90" s="114"/>
      <c r="I90" s="114"/>
      <c r="J90" s="114">
        <v>0</v>
      </c>
      <c r="L90" s="317">
        <f>'2. sz.mell. '!C90+'3. sz.mell.'!C90+'4. sz.mell. '!C90+'5. sz.mell.'!C90</f>
        <v>0</v>
      </c>
      <c r="M90" s="320">
        <f t="shared" si="29"/>
        <v>0</v>
      </c>
    </row>
    <row r="91" spans="1:13" s="179" customFormat="1" ht="12.2" customHeight="1" thickBot="1" x14ac:dyDescent="0.25">
      <c r="A91" s="234" t="s">
        <v>267</v>
      </c>
      <c r="B91" s="105" t="s">
        <v>392</v>
      </c>
      <c r="C91" s="115">
        <f t="shared" si="16"/>
        <v>0</v>
      </c>
      <c r="D91" s="258"/>
      <c r="E91" s="215"/>
      <c r="F91" s="215"/>
      <c r="G91" s="215"/>
      <c r="H91" s="215"/>
      <c r="I91" s="215"/>
      <c r="J91" s="215">
        <v>0</v>
      </c>
      <c r="L91" s="317">
        <f>'2. sz.mell. '!C91+'3. sz.mell.'!C91+'4. sz.mell. '!C91+'5. sz.mell.'!C91</f>
        <v>0</v>
      </c>
      <c r="M91" s="317">
        <f t="shared" si="29"/>
        <v>0</v>
      </c>
    </row>
    <row r="92" spans="1:13" s="179" customFormat="1" ht="13.7" customHeight="1" thickBot="1" x14ac:dyDescent="0.25">
      <c r="A92" s="234" t="s">
        <v>269</v>
      </c>
      <c r="B92" s="105" t="s">
        <v>268</v>
      </c>
      <c r="C92" s="115">
        <f t="shared" si="16"/>
        <v>0</v>
      </c>
      <c r="D92" s="258"/>
      <c r="E92" s="215"/>
      <c r="F92" s="215"/>
      <c r="G92" s="215"/>
      <c r="H92" s="215"/>
      <c r="I92" s="215"/>
      <c r="J92" s="215">
        <v>0</v>
      </c>
      <c r="L92" s="317">
        <f>'2. sz.mell. '!C92+'3. sz.mell.'!C92+'4. sz.mell. '!C92+'5. sz.mell.'!C92</f>
        <v>0</v>
      </c>
      <c r="M92" s="317">
        <f t="shared" si="29"/>
        <v>0</v>
      </c>
    </row>
    <row r="93" spans="1:13" s="179" customFormat="1" ht="15.75" customHeight="1" thickBot="1" x14ac:dyDescent="0.25">
      <c r="A93" s="234" t="s">
        <v>281</v>
      </c>
      <c r="B93" s="187" t="s">
        <v>393</v>
      </c>
      <c r="C93" s="115">
        <f t="shared" si="16"/>
        <v>3557281454</v>
      </c>
      <c r="D93" s="257">
        <f t="shared" ref="D93:J93" si="36">+D70+D74+D79+D82+D86+D92+D91</f>
        <v>3494438738</v>
      </c>
      <c r="E93" s="115">
        <f t="shared" si="36"/>
        <v>2214359</v>
      </c>
      <c r="F93" s="115">
        <f t="shared" si="36"/>
        <v>248609</v>
      </c>
      <c r="G93" s="115">
        <f t="shared" si="36"/>
        <v>1338180</v>
      </c>
      <c r="H93" s="115">
        <f t="shared" si="36"/>
        <v>211401</v>
      </c>
      <c r="I93" s="115">
        <f t="shared" ref="I93" si="37">+I70+I74+I79+I82+I86+I92+I91</f>
        <v>58816956</v>
      </c>
      <c r="J93" s="115">
        <v>13211</v>
      </c>
      <c r="L93" s="317">
        <f>'2. sz.mell. '!C93+'3. sz.mell.'!C93+'4. sz.mell. '!C93+'5. sz.mell.'!C93</f>
        <v>3557281454</v>
      </c>
      <c r="M93" s="317">
        <f t="shared" si="29"/>
        <v>0</v>
      </c>
    </row>
    <row r="94" spans="1:13" s="179" customFormat="1" ht="16.5" customHeight="1" thickBot="1" x14ac:dyDescent="0.25">
      <c r="A94" s="236" t="s">
        <v>394</v>
      </c>
      <c r="B94" s="188" t="s">
        <v>395</v>
      </c>
      <c r="C94" s="115">
        <f t="shared" si="16"/>
        <v>7920764210</v>
      </c>
      <c r="D94" s="257">
        <f t="shared" ref="D94:J94" si="38">+D69+D93</f>
        <v>6825739774</v>
      </c>
      <c r="E94" s="115">
        <f t="shared" si="38"/>
        <v>69773014</v>
      </c>
      <c r="F94" s="115">
        <f t="shared" si="38"/>
        <v>25662556</v>
      </c>
      <c r="G94" s="115">
        <f t="shared" si="38"/>
        <v>15812580</v>
      </c>
      <c r="H94" s="115">
        <f t="shared" si="38"/>
        <v>2999001</v>
      </c>
      <c r="I94" s="115">
        <f t="shared" ref="I94" si="39">+I69+I93</f>
        <v>547373849</v>
      </c>
      <c r="J94" s="115">
        <v>433403436</v>
      </c>
      <c r="L94" s="317">
        <f>'2. sz.mell. '!C94+'3. sz.mell.'!C94+'4. sz.mell. '!C94+'5. sz.mell.'!C94</f>
        <v>7920764210</v>
      </c>
      <c r="M94" s="317">
        <f t="shared" si="29"/>
        <v>0</v>
      </c>
    </row>
    <row r="95" spans="1:13" ht="16.5" customHeight="1" x14ac:dyDescent="0.25">
      <c r="A95" s="1229" t="s">
        <v>44</v>
      </c>
      <c r="B95" s="1229"/>
      <c r="C95" s="1229"/>
      <c r="D95" s="281"/>
      <c r="J95" s="167">
        <v>433403436</v>
      </c>
      <c r="L95" s="1183"/>
      <c r="M95" s="315"/>
    </row>
    <row r="96" spans="1:13" ht="16.5" customHeight="1" thickBot="1" x14ac:dyDescent="0.3">
      <c r="A96" s="1230" t="s">
        <v>115</v>
      </c>
      <c r="B96" s="1230"/>
      <c r="C96" s="720" t="s">
        <v>483</v>
      </c>
      <c r="L96" s="1184"/>
      <c r="M96" s="315"/>
    </row>
    <row r="97" spans="1:13" ht="38.1" customHeight="1" thickBot="1" x14ac:dyDescent="0.3">
      <c r="A97" s="20" t="s">
        <v>63</v>
      </c>
      <c r="B97" s="21" t="s">
        <v>45</v>
      </c>
      <c r="C97" s="476" t="str">
        <f>+C9</f>
        <v>2023. évi előirányzat</v>
      </c>
      <c r="D97" s="167" t="str">
        <f t="shared" ref="D97:J97" si="40">D9</f>
        <v>Önk</v>
      </c>
      <c r="E97" s="167" t="str">
        <f t="shared" si="40"/>
        <v>PH</v>
      </c>
      <c r="F97" s="167" t="str">
        <f t="shared" si="40"/>
        <v>Óvoda</v>
      </c>
      <c r="G97" s="167" t="str">
        <f t="shared" si="40"/>
        <v>EKIK</v>
      </c>
      <c r="H97" s="167" t="str">
        <f t="shared" si="40"/>
        <v>Bölcsőde</v>
      </c>
      <c r="I97" s="167" t="str">
        <f t="shared" ref="I97" si="41">I9</f>
        <v>Kornisné</v>
      </c>
      <c r="J97" s="167" t="str">
        <f t="shared" si="40"/>
        <v>módosíítás 2023. április</v>
      </c>
      <c r="L97" s="1184"/>
      <c r="M97" s="315"/>
    </row>
    <row r="98" spans="1:13" s="178" customFormat="1" ht="12.2" customHeight="1" thickBot="1" x14ac:dyDescent="0.25">
      <c r="A98" s="25" t="s">
        <v>382</v>
      </c>
      <c r="B98" s="26" t="s">
        <v>383</v>
      </c>
      <c r="C98" s="765" t="s">
        <v>384</v>
      </c>
      <c r="L98" s="1185"/>
      <c r="M98" s="315"/>
    </row>
    <row r="99" spans="1:13" ht="12.2" customHeight="1" thickBot="1" x14ac:dyDescent="0.3">
      <c r="A99" s="19" t="s">
        <v>16</v>
      </c>
      <c r="B99" s="23" t="s">
        <v>433</v>
      </c>
      <c r="C99" s="766">
        <f t="shared" ref="C99:C160" si="42">SUM(D99:J99)</f>
        <v>3933907389</v>
      </c>
      <c r="D99" s="261">
        <f>+D100+D101+D102+D103+D104+D117</f>
        <v>1008438854</v>
      </c>
      <c r="E99" s="109">
        <f>+E100+E101+E102+E103+E104+E117</f>
        <v>616171352</v>
      </c>
      <c r="F99" s="265">
        <f>F100+F101+F102+F103+F104+F117</f>
        <v>464222841</v>
      </c>
      <c r="G99" s="265">
        <f>G100+G101+G102+G103+G104+G117</f>
        <v>199615876</v>
      </c>
      <c r="H99" s="265">
        <f>H100+H101+H102+H103+H104+H117</f>
        <v>180206671</v>
      </c>
      <c r="I99" s="265">
        <f>I100+I101+I102+I103+I104+I117</f>
        <v>1373703169</v>
      </c>
      <c r="J99" s="265">
        <v>91548626</v>
      </c>
      <c r="L99" s="317">
        <f>'2. sz.mell. '!C99+'3. sz.mell.'!C99+'4. sz.mell. '!C100+'5. sz.mell.'!C100</f>
        <v>3933907389</v>
      </c>
      <c r="M99" s="317">
        <f t="shared" ref="M99:M160" si="43">C99-L99</f>
        <v>0</v>
      </c>
    </row>
    <row r="100" spans="1:13" ht="12.2" customHeight="1" thickBot="1" x14ac:dyDescent="0.3">
      <c r="A100" s="14" t="s">
        <v>85</v>
      </c>
      <c r="B100" s="7" t="s">
        <v>46</v>
      </c>
      <c r="C100" s="353">
        <f>SUM(D100:J100)</f>
        <v>1581958868</v>
      </c>
      <c r="D100" s="656">
        <v>63765662</v>
      </c>
      <c r="E100" s="251">
        <v>223112718</v>
      </c>
      <c r="F100" s="251">
        <v>283081485</v>
      </c>
      <c r="G100" s="251">
        <v>83150444</v>
      </c>
      <c r="H100" s="251">
        <v>126179706</v>
      </c>
      <c r="I100" s="34">
        <v>770608239</v>
      </c>
      <c r="J100" s="34">
        <v>32060614</v>
      </c>
      <c r="L100" s="317">
        <f>'2. sz.mell. '!C100+'3. sz.mell.'!C100+'4. sz.mell. '!C101+'5. sz.mell.'!C101</f>
        <v>1581958868</v>
      </c>
      <c r="M100" s="318">
        <f t="shared" si="43"/>
        <v>0</v>
      </c>
    </row>
    <row r="101" spans="1:13" ht="12.2" customHeight="1" thickBot="1" x14ac:dyDescent="0.3">
      <c r="A101" s="11" t="s">
        <v>86</v>
      </c>
      <c r="B101" s="5" t="s">
        <v>134</v>
      </c>
      <c r="C101" s="353">
        <f t="shared" si="42"/>
        <v>222495470</v>
      </c>
      <c r="D101" s="246">
        <v>10685115</v>
      </c>
      <c r="E101" s="114">
        <v>34194887</v>
      </c>
      <c r="F101" s="114">
        <v>39049417</v>
      </c>
      <c r="G101" s="114">
        <v>11455015</v>
      </c>
      <c r="H101" s="114">
        <v>16396076</v>
      </c>
      <c r="I101" s="36">
        <v>106848258</v>
      </c>
      <c r="J101" s="36">
        <v>3866702</v>
      </c>
      <c r="L101" s="317">
        <f>'2. sz.mell. '!C101+'3. sz.mell.'!C101+'4. sz.mell. '!C102+'5. sz.mell.'!C102</f>
        <v>222495470</v>
      </c>
      <c r="M101" s="319">
        <f t="shared" si="43"/>
        <v>0</v>
      </c>
    </row>
    <row r="102" spans="1:13" ht="12.2" customHeight="1" thickBot="1" x14ac:dyDescent="0.3">
      <c r="A102" s="11" t="s">
        <v>87</v>
      </c>
      <c r="B102" s="5" t="s">
        <v>110</v>
      </c>
      <c r="C102" s="353">
        <f>SUM(D102:J102)</f>
        <v>1769446280</v>
      </c>
      <c r="D102" s="249">
        <f>574407259+127000</f>
        <v>574534259</v>
      </c>
      <c r="E102" s="170">
        <v>357689697</v>
      </c>
      <c r="F102" s="114">
        <v>142091939</v>
      </c>
      <c r="G102" s="114">
        <v>104259417</v>
      </c>
      <c r="H102" s="114">
        <v>37630889</v>
      </c>
      <c r="I102" s="36">
        <v>496246672</v>
      </c>
      <c r="J102" s="36">
        <v>56993407</v>
      </c>
      <c r="L102" s="317">
        <f>'2. sz.mell. '!C102+'3. sz.mell.'!C102+'4. sz.mell. '!C103+'5. sz.mell.'!C103</f>
        <v>1769446280</v>
      </c>
      <c r="M102" s="319">
        <f t="shared" si="43"/>
        <v>0</v>
      </c>
    </row>
    <row r="103" spans="1:13" ht="12.2" customHeight="1" thickBot="1" x14ac:dyDescent="0.3">
      <c r="A103" s="11" t="s">
        <v>88</v>
      </c>
      <c r="B103" s="5" t="s">
        <v>135</v>
      </c>
      <c r="C103" s="353">
        <f t="shared" ref="C103:C119" si="44">SUM(D103:J103)</f>
        <v>45000000</v>
      </c>
      <c r="D103" s="249">
        <v>45000000</v>
      </c>
      <c r="E103" s="170"/>
      <c r="F103" s="170"/>
      <c r="G103" s="170"/>
      <c r="H103" s="170"/>
      <c r="I103" s="170"/>
      <c r="J103" s="170">
        <v>0</v>
      </c>
      <c r="L103" s="317">
        <f>'2. sz.mell. '!C103+'3. sz.mell.'!C103+'4. sz.mell. '!C104+'5. sz.mell.'!C104</f>
        <v>45000000</v>
      </c>
      <c r="M103" s="319">
        <f t="shared" si="43"/>
        <v>0</v>
      </c>
    </row>
    <row r="104" spans="1:13" ht="12.2" customHeight="1" thickBot="1" x14ac:dyDescent="0.3">
      <c r="A104" s="11" t="s">
        <v>99</v>
      </c>
      <c r="B104" s="4" t="s">
        <v>136</v>
      </c>
      <c r="C104" s="353">
        <f t="shared" si="44"/>
        <v>200917499</v>
      </c>
      <c r="D104" s="249">
        <f>SUM(D105:D116)</f>
        <v>194360723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/>
      <c r="J104" s="249">
        <v>4631726</v>
      </c>
      <c r="L104" s="317">
        <f>'2. sz.mell. '!C104+'3. sz.mell.'!C104+'4. sz.mell. '!C105+'5. sz.mell.'!C105</f>
        <v>200917499</v>
      </c>
      <c r="M104" s="319">
        <f t="shared" si="43"/>
        <v>0</v>
      </c>
    </row>
    <row r="105" spans="1:13" ht="12.2" customHeight="1" thickBot="1" x14ac:dyDescent="0.3">
      <c r="A105" s="11" t="s">
        <v>89</v>
      </c>
      <c r="B105" s="5" t="s">
        <v>396</v>
      </c>
      <c r="C105" s="353"/>
      <c r="D105" s="249"/>
      <c r="E105" s="170"/>
      <c r="F105" s="170"/>
      <c r="G105" s="170"/>
      <c r="H105" s="170"/>
      <c r="I105" s="170"/>
      <c r="J105" s="170">
        <v>0</v>
      </c>
      <c r="L105" s="317">
        <f>'2. sz.mell. '!C105+'3. sz.mell.'!C105+'4. sz.mell. '!C106+'5. sz.mell.'!C106</f>
        <v>0</v>
      </c>
      <c r="M105" s="319">
        <f t="shared" si="43"/>
        <v>0</v>
      </c>
    </row>
    <row r="106" spans="1:13" ht="12.2" customHeight="1" thickBot="1" x14ac:dyDescent="0.3">
      <c r="A106" s="11" t="s">
        <v>90</v>
      </c>
      <c r="B106" s="60" t="s">
        <v>397</v>
      </c>
      <c r="C106" s="353">
        <f t="shared" si="44"/>
        <v>19789124</v>
      </c>
      <c r="D106" s="249">
        <v>19789124</v>
      </c>
      <c r="E106" s="170"/>
      <c r="F106" s="170"/>
      <c r="G106" s="170"/>
      <c r="H106" s="170"/>
      <c r="I106" s="170"/>
      <c r="J106" s="170">
        <v>0</v>
      </c>
      <c r="L106" s="317">
        <f>'2. sz.mell. '!C106+'3. sz.mell.'!C106+'4. sz.mell. '!C107+'5. sz.mell.'!C107</f>
        <v>19789124</v>
      </c>
      <c r="M106" s="319">
        <f t="shared" si="43"/>
        <v>0</v>
      </c>
    </row>
    <row r="107" spans="1:13" ht="12.2" customHeight="1" thickBot="1" x14ac:dyDescent="0.3">
      <c r="A107" s="11" t="s">
        <v>100</v>
      </c>
      <c r="B107" s="60" t="s">
        <v>398</v>
      </c>
      <c r="C107" s="353">
        <f t="shared" si="44"/>
        <v>0</v>
      </c>
      <c r="D107" s="249"/>
      <c r="E107" s="170"/>
      <c r="F107" s="170"/>
      <c r="G107" s="170"/>
      <c r="H107" s="170"/>
      <c r="I107" s="170"/>
      <c r="J107" s="170">
        <v>0</v>
      </c>
      <c r="L107" s="317">
        <f>'2. sz.mell. '!C107+'3. sz.mell.'!C107+'4. sz.mell. '!C108+'5. sz.mell.'!C108</f>
        <v>0</v>
      </c>
      <c r="M107" s="319">
        <f t="shared" si="43"/>
        <v>0</v>
      </c>
    </row>
    <row r="108" spans="1:13" ht="12.2" customHeight="1" thickBot="1" x14ac:dyDescent="0.3">
      <c r="A108" s="11" t="s">
        <v>101</v>
      </c>
      <c r="B108" s="58" t="s">
        <v>284</v>
      </c>
      <c r="C108" s="353">
        <f t="shared" si="44"/>
        <v>0</v>
      </c>
      <c r="D108" s="249"/>
      <c r="E108" s="170"/>
      <c r="F108" s="170"/>
      <c r="G108" s="170"/>
      <c r="H108" s="170"/>
      <c r="I108" s="170"/>
      <c r="J108" s="170">
        <v>0</v>
      </c>
      <c r="L108" s="317">
        <f>'2. sz.mell. '!C108+'3. sz.mell.'!C108+'4. sz.mell. '!C109+'5. sz.mell.'!C109</f>
        <v>0</v>
      </c>
      <c r="M108" s="319">
        <f t="shared" si="43"/>
        <v>0</v>
      </c>
    </row>
    <row r="109" spans="1:13" ht="12.2" customHeight="1" thickBot="1" x14ac:dyDescent="0.3">
      <c r="A109" s="11" t="s">
        <v>102</v>
      </c>
      <c r="B109" s="59" t="s">
        <v>285</v>
      </c>
      <c r="C109" s="353">
        <f t="shared" si="44"/>
        <v>0</v>
      </c>
      <c r="D109" s="249"/>
      <c r="E109" s="170"/>
      <c r="F109" s="170"/>
      <c r="G109" s="170"/>
      <c r="H109" s="170"/>
      <c r="I109" s="170"/>
      <c r="J109" s="170">
        <v>0</v>
      </c>
      <c r="L109" s="317">
        <f>'2. sz.mell. '!C109+'3. sz.mell.'!C109+'4. sz.mell. '!C110+'5. sz.mell.'!C110</f>
        <v>0</v>
      </c>
      <c r="M109" s="319">
        <f t="shared" si="43"/>
        <v>0</v>
      </c>
    </row>
    <row r="110" spans="1:13" ht="12.2" customHeight="1" thickBot="1" x14ac:dyDescent="0.3">
      <c r="A110" s="11" t="s">
        <v>103</v>
      </c>
      <c r="B110" s="59" t="s">
        <v>286</v>
      </c>
      <c r="C110" s="353">
        <f t="shared" si="44"/>
        <v>0</v>
      </c>
      <c r="D110" s="249"/>
      <c r="E110" s="170"/>
      <c r="F110" s="170"/>
      <c r="G110" s="170"/>
      <c r="H110" s="170"/>
      <c r="I110" s="170"/>
      <c r="J110" s="170">
        <v>0</v>
      </c>
      <c r="L110" s="317">
        <f>'2. sz.mell. '!C110+'3. sz.mell.'!C110+'4. sz.mell. '!C111+'5. sz.mell.'!C111</f>
        <v>0</v>
      </c>
      <c r="M110" s="319">
        <f t="shared" si="43"/>
        <v>0</v>
      </c>
    </row>
    <row r="111" spans="1:13" ht="12.2" customHeight="1" thickBot="1" x14ac:dyDescent="0.3">
      <c r="A111" s="11" t="s">
        <v>105</v>
      </c>
      <c r="B111" s="58" t="s">
        <v>287</v>
      </c>
      <c r="C111" s="353">
        <f t="shared" si="44"/>
        <v>2556776</v>
      </c>
      <c r="D111" s="249">
        <f>600000</f>
        <v>600000</v>
      </c>
      <c r="E111" s="170">
        <v>1174050</v>
      </c>
      <c r="F111" s="170"/>
      <c r="G111" s="170">
        <v>751000</v>
      </c>
      <c r="H111" s="170"/>
      <c r="I111" s="170"/>
      <c r="J111" s="170">
        <v>31726</v>
      </c>
      <c r="L111" s="317">
        <f>'2. sz.mell. '!C111+'3. sz.mell.'!C111+'4. sz.mell. '!C112+'5. sz.mell.'!C112</f>
        <v>2556776</v>
      </c>
      <c r="M111" s="319">
        <f t="shared" si="43"/>
        <v>0</v>
      </c>
    </row>
    <row r="112" spans="1:13" ht="12.2" customHeight="1" thickBot="1" x14ac:dyDescent="0.3">
      <c r="A112" s="11" t="s">
        <v>137</v>
      </c>
      <c r="B112" s="58" t="s">
        <v>288</v>
      </c>
      <c r="C112" s="353">
        <f t="shared" si="44"/>
        <v>0</v>
      </c>
      <c r="D112" s="249"/>
      <c r="E112" s="170"/>
      <c r="F112" s="170"/>
      <c r="G112" s="170"/>
      <c r="H112" s="170"/>
      <c r="I112" s="170"/>
      <c r="J112" s="170">
        <v>0</v>
      </c>
      <c r="L112" s="317">
        <f>'2. sz.mell. '!C112+'3. sz.mell.'!C112+'4. sz.mell. '!C113+'5. sz.mell.'!C113</f>
        <v>0</v>
      </c>
      <c r="M112" s="319">
        <f t="shared" si="43"/>
        <v>0</v>
      </c>
    </row>
    <row r="113" spans="1:13" ht="12.2" customHeight="1" thickBot="1" x14ac:dyDescent="0.3">
      <c r="A113" s="11" t="s">
        <v>282</v>
      </c>
      <c r="B113" s="59" t="s">
        <v>289</v>
      </c>
      <c r="C113" s="353">
        <f t="shared" si="44"/>
        <v>0</v>
      </c>
      <c r="D113" s="249"/>
      <c r="E113" s="170"/>
      <c r="F113" s="170"/>
      <c r="G113" s="170"/>
      <c r="H113" s="170"/>
      <c r="I113" s="170"/>
      <c r="J113" s="170">
        <v>0</v>
      </c>
      <c r="L113" s="317">
        <f>'2. sz.mell. '!C113+'3. sz.mell.'!C113+'4. sz.mell. '!C114+'5. sz.mell.'!C114</f>
        <v>0</v>
      </c>
      <c r="M113" s="319">
        <f t="shared" si="43"/>
        <v>0</v>
      </c>
    </row>
    <row r="114" spans="1:13" ht="12.2" customHeight="1" thickBot="1" x14ac:dyDescent="0.3">
      <c r="A114" s="10" t="s">
        <v>283</v>
      </c>
      <c r="B114" s="60" t="s">
        <v>290</v>
      </c>
      <c r="C114" s="353">
        <f t="shared" si="44"/>
        <v>0</v>
      </c>
      <c r="D114" s="249"/>
      <c r="E114" s="170"/>
      <c r="F114" s="170"/>
      <c r="G114" s="170"/>
      <c r="H114" s="170"/>
      <c r="I114" s="170"/>
      <c r="J114" s="170">
        <v>0</v>
      </c>
      <c r="L114" s="317">
        <f>'2. sz.mell. '!C114+'3. sz.mell.'!C114+'4. sz.mell. '!C115+'5. sz.mell.'!C115</f>
        <v>0</v>
      </c>
      <c r="M114" s="319">
        <f t="shared" si="43"/>
        <v>0</v>
      </c>
    </row>
    <row r="115" spans="1:13" ht="12.2" customHeight="1" thickBot="1" x14ac:dyDescent="0.3">
      <c r="A115" s="11" t="s">
        <v>399</v>
      </c>
      <c r="B115" s="60" t="s">
        <v>291</v>
      </c>
      <c r="C115" s="353">
        <f t="shared" si="44"/>
        <v>0</v>
      </c>
      <c r="D115" s="249"/>
      <c r="E115" s="170"/>
      <c r="F115" s="170"/>
      <c r="G115" s="170"/>
      <c r="H115" s="170"/>
      <c r="I115" s="170"/>
      <c r="J115" s="170">
        <v>0</v>
      </c>
      <c r="L115" s="317">
        <f>'2. sz.mell. '!C115+'3. sz.mell.'!C115+'4. sz.mell. '!C116+'5. sz.mell.'!C116</f>
        <v>0</v>
      </c>
      <c r="M115" s="319">
        <f t="shared" si="43"/>
        <v>0</v>
      </c>
    </row>
    <row r="116" spans="1:13" ht="12.2" customHeight="1" thickBot="1" x14ac:dyDescent="0.3">
      <c r="A116" s="13" t="s">
        <v>400</v>
      </c>
      <c r="B116" s="60" t="s">
        <v>292</v>
      </c>
      <c r="C116" s="353">
        <f t="shared" si="44"/>
        <v>178571599</v>
      </c>
      <c r="D116" s="246">
        <v>173971599</v>
      </c>
      <c r="E116" s="114"/>
      <c r="F116" s="170"/>
      <c r="G116" s="170"/>
      <c r="H116" s="170"/>
      <c r="I116" s="170"/>
      <c r="J116" s="170">
        <v>4600000</v>
      </c>
      <c r="L116" s="317">
        <f>'2. sz.mell. '!C116+'3. sz.mell.'!C116+'4. sz.mell. '!C117+'5. sz.mell.'!C117</f>
        <v>178571599</v>
      </c>
      <c r="M116" s="319">
        <f t="shared" si="43"/>
        <v>0</v>
      </c>
    </row>
    <row r="117" spans="1:13" ht="12.2" customHeight="1" thickBot="1" x14ac:dyDescent="0.3">
      <c r="A117" s="11" t="s">
        <v>401</v>
      </c>
      <c r="B117" s="5" t="s">
        <v>47</v>
      </c>
      <c r="C117" s="353">
        <f t="shared" si="44"/>
        <v>114089276</v>
      </c>
      <c r="D117" s="246">
        <f t="shared" ref="D117:J117" si="45">SUM(D118:D119)</f>
        <v>120093095</v>
      </c>
      <c r="E117" s="246">
        <f t="shared" si="45"/>
        <v>0</v>
      </c>
      <c r="F117" s="246">
        <f t="shared" si="45"/>
        <v>0</v>
      </c>
      <c r="G117" s="246">
        <f t="shared" si="45"/>
        <v>0</v>
      </c>
      <c r="H117" s="246">
        <f t="shared" si="45"/>
        <v>0</v>
      </c>
      <c r="I117" s="246">
        <f t="shared" ref="I117" si="46">SUM(I118:I119)</f>
        <v>0</v>
      </c>
      <c r="J117" s="246">
        <f>SUM(J118:J119)</f>
        <v>-6003819</v>
      </c>
      <c r="L117" s="317">
        <f>'2. sz.mell. '!C117+'3. sz.mell.'!C117+'4. sz.mell. '!C118+'5. sz.mell.'!C118</f>
        <v>114089276</v>
      </c>
      <c r="M117" s="319">
        <f t="shared" si="43"/>
        <v>0</v>
      </c>
    </row>
    <row r="118" spans="1:13" ht="12.2" customHeight="1" thickBot="1" x14ac:dyDescent="0.3">
      <c r="A118" s="11" t="s">
        <v>402</v>
      </c>
      <c r="B118" s="5" t="s">
        <v>403</v>
      </c>
      <c r="C118" s="353">
        <f t="shared" si="44"/>
        <v>8636181</v>
      </c>
      <c r="D118" s="249">
        <f>10000000</f>
        <v>10000000</v>
      </c>
      <c r="E118" s="170"/>
      <c r="F118" s="114"/>
      <c r="G118" s="114"/>
      <c r="H118" s="114"/>
      <c r="I118" s="114"/>
      <c r="J118" s="114">
        <v>-1363819</v>
      </c>
      <c r="L118" s="317">
        <f>'2. sz.mell. '!C118+'3. sz.mell.'!C118+'4. sz.mell. '!C119+'5. sz.mell.'!C119</f>
        <v>8636181</v>
      </c>
      <c r="M118" s="319">
        <f t="shared" si="43"/>
        <v>0</v>
      </c>
    </row>
    <row r="119" spans="1:13" ht="12.2" customHeight="1" thickBot="1" x14ac:dyDescent="0.3">
      <c r="A119" s="15" t="s">
        <v>404</v>
      </c>
      <c r="B119" s="237" t="s">
        <v>405</v>
      </c>
      <c r="C119" s="353">
        <f t="shared" si="44"/>
        <v>105453095</v>
      </c>
      <c r="D119" s="270">
        <f>110093095</f>
        <v>110093095</v>
      </c>
      <c r="E119" s="254"/>
      <c r="F119" s="254"/>
      <c r="G119" s="254"/>
      <c r="H119" s="254"/>
      <c r="I119" s="254"/>
      <c r="J119" s="254">
        <v>-4640000</v>
      </c>
      <c r="L119" s="317">
        <f>'2. sz.mell. '!C119+'3. sz.mell.'!C119+'4. sz.mell. '!C120+'5. sz.mell.'!C120</f>
        <v>105453095</v>
      </c>
      <c r="M119" s="320">
        <f t="shared" si="43"/>
        <v>0</v>
      </c>
    </row>
    <row r="120" spans="1:13" ht="12.2" customHeight="1" thickBot="1" x14ac:dyDescent="0.3">
      <c r="A120" s="238" t="s">
        <v>17</v>
      </c>
      <c r="B120" s="355" t="s">
        <v>293</v>
      </c>
      <c r="C120" s="358">
        <f t="shared" si="42"/>
        <v>2803095529</v>
      </c>
      <c r="D120" s="255">
        <f t="shared" ref="D120:J120" si="47">+D121+D123+D125</f>
        <v>2409187865</v>
      </c>
      <c r="E120" s="110">
        <f t="shared" si="47"/>
        <v>5412697</v>
      </c>
      <c r="F120" s="240">
        <f t="shared" si="47"/>
        <v>851710</v>
      </c>
      <c r="G120" s="240">
        <f t="shared" si="47"/>
        <v>2983000</v>
      </c>
      <c r="H120" s="240">
        <f t="shared" si="47"/>
        <v>829296</v>
      </c>
      <c r="I120" s="240">
        <f t="shared" ref="I120" si="48">+I121+I123+I125</f>
        <v>41976151</v>
      </c>
      <c r="J120" s="240">
        <v>341854810</v>
      </c>
      <c r="L120" s="317">
        <f>'2. sz.mell. '!C120+'3. sz.mell.'!C120+'4. sz.mell. '!C121+'5. sz.mell.'!C121</f>
        <v>2803095529</v>
      </c>
      <c r="M120" s="317">
        <f t="shared" si="43"/>
        <v>0</v>
      </c>
    </row>
    <row r="121" spans="1:13" ht="15" customHeight="1" thickBot="1" x14ac:dyDescent="0.3">
      <c r="A121" s="12" t="s">
        <v>91</v>
      </c>
      <c r="B121" s="5" t="s">
        <v>157</v>
      </c>
      <c r="C121" s="353">
        <f t="shared" si="42"/>
        <v>980738840</v>
      </c>
      <c r="D121" s="655">
        <f>803897985+94500-127000</f>
        <v>803865485</v>
      </c>
      <c r="E121" s="214">
        <v>5412697</v>
      </c>
      <c r="F121" s="214">
        <v>851710</v>
      </c>
      <c r="G121" s="214">
        <v>2983000</v>
      </c>
      <c r="H121" s="214">
        <v>829296</v>
      </c>
      <c r="I121" s="34">
        <v>41976151</v>
      </c>
      <c r="J121" s="34">
        <v>124820501</v>
      </c>
      <c r="L121" s="317">
        <f>'2. sz.mell. '!C121+'3. sz.mell.'!C121+'4. sz.mell. '!C122+'5. sz.mell.'!C122</f>
        <v>980738840</v>
      </c>
      <c r="M121" s="318">
        <f t="shared" si="43"/>
        <v>0</v>
      </c>
    </row>
    <row r="122" spans="1:13" ht="12.2" customHeight="1" thickBot="1" x14ac:dyDescent="0.3">
      <c r="A122" s="12" t="s">
        <v>92</v>
      </c>
      <c r="B122" s="9" t="s">
        <v>297</v>
      </c>
      <c r="C122" s="353">
        <f t="shared" si="42"/>
        <v>467202478</v>
      </c>
      <c r="D122" s="1086">
        <f>9531000+2064+33810000+149722828+14110459+4072670+6915150+132519159</f>
        <v>350683330</v>
      </c>
      <c r="E122" s="214"/>
      <c r="F122" s="214"/>
      <c r="G122" s="214"/>
      <c r="H122" s="214"/>
      <c r="I122" s="214"/>
      <c r="J122" s="214">
        <v>116519148</v>
      </c>
      <c r="L122" s="317">
        <f>'2. sz.mell. '!C122+'3. sz.mell.'!C122+'4. sz.mell. '!C123+'5. sz.mell.'!C123</f>
        <v>467202478</v>
      </c>
      <c r="M122" s="319">
        <f t="shared" si="43"/>
        <v>0</v>
      </c>
    </row>
    <row r="123" spans="1:13" ht="12.2" customHeight="1" thickBot="1" x14ac:dyDescent="0.3">
      <c r="A123" s="12" t="s">
        <v>93</v>
      </c>
      <c r="B123" s="9" t="s">
        <v>138</v>
      </c>
      <c r="C123" s="353">
        <f t="shared" si="42"/>
        <v>1817750243</v>
      </c>
      <c r="D123" s="246">
        <f>1603321288</f>
        <v>1603321288</v>
      </c>
      <c r="E123" s="114"/>
      <c r="F123" s="114"/>
      <c r="G123" s="114"/>
      <c r="H123" s="114"/>
      <c r="I123" s="114"/>
      <c r="J123" s="114">
        <v>214428955</v>
      </c>
      <c r="L123" s="317">
        <f>'2. sz.mell. '!C123+'3. sz.mell.'!C123+'4. sz.mell. '!C124+'5. sz.mell.'!C124</f>
        <v>1817750243</v>
      </c>
      <c r="M123" s="319">
        <f t="shared" si="43"/>
        <v>0</v>
      </c>
    </row>
    <row r="124" spans="1:13" ht="12.2" customHeight="1" thickBot="1" x14ac:dyDescent="0.3">
      <c r="A124" s="12" t="s">
        <v>94</v>
      </c>
      <c r="B124" s="9" t="s">
        <v>298</v>
      </c>
      <c r="C124" s="353">
        <f t="shared" si="42"/>
        <v>1200783442</v>
      </c>
      <c r="D124" s="246">
        <f>255268500+236651994+350344740+68279112+98425000</f>
        <v>1008969346</v>
      </c>
      <c r="E124" s="246"/>
      <c r="F124" s="246"/>
      <c r="G124" s="246"/>
      <c r="H124" s="246"/>
      <c r="I124" s="246"/>
      <c r="J124" s="246">
        <v>191814096</v>
      </c>
      <c r="L124" s="317">
        <f>'2. sz.mell. '!C124+'3. sz.mell.'!C124+'4. sz.mell. '!C125+'5. sz.mell.'!C125</f>
        <v>1200783442</v>
      </c>
      <c r="M124" s="319">
        <f t="shared" si="43"/>
        <v>0</v>
      </c>
    </row>
    <row r="125" spans="1:13" ht="12.2" customHeight="1" thickBot="1" x14ac:dyDescent="0.3">
      <c r="A125" s="12" t="s">
        <v>95</v>
      </c>
      <c r="B125" s="107" t="s">
        <v>159</v>
      </c>
      <c r="C125" s="353">
        <f t="shared" si="42"/>
        <v>4606442</v>
      </c>
      <c r="D125" s="246">
        <f t="shared" ref="D125:J125" si="49">SUM(D126:D133)</f>
        <v>2001092</v>
      </c>
      <c r="E125" s="246">
        <f t="shared" si="49"/>
        <v>0</v>
      </c>
      <c r="F125" s="246">
        <f t="shared" si="49"/>
        <v>0</v>
      </c>
      <c r="G125" s="246">
        <f t="shared" si="49"/>
        <v>0</v>
      </c>
      <c r="H125" s="246">
        <f t="shared" si="49"/>
        <v>0</v>
      </c>
      <c r="I125" s="246">
        <f t="shared" ref="I125" si="50">SUM(I126:I133)</f>
        <v>0</v>
      </c>
      <c r="J125" s="246">
        <v>2605350</v>
      </c>
      <c r="L125" s="317">
        <f>'2. sz.mell. '!C125+'3. sz.mell.'!C125+'4. sz.mell. '!C126+'5. sz.mell.'!C126</f>
        <v>4606442</v>
      </c>
      <c r="M125" s="319">
        <f t="shared" si="43"/>
        <v>0</v>
      </c>
    </row>
    <row r="126" spans="1:13" ht="12.2" customHeight="1" thickBot="1" x14ac:dyDescent="0.3">
      <c r="A126" s="12" t="s">
        <v>104</v>
      </c>
      <c r="B126" s="106" t="s">
        <v>358</v>
      </c>
      <c r="C126" s="353">
        <f t="shared" si="42"/>
        <v>0</v>
      </c>
      <c r="D126" s="246"/>
      <c r="E126" s="246"/>
      <c r="F126" s="246"/>
      <c r="G126" s="246"/>
      <c r="H126" s="246"/>
      <c r="I126" s="246"/>
      <c r="J126" s="246">
        <v>0</v>
      </c>
      <c r="L126" s="317">
        <f>'2. sz.mell. '!C126+'3. sz.mell.'!C126+'4. sz.mell. '!C127+'5. sz.mell.'!C127</f>
        <v>0</v>
      </c>
      <c r="M126" s="319">
        <f t="shared" si="43"/>
        <v>0</v>
      </c>
    </row>
    <row r="127" spans="1:13" ht="12.2" customHeight="1" thickBot="1" x14ac:dyDescent="0.3">
      <c r="A127" s="12" t="s">
        <v>106</v>
      </c>
      <c r="B127" s="177" t="s">
        <v>303</v>
      </c>
      <c r="C127" s="353">
        <f t="shared" si="42"/>
        <v>0</v>
      </c>
      <c r="D127" s="246"/>
      <c r="E127" s="246"/>
      <c r="F127" s="246"/>
      <c r="G127" s="246"/>
      <c r="H127" s="246"/>
      <c r="I127" s="246"/>
      <c r="J127" s="246">
        <v>0</v>
      </c>
      <c r="L127" s="317">
        <f>'2. sz.mell. '!C127+'3. sz.mell.'!C127+'4. sz.mell. '!C128+'5. sz.mell.'!C128</f>
        <v>0</v>
      </c>
      <c r="M127" s="319">
        <f t="shared" si="43"/>
        <v>0</v>
      </c>
    </row>
    <row r="128" spans="1:13" ht="16.5" thickBot="1" x14ac:dyDescent="0.3">
      <c r="A128" s="12" t="s">
        <v>139</v>
      </c>
      <c r="B128" s="59" t="s">
        <v>286</v>
      </c>
      <c r="C128" s="353">
        <f t="shared" si="42"/>
        <v>0</v>
      </c>
      <c r="D128" s="246"/>
      <c r="E128" s="246"/>
      <c r="F128" s="246"/>
      <c r="G128" s="246"/>
      <c r="H128" s="246"/>
      <c r="I128" s="246"/>
      <c r="J128" s="246">
        <v>0</v>
      </c>
      <c r="L128" s="317">
        <f>'2. sz.mell. '!C128+'3. sz.mell.'!C128+'4. sz.mell. '!C129+'5. sz.mell.'!C129</f>
        <v>0</v>
      </c>
      <c r="M128" s="319">
        <f t="shared" si="43"/>
        <v>0</v>
      </c>
    </row>
    <row r="129" spans="1:13" ht="12.2" customHeight="1" thickBot="1" x14ac:dyDescent="0.3">
      <c r="A129" s="12" t="s">
        <v>140</v>
      </c>
      <c r="B129" s="59" t="s">
        <v>302</v>
      </c>
      <c r="C129" s="353">
        <f>SUM(D129:J129)</f>
        <v>0</v>
      </c>
      <c r="D129" s="246"/>
      <c r="E129" s="246"/>
      <c r="F129" s="246"/>
      <c r="G129" s="246"/>
      <c r="H129" s="246"/>
      <c r="I129" s="246"/>
      <c r="J129" s="246">
        <v>0</v>
      </c>
      <c r="L129" s="317">
        <f>'2. sz.mell. '!C129+'3. sz.mell.'!C129+'4. sz.mell. '!C130+'5. sz.mell.'!C130</f>
        <v>0</v>
      </c>
      <c r="M129" s="319">
        <f t="shared" si="43"/>
        <v>0</v>
      </c>
    </row>
    <row r="130" spans="1:13" ht="12.2" customHeight="1" thickBot="1" x14ac:dyDescent="0.3">
      <c r="A130" s="12" t="s">
        <v>141</v>
      </c>
      <c r="B130" s="59" t="s">
        <v>301</v>
      </c>
      <c r="C130" s="353">
        <f t="shared" si="42"/>
        <v>0</v>
      </c>
      <c r="D130" s="246"/>
      <c r="E130" s="246"/>
      <c r="F130" s="246"/>
      <c r="G130" s="246"/>
      <c r="H130" s="246"/>
      <c r="I130" s="246"/>
      <c r="J130" s="246">
        <v>0</v>
      </c>
      <c r="L130" s="317">
        <f>'2. sz.mell. '!C130+'3. sz.mell.'!C130+'4. sz.mell. '!C131+'5. sz.mell.'!C131</f>
        <v>0</v>
      </c>
      <c r="M130" s="319">
        <f t="shared" si="43"/>
        <v>0</v>
      </c>
    </row>
    <row r="131" spans="1:13" ht="12.2" customHeight="1" thickBot="1" x14ac:dyDescent="0.3">
      <c r="A131" s="12" t="s">
        <v>294</v>
      </c>
      <c r="B131" s="59" t="s">
        <v>289</v>
      </c>
      <c r="C131" s="353">
        <f t="shared" si="42"/>
        <v>0</v>
      </c>
      <c r="D131" s="246"/>
      <c r="E131" s="246"/>
      <c r="F131" s="246"/>
      <c r="G131" s="246"/>
      <c r="H131" s="246"/>
      <c r="I131" s="246"/>
      <c r="J131" s="246">
        <v>0</v>
      </c>
      <c r="L131" s="317">
        <f>'2. sz.mell. '!C131+'3. sz.mell.'!C131+'4. sz.mell. '!C132+'5. sz.mell.'!C132</f>
        <v>0</v>
      </c>
      <c r="M131" s="319">
        <f t="shared" si="43"/>
        <v>0</v>
      </c>
    </row>
    <row r="132" spans="1:13" ht="12.2" customHeight="1" thickBot="1" x14ac:dyDescent="0.3">
      <c r="A132" s="12" t="s">
        <v>295</v>
      </c>
      <c r="B132" s="59" t="s">
        <v>300</v>
      </c>
      <c r="C132" s="353">
        <f t="shared" si="42"/>
        <v>0</v>
      </c>
      <c r="D132" s="246"/>
      <c r="E132" s="246"/>
      <c r="F132" s="246"/>
      <c r="G132" s="246"/>
      <c r="H132" s="246"/>
      <c r="I132" s="246"/>
      <c r="J132" s="246">
        <v>0</v>
      </c>
      <c r="L132" s="317">
        <f>'2. sz.mell. '!C132+'3. sz.mell.'!C132+'4. sz.mell. '!C133+'5. sz.mell.'!C133</f>
        <v>0</v>
      </c>
      <c r="M132" s="319">
        <f t="shared" si="43"/>
        <v>0</v>
      </c>
    </row>
    <row r="133" spans="1:13" ht="16.5" thickBot="1" x14ac:dyDescent="0.3">
      <c r="A133" s="10" t="s">
        <v>296</v>
      </c>
      <c r="B133" s="59" t="s">
        <v>299</v>
      </c>
      <c r="C133" s="353">
        <f t="shared" si="42"/>
        <v>4606442</v>
      </c>
      <c r="D133" s="249">
        <f>2001092</f>
        <v>2001092</v>
      </c>
      <c r="E133" s="249"/>
      <c r="F133" s="249"/>
      <c r="G133" s="249"/>
      <c r="H133" s="249"/>
      <c r="I133" s="249"/>
      <c r="J133" s="249">
        <v>2605350</v>
      </c>
      <c r="L133" s="317">
        <f>'2. sz.mell. '!C133+'3. sz.mell.'!C133+'4. sz.mell. '!C134+'5. sz.mell.'!C134</f>
        <v>4606442</v>
      </c>
      <c r="M133" s="320">
        <f t="shared" si="43"/>
        <v>0</v>
      </c>
    </row>
    <row r="134" spans="1:13" ht="12.2" customHeight="1" thickBot="1" x14ac:dyDescent="0.3">
      <c r="A134" s="17" t="s">
        <v>18</v>
      </c>
      <c r="B134" s="356" t="s">
        <v>406</v>
      </c>
      <c r="C134" s="358">
        <f t="shared" si="42"/>
        <v>6737002918</v>
      </c>
      <c r="D134" s="255">
        <f t="shared" ref="D134:J134" si="51">+D99+D120</f>
        <v>3417626719</v>
      </c>
      <c r="E134" s="110">
        <f t="shared" si="51"/>
        <v>621584049</v>
      </c>
      <c r="F134" s="110">
        <f t="shared" si="51"/>
        <v>465074551</v>
      </c>
      <c r="G134" s="110">
        <f t="shared" si="51"/>
        <v>202598876</v>
      </c>
      <c r="H134" s="110">
        <f t="shared" si="51"/>
        <v>181035967</v>
      </c>
      <c r="I134" s="110">
        <f t="shared" ref="I134" si="52">+I99+I120</f>
        <v>1415679320</v>
      </c>
      <c r="J134" s="110">
        <v>433403436</v>
      </c>
      <c r="L134" s="317">
        <f>'2. sz.mell. '!C134+'3. sz.mell.'!C134+'4. sz.mell. '!C135+'5. sz.mell.'!C135</f>
        <v>6737002918</v>
      </c>
      <c r="M134" s="317">
        <f t="shared" si="43"/>
        <v>0</v>
      </c>
    </row>
    <row r="135" spans="1:13" ht="12.2" customHeight="1" thickBot="1" x14ac:dyDescent="0.3">
      <c r="A135" s="17" t="s">
        <v>19</v>
      </c>
      <c r="B135" s="356" t="s">
        <v>407</v>
      </c>
      <c r="C135" s="358">
        <f>SUM(D135:J135)</f>
        <v>1121918686</v>
      </c>
      <c r="D135" s="255">
        <f t="shared" ref="D135:J135" si="53">+D136+D137+D138</f>
        <v>1121918686</v>
      </c>
      <c r="E135" s="110">
        <f t="shared" si="53"/>
        <v>0</v>
      </c>
      <c r="F135" s="110">
        <f t="shared" si="53"/>
        <v>0</v>
      </c>
      <c r="G135" s="110">
        <f t="shared" si="53"/>
        <v>0</v>
      </c>
      <c r="H135" s="110">
        <f t="shared" si="53"/>
        <v>0</v>
      </c>
      <c r="I135" s="110">
        <f t="shared" ref="I135" si="54">+I136+I137+I138</f>
        <v>0</v>
      </c>
      <c r="J135" s="110">
        <v>0</v>
      </c>
      <c r="L135" s="317">
        <f>'2. sz.mell. '!C135+'3. sz.mell.'!C135+'4. sz.mell. '!C136+'5. sz.mell.'!C136</f>
        <v>1121918686</v>
      </c>
      <c r="M135" s="317">
        <f t="shared" si="43"/>
        <v>0</v>
      </c>
    </row>
    <row r="136" spans="1:13" ht="12.2" customHeight="1" thickBot="1" x14ac:dyDescent="0.3">
      <c r="A136" s="12" t="s">
        <v>195</v>
      </c>
      <c r="B136" s="9" t="s">
        <v>408</v>
      </c>
      <c r="C136" s="353">
        <f>SUM(D136:J136)</f>
        <v>21918686</v>
      </c>
      <c r="D136" s="246">
        <v>21918686</v>
      </c>
      <c r="E136" s="246"/>
      <c r="F136" s="246"/>
      <c r="G136" s="246"/>
      <c r="H136" s="246"/>
      <c r="I136" s="246"/>
      <c r="J136" s="246">
        <v>0</v>
      </c>
      <c r="L136" s="317">
        <f>'2. sz.mell. '!C136+'3. sz.mell.'!C136+'4. sz.mell. '!C137+'5. sz.mell.'!C137</f>
        <v>21918686</v>
      </c>
      <c r="M136" s="318">
        <f t="shared" si="43"/>
        <v>0</v>
      </c>
    </row>
    <row r="137" spans="1:13" ht="12.2" customHeight="1" thickBot="1" x14ac:dyDescent="0.3">
      <c r="A137" s="12" t="s">
        <v>198</v>
      </c>
      <c r="B137" s="9" t="s">
        <v>409</v>
      </c>
      <c r="C137" s="353">
        <f>SUM(D137:J137)</f>
        <v>1100000000</v>
      </c>
      <c r="D137" s="246">
        <f>1100000000</f>
        <v>1100000000</v>
      </c>
      <c r="E137" s="246"/>
      <c r="F137" s="246"/>
      <c r="G137" s="246"/>
      <c r="H137" s="246"/>
      <c r="I137" s="246"/>
      <c r="J137" s="246">
        <v>0</v>
      </c>
      <c r="L137" s="317">
        <f>'2. sz.mell. '!C137+'3. sz.mell.'!C137+'4. sz.mell. '!C138+'5. sz.mell.'!C138</f>
        <v>1100000000</v>
      </c>
      <c r="M137" s="319">
        <f t="shared" si="43"/>
        <v>0</v>
      </c>
    </row>
    <row r="138" spans="1:13" ht="12.2" customHeight="1" thickBot="1" x14ac:dyDescent="0.3">
      <c r="A138" s="10" t="s">
        <v>199</v>
      </c>
      <c r="B138" s="9" t="s">
        <v>410</v>
      </c>
      <c r="C138" s="399">
        <f t="shared" si="42"/>
        <v>0</v>
      </c>
      <c r="D138" s="246"/>
      <c r="E138" s="246"/>
      <c r="F138" s="246"/>
      <c r="G138" s="246"/>
      <c r="H138" s="246"/>
      <c r="I138" s="246"/>
      <c r="J138" s="246">
        <v>0</v>
      </c>
      <c r="L138" s="317">
        <f>'2. sz.mell. '!C138+'3. sz.mell.'!C138+'4. sz.mell. '!C139+'5. sz.mell.'!C139</f>
        <v>0</v>
      </c>
      <c r="M138" s="320">
        <f t="shared" si="43"/>
        <v>0</v>
      </c>
    </row>
    <row r="139" spans="1:13" ht="12.2" customHeight="1" thickBot="1" x14ac:dyDescent="0.3">
      <c r="A139" s="17" t="s">
        <v>20</v>
      </c>
      <c r="B139" s="356" t="s">
        <v>411</v>
      </c>
      <c r="C139" s="358">
        <f t="shared" si="42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J139" s="110">
        <v>0</v>
      </c>
      <c r="L139" s="317">
        <f>'2. sz.mell. '!C139+'3. sz.mell.'!C139+'4. sz.mell. '!C140+'5. sz.mell.'!C140</f>
        <v>0</v>
      </c>
      <c r="M139" s="317">
        <f t="shared" si="43"/>
        <v>0</v>
      </c>
    </row>
    <row r="140" spans="1:13" ht="12.2" customHeight="1" thickBot="1" x14ac:dyDescent="0.3">
      <c r="A140" s="12" t="s">
        <v>78</v>
      </c>
      <c r="B140" s="6" t="s">
        <v>412</v>
      </c>
      <c r="C140" s="353">
        <f t="shared" si="42"/>
        <v>0</v>
      </c>
      <c r="D140" s="99"/>
      <c r="E140" s="99"/>
      <c r="F140" s="99"/>
      <c r="G140" s="99"/>
      <c r="H140" s="99"/>
      <c r="I140" s="99"/>
      <c r="J140" s="99">
        <v>0</v>
      </c>
      <c r="L140" s="317">
        <f>'2. sz.mell. '!C140+'3. sz.mell.'!C140+'4. sz.mell. '!C141+'5. sz.mell.'!C141</f>
        <v>0</v>
      </c>
      <c r="M140" s="318">
        <f t="shared" si="43"/>
        <v>0</v>
      </c>
    </row>
    <row r="141" spans="1:13" ht="12.2" customHeight="1" thickBot="1" x14ac:dyDescent="0.3">
      <c r="A141" s="12" t="s">
        <v>79</v>
      </c>
      <c r="B141" s="6" t="s">
        <v>413</v>
      </c>
      <c r="C141" s="353">
        <f t="shared" si="42"/>
        <v>0</v>
      </c>
      <c r="D141" s="99"/>
      <c r="E141" s="99"/>
      <c r="F141" s="99"/>
      <c r="G141" s="99"/>
      <c r="H141" s="99"/>
      <c r="I141" s="99"/>
      <c r="J141" s="99">
        <v>0</v>
      </c>
      <c r="L141" s="317">
        <f>'2. sz.mell. '!C141+'3. sz.mell.'!C141+'4. sz.mell. '!C142+'5. sz.mell.'!C142</f>
        <v>0</v>
      </c>
      <c r="M141" s="319">
        <f t="shared" si="43"/>
        <v>0</v>
      </c>
    </row>
    <row r="142" spans="1:13" ht="12.2" customHeight="1" thickBot="1" x14ac:dyDescent="0.3">
      <c r="A142" s="12" t="s">
        <v>80</v>
      </c>
      <c r="B142" s="6" t="s">
        <v>414</v>
      </c>
      <c r="C142" s="353">
        <f t="shared" si="42"/>
        <v>0</v>
      </c>
      <c r="D142" s="99"/>
      <c r="E142" s="99"/>
      <c r="F142" s="99"/>
      <c r="G142" s="99"/>
      <c r="H142" s="99"/>
      <c r="I142" s="99"/>
      <c r="J142" s="99">
        <v>0</v>
      </c>
      <c r="L142" s="317">
        <f>'2. sz.mell. '!C142+'3. sz.mell.'!C142+'4. sz.mell. '!C143+'5. sz.mell.'!C143</f>
        <v>0</v>
      </c>
      <c r="M142" s="319">
        <f t="shared" si="43"/>
        <v>0</v>
      </c>
    </row>
    <row r="143" spans="1:13" ht="12.2" customHeight="1" thickBot="1" x14ac:dyDescent="0.3">
      <c r="A143" s="12" t="s">
        <v>126</v>
      </c>
      <c r="B143" s="6" t="s">
        <v>415</v>
      </c>
      <c r="C143" s="353">
        <f t="shared" si="42"/>
        <v>0</v>
      </c>
      <c r="D143" s="99"/>
      <c r="E143" s="99"/>
      <c r="F143" s="99"/>
      <c r="G143" s="99"/>
      <c r="H143" s="99"/>
      <c r="I143" s="99"/>
      <c r="J143" s="99">
        <v>0</v>
      </c>
      <c r="L143" s="317">
        <f>'2. sz.mell. '!C143+'3. sz.mell.'!C143+'4. sz.mell. '!C144+'5. sz.mell.'!C144</f>
        <v>0</v>
      </c>
      <c r="M143" s="319">
        <f t="shared" si="43"/>
        <v>0</v>
      </c>
    </row>
    <row r="144" spans="1:13" ht="12.2" customHeight="1" thickBot="1" x14ac:dyDescent="0.3">
      <c r="A144" s="12" t="s">
        <v>127</v>
      </c>
      <c r="B144" s="6" t="s">
        <v>416</v>
      </c>
      <c r="C144" s="353">
        <f t="shared" si="42"/>
        <v>0</v>
      </c>
      <c r="D144" s="99"/>
      <c r="E144" s="99"/>
      <c r="F144" s="99"/>
      <c r="G144" s="99"/>
      <c r="H144" s="99"/>
      <c r="I144" s="99"/>
      <c r="J144" s="99">
        <v>0</v>
      </c>
      <c r="L144" s="317">
        <f>'2. sz.mell. '!C144+'3. sz.mell.'!C144+'4. sz.mell. '!C145+'5. sz.mell.'!C145</f>
        <v>0</v>
      </c>
      <c r="M144" s="319">
        <f t="shared" si="43"/>
        <v>0</v>
      </c>
    </row>
    <row r="145" spans="1:13" ht="12.2" customHeight="1" thickBot="1" x14ac:dyDescent="0.3">
      <c r="A145" s="10" t="s">
        <v>128</v>
      </c>
      <c r="B145" s="6" t="s">
        <v>417</v>
      </c>
      <c r="C145" s="399">
        <f t="shared" si="42"/>
        <v>0</v>
      </c>
      <c r="D145" s="99"/>
      <c r="E145" s="99"/>
      <c r="F145" s="99"/>
      <c r="G145" s="99"/>
      <c r="H145" s="99"/>
      <c r="I145" s="99"/>
      <c r="J145" s="99">
        <v>0</v>
      </c>
      <c r="L145" s="317">
        <f>'2. sz.mell. '!C145+'3. sz.mell.'!C145+'4. sz.mell. '!C146+'5. sz.mell.'!C146</f>
        <v>0</v>
      </c>
      <c r="M145" s="320">
        <f t="shared" si="43"/>
        <v>0</v>
      </c>
    </row>
    <row r="146" spans="1:13" ht="12.2" customHeight="1" thickBot="1" x14ac:dyDescent="0.3">
      <c r="A146" s="17" t="s">
        <v>21</v>
      </c>
      <c r="B146" s="356" t="s">
        <v>418</v>
      </c>
      <c r="C146" s="358">
        <f t="shared" si="42"/>
        <v>61842606</v>
      </c>
      <c r="D146" s="257">
        <f t="shared" ref="D146:J146" si="55">+D147+D148+D149+D150</f>
        <v>61842606</v>
      </c>
      <c r="E146" s="115">
        <f t="shared" si="55"/>
        <v>0</v>
      </c>
      <c r="F146" s="115">
        <f t="shared" si="55"/>
        <v>0</v>
      </c>
      <c r="G146" s="115">
        <f t="shared" si="55"/>
        <v>0</v>
      </c>
      <c r="H146" s="115">
        <f t="shared" si="55"/>
        <v>0</v>
      </c>
      <c r="I146" s="115">
        <f t="shared" ref="I146" si="56">+I147+I148+I149+I150</f>
        <v>0</v>
      </c>
      <c r="J146" s="115">
        <v>0</v>
      </c>
      <c r="L146" s="317">
        <f>'2. sz.mell. '!C146+'3. sz.mell.'!C146+'4. sz.mell. '!C147+'5. sz.mell.'!C147</f>
        <v>61842606</v>
      </c>
      <c r="M146" s="317">
        <f t="shared" si="43"/>
        <v>0</v>
      </c>
    </row>
    <row r="147" spans="1:13" ht="12.2" customHeight="1" thickBot="1" x14ac:dyDescent="0.3">
      <c r="A147" s="12" t="s">
        <v>81</v>
      </c>
      <c r="B147" s="6" t="s">
        <v>304</v>
      </c>
      <c r="C147" s="353">
        <f t="shared" si="42"/>
        <v>0</v>
      </c>
      <c r="D147" s="246"/>
      <c r="E147" s="246"/>
      <c r="F147" s="246"/>
      <c r="G147" s="246"/>
      <c r="H147" s="246"/>
      <c r="I147" s="246"/>
      <c r="J147" s="246">
        <v>0</v>
      </c>
      <c r="L147" s="317">
        <f>'2. sz.mell. '!C147+'3. sz.mell.'!C147+'4. sz.mell. '!C148+'5. sz.mell.'!C148</f>
        <v>0</v>
      </c>
      <c r="M147" s="318">
        <f t="shared" si="43"/>
        <v>0</v>
      </c>
    </row>
    <row r="148" spans="1:13" ht="12.2" customHeight="1" thickBot="1" x14ac:dyDescent="0.3">
      <c r="A148" s="12" t="s">
        <v>82</v>
      </c>
      <c r="B148" s="6" t="s">
        <v>305</v>
      </c>
      <c r="C148" s="353">
        <f t="shared" si="42"/>
        <v>61842606</v>
      </c>
      <c r="D148" s="246">
        <v>61842606</v>
      </c>
      <c r="E148" s="246"/>
      <c r="F148" s="246"/>
      <c r="G148" s="246"/>
      <c r="H148" s="246"/>
      <c r="I148" s="246"/>
      <c r="J148" s="246">
        <v>0</v>
      </c>
      <c r="L148" s="317">
        <f>'2. sz.mell. '!C148+'3. sz.mell.'!C148+'4. sz.mell. '!C149+'5. sz.mell.'!C149</f>
        <v>61842606</v>
      </c>
      <c r="M148" s="319">
        <f t="shared" si="43"/>
        <v>0</v>
      </c>
    </row>
    <row r="149" spans="1:13" ht="12.2" customHeight="1" thickBot="1" x14ac:dyDescent="0.3">
      <c r="A149" s="12" t="s">
        <v>218</v>
      </c>
      <c r="B149" s="6" t="s">
        <v>419</v>
      </c>
      <c r="C149" s="353">
        <f t="shared" si="42"/>
        <v>0</v>
      </c>
      <c r="D149" s="246"/>
      <c r="E149" s="246"/>
      <c r="F149" s="246"/>
      <c r="G149" s="246"/>
      <c r="H149" s="246"/>
      <c r="I149" s="246"/>
      <c r="J149" s="246">
        <v>0</v>
      </c>
      <c r="L149" s="317">
        <f>'2. sz.mell. '!C149+'3. sz.mell.'!C149+'4. sz.mell. '!C150+'5. sz.mell.'!C150</f>
        <v>0</v>
      </c>
      <c r="M149" s="319">
        <f t="shared" si="43"/>
        <v>0</v>
      </c>
    </row>
    <row r="150" spans="1:13" ht="12.2" customHeight="1" thickBot="1" x14ac:dyDescent="0.3">
      <c r="A150" s="10" t="s">
        <v>219</v>
      </c>
      <c r="B150" s="4" t="s">
        <v>323</v>
      </c>
      <c r="C150" s="399">
        <f t="shared" si="42"/>
        <v>0</v>
      </c>
      <c r="D150" s="246"/>
      <c r="E150" s="246"/>
      <c r="F150" s="246"/>
      <c r="G150" s="246"/>
      <c r="H150" s="246"/>
      <c r="I150" s="246"/>
      <c r="J150" s="246">
        <v>0</v>
      </c>
      <c r="L150" s="317">
        <f>'2. sz.mell. '!C150+'3. sz.mell.'!C150+'4. sz.mell. '!C151+'5. sz.mell.'!C151</f>
        <v>0</v>
      </c>
      <c r="M150" s="320">
        <f t="shared" si="43"/>
        <v>0</v>
      </c>
    </row>
    <row r="151" spans="1:13" ht="12.2" customHeight="1" thickBot="1" x14ac:dyDescent="0.3">
      <c r="A151" s="17" t="s">
        <v>22</v>
      </c>
      <c r="B151" s="356" t="s">
        <v>420</v>
      </c>
      <c r="C151" s="358">
        <f t="shared" si="42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J151" s="118">
        <v>0</v>
      </c>
      <c r="L151" s="317">
        <f>'2. sz.mell. '!C151+'3. sz.mell.'!C151+'4. sz.mell. '!C152+'5. sz.mell.'!C152</f>
        <v>0</v>
      </c>
      <c r="M151" s="317">
        <f t="shared" si="43"/>
        <v>0</v>
      </c>
    </row>
    <row r="152" spans="1:13" ht="12.2" customHeight="1" thickBot="1" x14ac:dyDescent="0.3">
      <c r="A152" s="12" t="s">
        <v>83</v>
      </c>
      <c r="B152" s="6" t="s">
        <v>421</v>
      </c>
      <c r="C152" s="354">
        <f t="shared" si="42"/>
        <v>0</v>
      </c>
      <c r="D152" s="99"/>
      <c r="E152" s="99"/>
      <c r="F152" s="99"/>
      <c r="G152" s="99"/>
      <c r="H152" s="99"/>
      <c r="I152" s="99"/>
      <c r="J152" s="99">
        <v>0</v>
      </c>
      <c r="L152" s="317">
        <f>'2. sz.mell. '!C152+'3. sz.mell.'!C152+'4. sz.mell. '!C153+'5. sz.mell.'!C153</f>
        <v>0</v>
      </c>
      <c r="M152" s="318">
        <f t="shared" si="43"/>
        <v>0</v>
      </c>
    </row>
    <row r="153" spans="1:13" ht="12.2" customHeight="1" thickBot="1" x14ac:dyDescent="0.3">
      <c r="A153" s="12" t="s">
        <v>84</v>
      </c>
      <c r="B153" s="6" t="s">
        <v>422</v>
      </c>
      <c r="C153" s="354">
        <f t="shared" si="42"/>
        <v>0</v>
      </c>
      <c r="D153" s="99"/>
      <c r="E153" s="99"/>
      <c r="F153" s="99"/>
      <c r="G153" s="99"/>
      <c r="H153" s="99"/>
      <c r="I153" s="99"/>
      <c r="J153" s="99">
        <v>0</v>
      </c>
      <c r="L153" s="317">
        <f>'2. sz.mell. '!C153+'3. sz.mell.'!C153+'4. sz.mell. '!C154+'5. sz.mell.'!C154</f>
        <v>0</v>
      </c>
      <c r="M153" s="319">
        <f t="shared" si="43"/>
        <v>0</v>
      </c>
    </row>
    <row r="154" spans="1:13" ht="12.2" customHeight="1" thickBot="1" x14ac:dyDescent="0.3">
      <c r="A154" s="12" t="s">
        <v>230</v>
      </c>
      <c r="B154" s="6" t="s">
        <v>423</v>
      </c>
      <c r="C154" s="354">
        <f t="shared" si="42"/>
        <v>0</v>
      </c>
      <c r="D154" s="99"/>
      <c r="E154" s="99"/>
      <c r="F154" s="99"/>
      <c r="G154" s="99"/>
      <c r="H154" s="99"/>
      <c r="I154" s="99"/>
      <c r="J154" s="99">
        <v>0</v>
      </c>
      <c r="L154" s="317">
        <f>'2. sz.mell. '!C154+'3. sz.mell.'!C154+'4. sz.mell. '!C155+'5. sz.mell.'!C155</f>
        <v>0</v>
      </c>
      <c r="M154" s="319">
        <f t="shared" si="43"/>
        <v>0</v>
      </c>
    </row>
    <row r="155" spans="1:13" ht="12.2" customHeight="1" thickBot="1" x14ac:dyDescent="0.3">
      <c r="A155" s="12" t="s">
        <v>231</v>
      </c>
      <c r="B155" s="6" t="s">
        <v>424</v>
      </c>
      <c r="C155" s="354">
        <f t="shared" si="42"/>
        <v>0</v>
      </c>
      <c r="D155" s="99"/>
      <c r="E155" s="99"/>
      <c r="F155" s="99"/>
      <c r="G155" s="99"/>
      <c r="H155" s="99"/>
      <c r="I155" s="99"/>
      <c r="J155" s="99">
        <v>0</v>
      </c>
      <c r="L155" s="317">
        <f>'2. sz.mell. '!C155+'3. sz.mell.'!C155+'4. sz.mell. '!C156+'5. sz.mell.'!C156</f>
        <v>0</v>
      </c>
      <c r="M155" s="319">
        <f t="shared" si="43"/>
        <v>0</v>
      </c>
    </row>
    <row r="156" spans="1:13" ht="12.2" customHeight="1" thickBot="1" x14ac:dyDescent="0.3">
      <c r="A156" s="12" t="s">
        <v>425</v>
      </c>
      <c r="B156" s="6" t="s">
        <v>426</v>
      </c>
      <c r="C156" s="357">
        <f t="shared" si="42"/>
        <v>0</v>
      </c>
      <c r="D156" s="100"/>
      <c r="E156" s="100"/>
      <c r="F156" s="99"/>
      <c r="G156" s="99"/>
      <c r="H156" s="99"/>
      <c r="I156" s="99"/>
      <c r="J156" s="99">
        <v>0</v>
      </c>
      <c r="L156" s="317">
        <f>'2. sz.mell. '!C156+'3. sz.mell.'!C156+'4. sz.mell. '!C157+'5. sz.mell.'!C157</f>
        <v>0</v>
      </c>
      <c r="M156" s="320">
        <f t="shared" si="43"/>
        <v>0</v>
      </c>
    </row>
    <row r="157" spans="1:13" ht="12.2" customHeight="1" thickBot="1" x14ac:dyDescent="0.3">
      <c r="A157" s="17" t="s">
        <v>23</v>
      </c>
      <c r="B157" s="356" t="s">
        <v>427</v>
      </c>
      <c r="C157" s="358">
        <f t="shared" si="42"/>
        <v>0</v>
      </c>
      <c r="D157" s="262"/>
      <c r="E157" s="118"/>
      <c r="F157" s="241"/>
      <c r="G157" s="241"/>
      <c r="H157" s="241"/>
      <c r="I157" s="241"/>
      <c r="J157" s="241">
        <v>0</v>
      </c>
      <c r="L157" s="317">
        <f>'2. sz.mell. '!C157+'3. sz.mell.'!C157+'4. sz.mell. '!C158+'5. sz.mell.'!C158</f>
        <v>0</v>
      </c>
      <c r="M157" s="317">
        <f t="shared" si="43"/>
        <v>0</v>
      </c>
    </row>
    <row r="158" spans="1:13" ht="12.2" customHeight="1" thickBot="1" x14ac:dyDescent="0.3">
      <c r="A158" s="17" t="s">
        <v>24</v>
      </c>
      <c r="B158" s="356" t="s">
        <v>428</v>
      </c>
      <c r="C158" s="358">
        <f t="shared" si="42"/>
        <v>0</v>
      </c>
      <c r="D158" s="262"/>
      <c r="E158" s="118"/>
      <c r="F158" s="241"/>
      <c r="G158" s="241"/>
      <c r="H158" s="241"/>
      <c r="I158" s="241"/>
      <c r="J158" s="241">
        <v>0</v>
      </c>
      <c r="L158" s="317">
        <f>'2. sz.mell. '!C158+'3. sz.mell.'!C158+'4. sz.mell. '!C159+'5. sz.mell.'!C159</f>
        <v>0</v>
      </c>
      <c r="M158" s="317">
        <f t="shared" si="43"/>
        <v>0</v>
      </c>
    </row>
    <row r="159" spans="1:13" ht="15" customHeight="1" thickBot="1" x14ac:dyDescent="0.3">
      <c r="A159" s="17" t="s">
        <v>25</v>
      </c>
      <c r="B159" s="356" t="s">
        <v>429</v>
      </c>
      <c r="C159" s="358">
        <f t="shared" si="42"/>
        <v>1183761292</v>
      </c>
      <c r="D159" s="263">
        <f t="shared" ref="D159:J159" si="57">+D135+D139+D146+D151+D157+D158</f>
        <v>1183761292</v>
      </c>
      <c r="E159" s="189">
        <f t="shared" si="57"/>
        <v>0</v>
      </c>
      <c r="F159" s="189">
        <f t="shared" si="57"/>
        <v>0</v>
      </c>
      <c r="G159" s="189">
        <f t="shared" si="57"/>
        <v>0</v>
      </c>
      <c r="H159" s="189">
        <f t="shared" si="57"/>
        <v>0</v>
      </c>
      <c r="I159" s="189">
        <f t="shared" ref="I159" si="58">+I135+I139+I146+I151+I157+I158</f>
        <v>0</v>
      </c>
      <c r="J159" s="189">
        <v>0</v>
      </c>
      <c r="K159" s="190"/>
      <c r="L159" s="317">
        <f>'2. sz.mell. '!C159+'3. sz.mell.'!C159+'4. sz.mell. '!C160+'5. sz.mell.'!C160</f>
        <v>1183761292</v>
      </c>
      <c r="M159" s="317">
        <f t="shared" si="43"/>
        <v>0</v>
      </c>
    </row>
    <row r="160" spans="1:13" s="179" customFormat="1" ht="12.95" customHeight="1" thickBot="1" x14ac:dyDescent="0.25">
      <c r="A160" s="108" t="s">
        <v>26</v>
      </c>
      <c r="B160" s="359" t="s">
        <v>430</v>
      </c>
      <c r="C160" s="358">
        <f>SUM(D160:J160)</f>
        <v>7920764210</v>
      </c>
      <c r="D160" s="263">
        <f t="shared" ref="D160:J160" si="59">+D134+D159</f>
        <v>4601388011</v>
      </c>
      <c r="E160" s="189">
        <f t="shared" si="59"/>
        <v>621584049</v>
      </c>
      <c r="F160" s="189">
        <f t="shared" si="59"/>
        <v>465074551</v>
      </c>
      <c r="G160" s="189">
        <f t="shared" si="59"/>
        <v>202598876</v>
      </c>
      <c r="H160" s="189">
        <f t="shared" si="59"/>
        <v>181035967</v>
      </c>
      <c r="I160" s="189">
        <f t="shared" ref="I160" si="60">+I134+I159</f>
        <v>1415679320</v>
      </c>
      <c r="J160" s="189">
        <v>433403436</v>
      </c>
      <c r="L160" s="317">
        <f>'2. sz.mell. '!C160+'3. sz.mell.'!C160+'4. sz.mell. '!C161+'5. sz.mell.'!C161</f>
        <v>7920764210</v>
      </c>
      <c r="M160" s="317">
        <f t="shared" si="43"/>
        <v>0</v>
      </c>
    </row>
    <row r="161" spans="1:10" x14ac:dyDescent="0.25">
      <c r="A161" s="1225" t="s">
        <v>306</v>
      </c>
      <c r="B161" s="1225"/>
      <c r="C161" s="1225"/>
    </row>
    <row r="162" spans="1:10" ht="15" customHeight="1" thickBot="1" x14ac:dyDescent="0.3">
      <c r="A162" s="1228" t="s">
        <v>116</v>
      </c>
      <c r="B162" s="1228"/>
      <c r="C162" s="764" t="s">
        <v>483</v>
      </c>
    </row>
    <row r="163" spans="1:10" ht="13.7" customHeight="1" thickBot="1" x14ac:dyDescent="0.3">
      <c r="A163" s="17">
        <v>1</v>
      </c>
      <c r="B163" s="22" t="s">
        <v>431</v>
      </c>
      <c r="C163" s="115">
        <f>+C69-C134</f>
        <v>-2373520162</v>
      </c>
      <c r="D163" s="281"/>
    </row>
    <row r="164" spans="1:10" ht="15" customHeight="1" thickBot="1" x14ac:dyDescent="0.3">
      <c r="A164" s="17" t="s">
        <v>17</v>
      </c>
      <c r="B164" s="22" t="s">
        <v>698</v>
      </c>
      <c r="C164" s="115">
        <f>+C93-C159</f>
        <v>2373520162</v>
      </c>
      <c r="F164" s="708"/>
      <c r="G164" s="708"/>
      <c r="H164" s="708"/>
      <c r="I164" s="708"/>
      <c r="J164" s="708"/>
    </row>
  </sheetData>
  <mergeCells count="12">
    <mergeCell ref="A1:C1"/>
    <mergeCell ref="A162:B162"/>
    <mergeCell ref="A7:C7"/>
    <mergeCell ref="A95:C95"/>
    <mergeCell ref="A96:B96"/>
    <mergeCell ref="A161:C161"/>
    <mergeCell ref="D4:J4"/>
    <mergeCell ref="D5:J5"/>
    <mergeCell ref="D3:J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5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60" zoomScaleNormal="160" zoomScalePageLayoutView="70" workbookViewId="0">
      <selection activeCell="A2" sqref="A2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83" t="str">
        <f>CONCATENATE("14. melléklet"," ",ALAPADATOK!A7," ",ALAPADATOK!B7," ",ALAPADATOK!C7," ",ALAPADATOK!D7," ",ALAPADATOK!E7," ",ALAPADATOK!F7," ",ALAPADATOK!G7," ",ALAPADATOK!H7)</f>
        <v>14. melléklet a .. / 2023. ( …... ) önkormányzati rendelethez</v>
      </c>
      <c r="B1" s="1283"/>
      <c r="C1" s="1283"/>
    </row>
    <row r="2" spans="1:3" s="1" customFormat="1" ht="21.2" customHeight="1" x14ac:dyDescent="0.2">
      <c r="A2" s="75"/>
      <c r="B2" s="76"/>
      <c r="C2" s="211"/>
    </row>
    <row r="3" spans="1:3" s="37" customFormat="1" ht="35.450000000000003" customHeight="1" thickBot="1" x14ac:dyDescent="0.25">
      <c r="A3" s="1236" t="s">
        <v>867</v>
      </c>
      <c r="B3" s="1236"/>
      <c r="C3" s="1236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75437214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114">
        <v>11050000</v>
      </c>
    </row>
    <row r="10" spans="1:3" s="38" customFormat="1" ht="12.2" customHeight="1" x14ac:dyDescent="0.2">
      <c r="A10" s="207" t="s">
        <v>87</v>
      </c>
      <c r="B10" s="5" t="s">
        <v>209</v>
      </c>
      <c r="C10" s="114">
        <v>11191113</v>
      </c>
    </row>
    <row r="11" spans="1:3" s="38" customFormat="1" ht="12.2" customHeight="1" x14ac:dyDescent="0.2">
      <c r="A11" s="207" t="s">
        <v>88</v>
      </c>
      <c r="B11" s="5" t="s">
        <v>210</v>
      </c>
      <c r="C11" s="114"/>
    </row>
    <row r="12" spans="1:3" s="38" customFormat="1" ht="12.2" customHeight="1" x14ac:dyDescent="0.2">
      <c r="A12" s="207" t="s">
        <v>111</v>
      </c>
      <c r="B12" s="5" t="s">
        <v>211</v>
      </c>
      <c r="C12" s="114">
        <f>25007525+6282330</f>
        <v>31289855</v>
      </c>
    </row>
    <row r="13" spans="1:3" s="38" customFormat="1" ht="12.2" customHeight="1" x14ac:dyDescent="0.2">
      <c r="A13" s="207" t="s">
        <v>89</v>
      </c>
      <c r="B13" s="5" t="s">
        <v>331</v>
      </c>
      <c r="C13" s="114">
        <f>10084134+1696229</f>
        <v>11780363</v>
      </c>
    </row>
    <row r="14" spans="1:3" s="38" customFormat="1" ht="12.2" customHeight="1" x14ac:dyDescent="0.2">
      <c r="A14" s="207" t="s">
        <v>90</v>
      </c>
      <c r="B14" s="4" t="s">
        <v>332</v>
      </c>
      <c r="C14" s="114">
        <v>10125883</v>
      </c>
    </row>
    <row r="15" spans="1:3" s="38" customFormat="1" ht="12.2" customHeight="1" x14ac:dyDescent="0.2">
      <c r="A15" s="207" t="s">
        <v>100</v>
      </c>
      <c r="B15" s="5" t="s">
        <v>214</v>
      </c>
      <c r="C15" s="157"/>
    </row>
    <row r="16" spans="1:3" s="39" customFormat="1" ht="12.2" customHeight="1" x14ac:dyDescent="0.2">
      <c r="A16" s="207" t="s">
        <v>101</v>
      </c>
      <c r="B16" s="5" t="s">
        <v>215</v>
      </c>
      <c r="C16" s="122"/>
    </row>
    <row r="17" spans="1:3" s="39" customFormat="1" ht="12.2" customHeight="1" x14ac:dyDescent="0.2">
      <c r="A17" s="207" t="s">
        <v>102</v>
      </c>
      <c r="B17" s="5" t="s">
        <v>388</v>
      </c>
      <c r="C17" s="123"/>
    </row>
    <row r="18" spans="1:3" s="39" customFormat="1" ht="12.2" customHeight="1" thickBot="1" x14ac:dyDescent="0.25">
      <c r="A18" s="207" t="s">
        <v>103</v>
      </c>
      <c r="B18" s="4" t="s">
        <v>216</v>
      </c>
      <c r="C18" s="123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36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75437214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281158577</v>
      </c>
    </row>
    <row r="38" spans="1:3" s="38" customFormat="1" ht="12.2" customHeight="1" x14ac:dyDescent="0.2">
      <c r="A38" s="208" t="s">
        <v>341</v>
      </c>
      <c r="B38" s="209" t="s">
        <v>166</v>
      </c>
      <c r="C38" s="114">
        <f>2214359+13211</f>
        <v>2227570</v>
      </c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f>246893672+32037335</f>
        <v>278931007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356595791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355732291</v>
      </c>
    </row>
    <row r="46" spans="1:3" ht="12.2" customHeight="1" x14ac:dyDescent="0.2">
      <c r="A46" s="207" t="s">
        <v>85</v>
      </c>
      <c r="B46" s="6" t="s">
        <v>46</v>
      </c>
      <c r="C46" s="251">
        <v>7060866</v>
      </c>
    </row>
    <row r="47" spans="1:3" ht="12.2" customHeight="1" x14ac:dyDescent="0.2">
      <c r="A47" s="207" t="s">
        <v>86</v>
      </c>
      <c r="B47" s="5" t="s">
        <v>134</v>
      </c>
      <c r="C47" s="114">
        <v>1545880</v>
      </c>
    </row>
    <row r="48" spans="1:3" ht="12.2" customHeight="1" x14ac:dyDescent="0.2">
      <c r="A48" s="207" t="s">
        <v>87</v>
      </c>
      <c r="B48" s="5" t="s">
        <v>110</v>
      </c>
      <c r="C48" s="170">
        <f>305922390+40029105</f>
        <v>345951495</v>
      </c>
    </row>
    <row r="49" spans="1:3" ht="12.2" customHeight="1" x14ac:dyDescent="0.2">
      <c r="A49" s="207" t="s">
        <v>88</v>
      </c>
      <c r="B49" s="5" t="s">
        <v>135</v>
      </c>
      <c r="C49" s="652"/>
    </row>
    <row r="50" spans="1:3" ht="12.2" customHeight="1" thickBot="1" x14ac:dyDescent="0.25">
      <c r="A50" s="207" t="s">
        <v>111</v>
      </c>
      <c r="B50" s="5" t="s">
        <v>136</v>
      </c>
      <c r="C50" s="170">
        <v>1174050</v>
      </c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863500</v>
      </c>
    </row>
    <row r="52" spans="1:3" s="213" customFormat="1" ht="12.2" customHeight="1" x14ac:dyDescent="0.2">
      <c r="A52" s="207" t="s">
        <v>91</v>
      </c>
      <c r="B52" s="6" t="s">
        <v>157</v>
      </c>
      <c r="C52" s="214">
        <v>863500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356595791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1009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28" zoomScale="115" zoomScaleNormal="115" workbookViewId="0">
      <selection activeCell="C41" sqref="C41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83" t="str">
        <f>CONCATENATE("19. melléklet ",ALAPADATOK!A7," ",ALAPADATOK!B7," ",ALAPADATOK!C7," ",ALAPADATOK!D7," ",ALAPADATOK!E7," ",ALAPADATOK!F7," ",ALAPADATOK!G7," ",ALAPADATOK!H7)</f>
        <v>19. melléklet a .. / 2023. ( …... ) önkormányzati rendelethez</v>
      </c>
      <c r="B1" s="1283"/>
      <c r="C1" s="1283"/>
    </row>
    <row r="2" spans="1:3" s="1" customFormat="1" ht="21.2" customHeight="1" x14ac:dyDescent="0.2">
      <c r="A2" s="75"/>
      <c r="B2" s="76"/>
      <c r="C2" s="211"/>
    </row>
    <row r="3" spans="1:3" s="1" customFormat="1" ht="21.2" customHeight="1" thickBot="1" x14ac:dyDescent="0.25">
      <c r="A3" s="1236" t="s">
        <v>942</v>
      </c>
      <c r="B3" s="1236"/>
      <c r="C3" s="1236"/>
    </row>
    <row r="4" spans="1:3" s="1" customFormat="1" ht="21.2" customHeight="1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108914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.2" customHeight="1" x14ac:dyDescent="0.2">
      <c r="A46" s="207" t="s">
        <v>85</v>
      </c>
      <c r="B46" s="6" t="s">
        <v>46</v>
      </c>
      <c r="C46" s="651"/>
    </row>
    <row r="47" spans="1:3" ht="12.2" customHeight="1" x14ac:dyDescent="0.2">
      <c r="A47" s="207" t="s">
        <v>86</v>
      </c>
      <c r="B47" s="5" t="s">
        <v>134</v>
      </c>
      <c r="C47" s="114">
        <v>7314</v>
      </c>
    </row>
    <row r="48" spans="1:3" ht="12.2" customHeight="1" x14ac:dyDescent="0.2">
      <c r="A48" s="207" t="s">
        <v>87</v>
      </c>
      <c r="B48" s="5" t="s">
        <v>110</v>
      </c>
      <c r="C48" s="170">
        <v>101600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60"/>
  <sheetViews>
    <sheetView zoomScale="115" zoomScaleNormal="115" workbookViewId="0">
      <selection activeCell="A2" sqref="A2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83" t="str">
        <f>CONCATENATE("15. melléklet"," ",ALAPADATOK!A7," ",ALAPADATOK!B7," ",ALAPADATOK!C7," ",ALAPADATOK!D7," ",ALAPADATOK!E7," ",ALAPADATOK!F7," ",ALAPADATOK!G7," ",ALAPADATOK!H7)</f>
        <v>15. melléklet a .. / 2023. ( …... ) önkormányzati rendelethez</v>
      </c>
      <c r="B1" s="1283"/>
      <c r="C1" s="1283"/>
    </row>
    <row r="2" spans="1:3" s="1" customFormat="1" ht="21.2" customHeight="1" x14ac:dyDescent="0.2">
      <c r="A2" s="75"/>
      <c r="B2" s="76"/>
      <c r="C2" s="211"/>
    </row>
    <row r="3" spans="1:3" s="37" customFormat="1" ht="33.75" customHeight="1" thickBot="1" x14ac:dyDescent="0.25">
      <c r="A3" s="1236" t="s">
        <v>868</v>
      </c>
      <c r="B3" s="1236"/>
      <c r="C3" s="1236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100000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>
        <v>100000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1557418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36">
        <v>1557418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4" s="39" customFormat="1" ht="12.2" customHeight="1" thickBot="1" x14ac:dyDescent="0.25">
      <c r="A33" s="207" t="s">
        <v>80</v>
      </c>
      <c r="B33" s="57" t="s">
        <v>223</v>
      </c>
      <c r="C33" s="649"/>
    </row>
    <row r="34" spans="1:4" s="38" customFormat="1" ht="12.2" customHeight="1" thickBot="1" x14ac:dyDescent="0.25">
      <c r="A34" s="74" t="s">
        <v>21</v>
      </c>
      <c r="B34" s="54" t="s">
        <v>309</v>
      </c>
      <c r="C34" s="142"/>
    </row>
    <row r="35" spans="1:4" s="38" customFormat="1" ht="12.2" customHeight="1" thickBot="1" x14ac:dyDescent="0.25">
      <c r="A35" s="74" t="s">
        <v>22</v>
      </c>
      <c r="B35" s="54" t="s">
        <v>338</v>
      </c>
      <c r="C35" s="158"/>
    </row>
    <row r="36" spans="1:4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1657418</v>
      </c>
    </row>
    <row r="37" spans="1:4" s="38" customFormat="1" ht="12.2" customHeight="1" thickBot="1" x14ac:dyDescent="0.25">
      <c r="A37" s="85" t="s">
        <v>24</v>
      </c>
      <c r="B37" s="54" t="s">
        <v>340</v>
      </c>
      <c r="C37" s="650">
        <f>+C38+C39+C40</f>
        <v>304808449</v>
      </c>
    </row>
    <row r="38" spans="1:4" s="38" customFormat="1" ht="12.2" customHeight="1" x14ac:dyDescent="0.2">
      <c r="A38" s="208" t="s">
        <v>341</v>
      </c>
      <c r="B38" s="209" t="s">
        <v>166</v>
      </c>
      <c r="C38" s="34"/>
      <c r="D38" s="253"/>
    </row>
    <row r="39" spans="1:4" s="38" customFormat="1" ht="12.2" customHeight="1" x14ac:dyDescent="0.2">
      <c r="A39" s="208" t="s">
        <v>342</v>
      </c>
      <c r="B39" s="210" t="s">
        <v>6</v>
      </c>
      <c r="C39" s="125"/>
    </row>
    <row r="40" spans="1:4" s="39" customFormat="1" ht="12.2" customHeight="1" thickBot="1" x14ac:dyDescent="0.25">
      <c r="A40" s="207" t="s">
        <v>343</v>
      </c>
      <c r="B40" s="57" t="s">
        <v>344</v>
      </c>
      <c r="C40" s="649">
        <v>304808449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306465867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.2" customHeight="1" thickBot="1" x14ac:dyDescent="0.25">
      <c r="A45" s="74" t="s">
        <v>16</v>
      </c>
      <c r="B45" s="54" t="s">
        <v>346</v>
      </c>
      <c r="C45" s="124">
        <f>SUM(C46:C50)</f>
        <v>301916670</v>
      </c>
    </row>
    <row r="46" spans="1:4" ht="12.2" customHeight="1" x14ac:dyDescent="0.2">
      <c r="A46" s="207" t="s">
        <v>85</v>
      </c>
      <c r="B46" s="6" t="s">
        <v>46</v>
      </c>
      <c r="C46" s="251">
        <f>216051852+1378246</f>
        <v>217430098</v>
      </c>
    </row>
    <row r="47" spans="1:4" ht="12.2" customHeight="1" x14ac:dyDescent="0.2">
      <c r="A47" s="207" t="s">
        <v>86</v>
      </c>
      <c r="B47" s="5" t="s">
        <v>134</v>
      </c>
      <c r="C47" s="114">
        <f>32641693+179172</f>
        <v>32820865</v>
      </c>
    </row>
    <row r="48" spans="1:4" ht="12.2" customHeight="1" x14ac:dyDescent="0.2">
      <c r="A48" s="207" t="s">
        <v>87</v>
      </c>
      <c r="B48" s="5" t="s">
        <v>110</v>
      </c>
      <c r="C48" s="170">
        <v>51665707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4549197</v>
      </c>
    </row>
    <row r="52" spans="1:3" s="213" customFormat="1" ht="12.2" customHeight="1" x14ac:dyDescent="0.2">
      <c r="A52" s="207" t="s">
        <v>91</v>
      </c>
      <c r="B52" s="6" t="s">
        <v>157</v>
      </c>
      <c r="C52" s="34">
        <v>4549197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306465867</v>
      </c>
    </row>
    <row r="58" spans="1:3" ht="15" customHeight="1" thickBot="1" x14ac:dyDescent="0.25">
      <c r="C58" s="163"/>
    </row>
    <row r="59" spans="1:3" ht="14.25" customHeight="1" thickBot="1" x14ac:dyDescent="0.25">
      <c r="A59" s="1276" t="s">
        <v>456</v>
      </c>
      <c r="B59" s="1277"/>
      <c r="C59" s="1008">
        <f>46.375+3</f>
        <v>49.375</v>
      </c>
    </row>
    <row r="60" spans="1:3" ht="13.5" thickBot="1" x14ac:dyDescent="0.25">
      <c r="A60" s="1276" t="s">
        <v>1075</v>
      </c>
      <c r="B60" s="1277"/>
      <c r="C60" s="1010">
        <v>0.5</v>
      </c>
    </row>
  </sheetData>
  <sheetProtection formatCells="0"/>
  <mergeCells count="4">
    <mergeCell ref="A1:C1"/>
    <mergeCell ref="A59:B59"/>
    <mergeCell ref="A3:C3"/>
    <mergeCell ref="A60:B60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hidden="1" customWidth="1"/>
    <col min="5" max="6" width="11.83203125" style="625" hidden="1" customWidth="1"/>
    <col min="7" max="7" width="8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x14ac:dyDescent="0.2">
      <c r="A1" s="1283" t="str">
        <f>CONCATENATE("16. melléklet"," ",ALAPADATOK!A7," ",ALAPADATOK!B7," ",ALAPADATOK!C7," ",ALAPADATOK!D7," ",ALAPADATOK!E7," ",ALAPADATOK!F7," ",ALAPADATOK!G7," ",ALAPADATOK!H7)</f>
        <v>16. melléklet a .. / 2023. ( …... ) önkormányzati rendelethez</v>
      </c>
      <c r="B1" s="1283"/>
      <c r="C1" s="1283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236" t="s">
        <v>869</v>
      </c>
      <c r="B3" s="1236"/>
      <c r="C3" s="1236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25615115</v>
      </c>
      <c r="E7" s="467">
        <f>'22. sz. mell EOI'!C7+'23.sz.mell EOI'!C7</f>
        <v>25615115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'22. sz. mell EOI'!C8+'23.sz.mell EOI'!C8</f>
        <v>0</v>
      </c>
      <c r="F8" s="467">
        <f t="shared" ref="F8:F55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  <c r="E9" s="467">
        <f>'22. sz. mell EOI'!C9+'23.sz.mell EOI'!C9</f>
        <v>600000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  <c r="E10" s="467">
        <f>'22. sz. mell EOI'!C10+'23.sz.mell EOI'!C10</f>
        <v>18835508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  <c r="E11" s="467">
        <f>'22. sz. mell EOI'!C11+'23.sz.mell EOI'!C11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214">
        <f>567600+158400</f>
        <v>726000</v>
      </c>
      <c r="E12" s="467">
        <f>'22. sz. mell EOI'!C12+'23.sz.mell EOI'!C12</f>
        <v>726000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f>5400839+42768</f>
        <v>5443607</v>
      </c>
      <c r="E13" s="467">
        <f>'22. sz. mell EOI'!C13+'23.sz.mell EOI'!C13</f>
        <v>5443607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'22. sz. mell EOI'!C14+'23.sz.mell EOI'!C14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'22. sz. mell EOI'!C15+'23.sz.mell EOI'!C15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'22. sz. mell EOI'!C16+'23.sz.mell EOI'!C16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'22. sz. mell EOI'!C17+'23.sz.mell EOI'!C17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>
        <v>10000</v>
      </c>
      <c r="E18" s="467">
        <f>'22. sz. mell EOI'!C18+'23.sz.mell EOI'!C18</f>
        <v>10000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'22. sz. mell EOI'!C19+'23.sz.mell EOI'!C19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'22. sz. mell EOI'!C20+'23.sz.mell EOI'!C20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'22. sz. mell EOI'!C21+'23.sz.mell EOI'!C21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'22. sz. mell EOI'!C22+'23.sz.mell EOI'!C22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'22. sz. mell EOI'!C23+'23.sz.mell EOI'!C23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'22. sz. mell EOI'!C24+'23.sz.mell EOI'!C24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</f>
        <v>0</v>
      </c>
      <c r="E25" s="467">
        <f>'22. sz. mell EOI'!C25+'23.sz.mell EOI'!C25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198</v>
      </c>
      <c r="B26" s="209" t="s">
        <v>334</v>
      </c>
      <c r="C26" s="510"/>
      <c r="E26" s="467">
        <f>'22. sz. mell EOI'!C27+'23.sz.mell EOI'!C27</f>
        <v>0</v>
      </c>
      <c r="F26" s="467">
        <f t="shared" si="0"/>
        <v>0</v>
      </c>
    </row>
    <row r="27" spans="1:6" s="39" customFormat="1" ht="12.2" customHeight="1" x14ac:dyDescent="0.2">
      <c r="A27" s="208" t="s">
        <v>199</v>
      </c>
      <c r="B27" s="210" t="s">
        <v>336</v>
      </c>
      <c r="C27" s="510"/>
      <c r="E27" s="467">
        <f>'22. sz. mell EOI'!C28+'23.sz.mell EOI'!C28</f>
        <v>0</v>
      </c>
      <c r="F27" s="467">
        <f t="shared" si="0"/>
        <v>0</v>
      </c>
    </row>
    <row r="28" spans="1:6" s="39" customFormat="1" ht="12.2" customHeight="1" thickBot="1" x14ac:dyDescent="0.25">
      <c r="A28" s="207" t="s">
        <v>200</v>
      </c>
      <c r="B28" s="57" t="s">
        <v>461</v>
      </c>
      <c r="C28" s="514"/>
      <c r="E28" s="467">
        <f>'22. sz. mell EOI'!C29+'23.sz.mell EOI'!C29</f>
        <v>0</v>
      </c>
      <c r="F28" s="467">
        <f t="shared" si="0"/>
        <v>0</v>
      </c>
    </row>
    <row r="29" spans="1:6" s="39" customFormat="1" ht="12.2" customHeight="1" thickBot="1" x14ac:dyDescent="0.25">
      <c r="A29" s="74" t="s">
        <v>20</v>
      </c>
      <c r="B29" s="54" t="s">
        <v>337</v>
      </c>
      <c r="C29" s="505">
        <f>+C30+C31+C32</f>
        <v>0</v>
      </c>
      <c r="E29" s="467">
        <f>'22. sz. mell EOI'!C30+'23.sz.mell EOI'!C30</f>
        <v>0</v>
      </c>
      <c r="F29" s="467">
        <f t="shared" si="0"/>
        <v>0</v>
      </c>
    </row>
    <row r="30" spans="1:6" s="39" customFormat="1" ht="12.2" customHeight="1" x14ac:dyDescent="0.2">
      <c r="A30" s="208" t="s">
        <v>78</v>
      </c>
      <c r="B30" s="209" t="s">
        <v>221</v>
      </c>
      <c r="C30" s="513"/>
      <c r="E30" s="467">
        <f>'22. sz. mell EOI'!C31+'23.sz.mell EOI'!C31</f>
        <v>0</v>
      </c>
      <c r="F30" s="467">
        <f t="shared" si="0"/>
        <v>0</v>
      </c>
    </row>
    <row r="31" spans="1:6" s="39" customFormat="1" ht="12.2" customHeight="1" x14ac:dyDescent="0.2">
      <c r="A31" s="208" t="s">
        <v>79</v>
      </c>
      <c r="B31" s="210" t="s">
        <v>222</v>
      </c>
      <c r="C31" s="508"/>
      <c r="E31" s="467">
        <f>'22. sz. mell EOI'!C32+'23.sz.mell EOI'!C32</f>
        <v>0</v>
      </c>
      <c r="F31" s="467">
        <f t="shared" si="0"/>
        <v>0</v>
      </c>
    </row>
    <row r="32" spans="1:6" s="38" customFormat="1" ht="12.2" customHeight="1" thickBot="1" x14ac:dyDescent="0.25">
      <c r="A32" s="207" t="s">
        <v>80</v>
      </c>
      <c r="B32" s="57" t="s">
        <v>223</v>
      </c>
      <c r="C32" s="514"/>
      <c r="E32" s="467">
        <f>'22. sz. mell EOI'!C33+'23.sz.mell EOI'!C33</f>
        <v>0</v>
      </c>
      <c r="F32" s="467">
        <f t="shared" si="0"/>
        <v>0</v>
      </c>
    </row>
    <row r="33" spans="1:6" s="38" customFormat="1" ht="12.2" customHeight="1" thickBot="1" x14ac:dyDescent="0.25">
      <c r="A33" s="74" t="s">
        <v>21</v>
      </c>
      <c r="B33" s="54" t="s">
        <v>309</v>
      </c>
      <c r="C33" s="1110"/>
      <c r="E33" s="467">
        <f>'22. sz. mell EOI'!C34+'23.sz.mell EOI'!C34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22</v>
      </c>
      <c r="B34" s="54" t="s">
        <v>338</v>
      </c>
      <c r="C34" s="515"/>
      <c r="E34" s="467">
        <f>'22. sz. mell EOI'!C35+'23.sz.mell EOI'!C35</f>
        <v>0</v>
      </c>
      <c r="F34" s="467">
        <f t="shared" si="0"/>
        <v>0</v>
      </c>
    </row>
    <row r="35" spans="1:6" s="38" customFormat="1" ht="12.2" customHeight="1" thickBot="1" x14ac:dyDescent="0.25">
      <c r="A35" s="71" t="s">
        <v>23</v>
      </c>
      <c r="B35" s="54" t="s">
        <v>339</v>
      </c>
      <c r="C35" s="516">
        <f>+C7+C19+C24+C25+C29+C33+C34</f>
        <v>25615115</v>
      </c>
      <c r="E35" s="467">
        <f>'22. sz. mell EOI'!C36+'23.sz.mell EOI'!C36</f>
        <v>25615115</v>
      </c>
      <c r="F35" s="467">
        <f t="shared" si="0"/>
        <v>0</v>
      </c>
    </row>
    <row r="36" spans="1:6" s="38" customFormat="1" ht="12.2" customHeight="1" thickBot="1" x14ac:dyDescent="0.25">
      <c r="A36" s="85" t="s">
        <v>24</v>
      </c>
      <c r="B36" s="54" t="s">
        <v>340</v>
      </c>
      <c r="C36" s="516">
        <f>+C37+C38+C39</f>
        <v>447168596</v>
      </c>
      <c r="E36" s="467">
        <f>'22. sz. mell EOI'!C37+'23.sz.mell EOI'!C37</f>
        <v>447168596</v>
      </c>
      <c r="F36" s="467">
        <f t="shared" si="0"/>
        <v>0</v>
      </c>
    </row>
    <row r="37" spans="1:6" s="38" customFormat="1" ht="12.2" customHeight="1" x14ac:dyDescent="0.2">
      <c r="A37" s="208" t="s">
        <v>341</v>
      </c>
      <c r="B37" s="209" t="s">
        <v>166</v>
      </c>
      <c r="C37" s="34">
        <v>248609</v>
      </c>
      <c r="E37" s="467">
        <f>'22. sz. mell EOI'!C38+'23.sz.mell EOI'!C38</f>
        <v>248609</v>
      </c>
      <c r="F37" s="467">
        <f t="shared" si="0"/>
        <v>0</v>
      </c>
    </row>
    <row r="38" spans="1:6" s="39" customFormat="1" ht="12.2" customHeight="1" x14ac:dyDescent="0.2">
      <c r="A38" s="208" t="s">
        <v>342</v>
      </c>
      <c r="B38" s="210" t="s">
        <v>6</v>
      </c>
      <c r="C38" s="125"/>
      <c r="E38" s="467">
        <f>'22. sz. mell EOI'!C39+'23.sz.mell EOI'!C39</f>
        <v>0</v>
      </c>
      <c r="F38" s="467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649">
        <f>439411995+7507992</f>
        <v>446919987</v>
      </c>
      <c r="E39" s="467">
        <f>'22. sz. mell EOI'!C40+'23.sz.mell EOI'!C40</f>
        <v>446919987</v>
      </c>
      <c r="F39" s="467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17">
        <f>+C35+C36</f>
        <v>472783711</v>
      </c>
      <c r="E40" s="467">
        <f>'22. sz. mell EOI'!C41+'23.sz.mell EOI'!C41</f>
        <v>472783711</v>
      </c>
      <c r="F40" s="467">
        <f t="shared" si="0"/>
        <v>0</v>
      </c>
    </row>
    <row r="41" spans="1:6" s="213" customFormat="1" ht="12.2" customHeight="1" thickBot="1" x14ac:dyDescent="0.25">
      <c r="A41" s="91"/>
      <c r="B41" s="92" t="s">
        <v>53</v>
      </c>
      <c r="C41" s="517"/>
      <c r="E41" s="467">
        <f>'22. sz. mell EOI'!C42+'23.sz.mell EOI'!C44</f>
        <v>0</v>
      </c>
      <c r="F41" s="467">
        <f t="shared" si="0"/>
        <v>0</v>
      </c>
    </row>
    <row r="42" spans="1:6" ht="12.2" customHeight="1" thickBot="1" x14ac:dyDescent="0.25">
      <c r="A42" s="74" t="s">
        <v>16</v>
      </c>
      <c r="B42" s="54" t="s">
        <v>346</v>
      </c>
      <c r="C42" s="505">
        <f>SUM(C43:C47)</f>
        <v>471932001</v>
      </c>
      <c r="E42" s="467">
        <f>'22. sz. mell EOI'!C43+'23.sz.mell EOI'!C45</f>
        <v>471932001</v>
      </c>
      <c r="F42" s="467">
        <f t="shared" si="0"/>
        <v>0</v>
      </c>
    </row>
    <row r="43" spans="1:6" ht="12.2" customHeight="1" x14ac:dyDescent="0.2">
      <c r="A43" s="207" t="s">
        <v>85</v>
      </c>
      <c r="B43" s="6" t="s">
        <v>46</v>
      </c>
      <c r="C43" s="251">
        <f>283081485+125984</f>
        <v>283207469</v>
      </c>
      <c r="E43" s="467">
        <f>'22. sz. mell EOI'!C44+'23.sz.mell EOI'!C46</f>
        <v>283207469</v>
      </c>
      <c r="F43" s="467">
        <f t="shared" si="0"/>
        <v>0</v>
      </c>
    </row>
    <row r="44" spans="1:6" ht="12.2" customHeight="1" x14ac:dyDescent="0.2">
      <c r="A44" s="207" t="s">
        <v>86</v>
      </c>
      <c r="B44" s="5" t="s">
        <v>134</v>
      </c>
      <c r="C44" s="114">
        <f>39049417+52864</f>
        <v>39102281</v>
      </c>
      <c r="E44" s="467">
        <f>'22. sz. mell EOI'!C45+'23.sz.mell EOI'!C47</f>
        <v>39102281</v>
      </c>
      <c r="F44" s="467">
        <f t="shared" si="0"/>
        <v>0</v>
      </c>
    </row>
    <row r="45" spans="1:6" ht="12.2" customHeight="1" x14ac:dyDescent="0.2">
      <c r="A45" s="207" t="s">
        <v>87</v>
      </c>
      <c r="B45" s="5" t="s">
        <v>110</v>
      </c>
      <c r="C45" s="114">
        <f>142091939+7530312</f>
        <v>149622251</v>
      </c>
      <c r="E45" s="467">
        <f>'22. sz. mell EOI'!C46+'23.sz.mell EOI'!C48</f>
        <v>149622251</v>
      </c>
      <c r="F45" s="467">
        <f t="shared" si="0"/>
        <v>0</v>
      </c>
    </row>
    <row r="46" spans="1:6" ht="12.2" customHeight="1" x14ac:dyDescent="0.2">
      <c r="A46" s="207" t="s">
        <v>88</v>
      </c>
      <c r="B46" s="5" t="s">
        <v>135</v>
      </c>
      <c r="C46" s="507"/>
      <c r="E46" s="467">
        <f>'22. sz. mell EOI'!C47+'23.sz.mell EOI'!C49</f>
        <v>0</v>
      </c>
      <c r="F46" s="467">
        <f t="shared" si="0"/>
        <v>0</v>
      </c>
    </row>
    <row r="47" spans="1:6" ht="12.2" customHeight="1" thickBot="1" x14ac:dyDescent="0.25">
      <c r="A47" s="207" t="s">
        <v>111</v>
      </c>
      <c r="B47" s="5" t="s">
        <v>136</v>
      </c>
      <c r="C47" s="507"/>
      <c r="E47" s="467">
        <f>'22. sz. mell EOI'!C48+'23.sz.mell EOI'!C50</f>
        <v>0</v>
      </c>
      <c r="F47" s="467">
        <f t="shared" si="0"/>
        <v>0</v>
      </c>
    </row>
    <row r="48" spans="1:6" s="213" customFormat="1" ht="12.2" customHeight="1" thickBot="1" x14ac:dyDescent="0.25">
      <c r="A48" s="74" t="s">
        <v>17</v>
      </c>
      <c r="B48" s="54" t="s">
        <v>347</v>
      </c>
      <c r="C48" s="505">
        <f>SUM(C49:C51)</f>
        <v>851710</v>
      </c>
      <c r="E48" s="467">
        <f>'22. sz. mell EOI'!C49+'23.sz.mell EOI'!C51</f>
        <v>851710</v>
      </c>
      <c r="F48" s="467">
        <f t="shared" si="0"/>
        <v>0</v>
      </c>
    </row>
    <row r="49" spans="1:6" ht="12.2" customHeight="1" x14ac:dyDescent="0.2">
      <c r="A49" s="207" t="s">
        <v>91</v>
      </c>
      <c r="B49" s="6" t="s">
        <v>157</v>
      </c>
      <c r="C49" s="34">
        <v>851710</v>
      </c>
      <c r="E49" s="467">
        <f>'22. sz. mell EOI'!C50+'23.sz.mell EOI'!C52</f>
        <v>851710</v>
      </c>
      <c r="F49" s="467">
        <f t="shared" si="0"/>
        <v>0</v>
      </c>
    </row>
    <row r="50" spans="1:6" ht="12.2" customHeight="1" x14ac:dyDescent="0.2">
      <c r="A50" s="207" t="s">
        <v>92</v>
      </c>
      <c r="B50" s="5" t="s">
        <v>138</v>
      </c>
      <c r="C50" s="36"/>
      <c r="E50" s="467">
        <f>'22. sz. mell EOI'!C51+'23.sz.mell EOI'!C53</f>
        <v>0</v>
      </c>
      <c r="F50" s="467">
        <f t="shared" si="0"/>
        <v>0</v>
      </c>
    </row>
    <row r="51" spans="1:6" ht="12.2" customHeight="1" x14ac:dyDescent="0.2">
      <c r="A51" s="207" t="s">
        <v>93</v>
      </c>
      <c r="B51" s="5" t="s">
        <v>54</v>
      </c>
      <c r="C51" s="507"/>
      <c r="E51" s="467">
        <f>'22. sz. mell EOI'!C52+'23.sz.mell EOI'!C54</f>
        <v>0</v>
      </c>
      <c r="F51" s="467">
        <f t="shared" si="0"/>
        <v>0</v>
      </c>
    </row>
    <row r="52" spans="1:6" ht="15" customHeight="1" thickBot="1" x14ac:dyDescent="0.25">
      <c r="A52" s="207" t="s">
        <v>94</v>
      </c>
      <c r="B52" s="5" t="s">
        <v>462</v>
      </c>
      <c r="C52" s="507"/>
      <c r="E52" s="467">
        <f>'22. sz. mell EOI'!C53+'23.sz.mell EOI'!C55</f>
        <v>0</v>
      </c>
      <c r="F52" s="467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12"/>
      <c r="E53" s="467">
        <f>'22. sz. mell EOI'!C54+'23.sz.mell EOI'!C56</f>
        <v>0</v>
      </c>
      <c r="F53" s="467">
        <f t="shared" si="0"/>
        <v>0</v>
      </c>
    </row>
    <row r="54" spans="1:6" ht="15" customHeight="1" thickBot="1" x14ac:dyDescent="0.25">
      <c r="A54" s="74" t="s">
        <v>19</v>
      </c>
      <c r="B54" s="93" t="s">
        <v>463</v>
      </c>
      <c r="C54" s="520">
        <f>+C42+C48+C53</f>
        <v>472783711</v>
      </c>
      <c r="E54" s="467">
        <f>'22. sz. mell EOI'!C55+'23.sz.mell EOI'!C57</f>
        <v>472783711</v>
      </c>
      <c r="F54" s="467">
        <f t="shared" si="0"/>
        <v>0</v>
      </c>
    </row>
    <row r="55" spans="1:6" ht="13.5" thickBot="1" x14ac:dyDescent="0.25">
      <c r="A55" s="1276" t="s">
        <v>456</v>
      </c>
      <c r="B55" s="1277"/>
      <c r="C55" s="391">
        <f>53</f>
        <v>53</v>
      </c>
      <c r="E55" s="467">
        <f>'22. sz. mell EOI'!C56+'23.sz.mell EOI'!C59</f>
        <v>53</v>
      </c>
      <c r="F55" s="467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83" t="str">
        <f>CONCATENATE("17. melléklet"," ",ALAPADATOK!A7," ",ALAPADATOK!B7," ",ALAPADATOK!C7," ",ALAPADATOK!D7," ",ALAPADATOK!E7," ",ALAPADATOK!F7," ",ALAPADATOK!G7," ",ALAPADATOK!H7)</f>
        <v>17. melléklet a .. / 2023. ( …... ) önkormányzati rendelethez</v>
      </c>
      <c r="B1" s="1283"/>
      <c r="C1" s="1283"/>
    </row>
    <row r="2" spans="1:6" s="1" customFormat="1" ht="21.2" customHeight="1" x14ac:dyDescent="0.2">
      <c r="A2" s="75"/>
      <c r="B2" s="76"/>
      <c r="C2" s="307"/>
    </row>
    <row r="3" spans="1:6" s="37" customFormat="1" ht="33" customHeight="1" thickBot="1" x14ac:dyDescent="0.25">
      <c r="A3" s="1236" t="s">
        <v>870</v>
      </c>
      <c r="B3" s="1236"/>
      <c r="C3" s="1236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  <c r="E4" s="625"/>
      <c r="F4" s="625"/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25615115</v>
      </c>
    </row>
    <row r="8" spans="1:6" s="38" customFormat="1" ht="12.2" customHeight="1" x14ac:dyDescent="0.2">
      <c r="A8" s="206" t="s">
        <v>85</v>
      </c>
      <c r="B8" s="7" t="s">
        <v>207</v>
      </c>
      <c r="C8" s="506"/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</row>
    <row r="12" spans="1:6" s="38" customFormat="1" ht="12.2" customHeight="1" x14ac:dyDescent="0.2">
      <c r="A12" s="207" t="s">
        <v>111</v>
      </c>
      <c r="B12" s="5" t="s">
        <v>211</v>
      </c>
      <c r="C12" s="214">
        <f>567600+158400</f>
        <v>726000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f>5400839+42768</f>
        <v>5443607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7"/>
    </row>
    <row r="18" spans="1:3" s="39" customFormat="1" ht="12.2" customHeight="1" thickBot="1" x14ac:dyDescent="0.25">
      <c r="A18" s="207" t="s">
        <v>103</v>
      </c>
      <c r="B18" s="4" t="s">
        <v>216</v>
      </c>
      <c r="C18" s="214">
        <v>10000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10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25615115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447168596</v>
      </c>
    </row>
    <row r="38" spans="1:3" s="38" customFormat="1" ht="12.2" customHeight="1" x14ac:dyDescent="0.2">
      <c r="A38" s="208" t="s">
        <v>341</v>
      </c>
      <c r="B38" s="209" t="s">
        <v>166</v>
      </c>
      <c r="C38" s="34">
        <v>248609</v>
      </c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f>439411995+7507992</f>
        <v>446919987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472783711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471932001</v>
      </c>
    </row>
    <row r="44" spans="1:3" ht="12.2" customHeight="1" x14ac:dyDescent="0.2">
      <c r="A44" s="207" t="s">
        <v>85</v>
      </c>
      <c r="B44" s="6" t="s">
        <v>46</v>
      </c>
      <c r="C44" s="251">
        <f>283081485+125984</f>
        <v>283207469</v>
      </c>
    </row>
    <row r="45" spans="1:3" ht="12.2" customHeight="1" x14ac:dyDescent="0.2">
      <c r="A45" s="207" t="s">
        <v>86</v>
      </c>
      <c r="B45" s="5" t="s">
        <v>134</v>
      </c>
      <c r="C45" s="114">
        <f>39049417+52864</f>
        <v>39102281</v>
      </c>
    </row>
    <row r="46" spans="1:3" ht="12.2" customHeight="1" x14ac:dyDescent="0.2">
      <c r="A46" s="207" t="s">
        <v>87</v>
      </c>
      <c r="B46" s="5" t="s">
        <v>110</v>
      </c>
      <c r="C46" s="114">
        <f>142091939+7530312</f>
        <v>149622251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851710</v>
      </c>
    </row>
    <row r="50" spans="1:3" ht="12.2" customHeight="1" x14ac:dyDescent="0.2">
      <c r="A50" s="207" t="s">
        <v>91</v>
      </c>
      <c r="B50" s="6" t="s">
        <v>157</v>
      </c>
      <c r="C50" s="214">
        <v>851710</v>
      </c>
    </row>
    <row r="51" spans="1:3" ht="12.2" customHeight="1" x14ac:dyDescent="0.2">
      <c r="A51" s="207" t="s">
        <v>92</v>
      </c>
      <c r="B51" s="5" t="s">
        <v>138</v>
      </c>
      <c r="C51" s="36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520">
        <f>+C43+C49+C54</f>
        <v>472783711</v>
      </c>
    </row>
    <row r="56" spans="1:3" ht="13.5" thickBot="1" x14ac:dyDescent="0.25">
      <c r="A56" s="1276" t="s">
        <v>456</v>
      </c>
      <c r="B56" s="1277"/>
      <c r="C56" s="391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283" t="str">
        <f>CONCATENATE("23. melléklet"," ",ALAPADATOK!A7," ",ALAPADATOK!B7," ",ALAPADATOK!C7," ",ALAPADATOK!D7," ",ALAPADATOK!E7," ",ALAPADATOK!F7," ",ALAPADATOK!G7," ",ALAPADATOK!H7)</f>
        <v>23. melléklet a .. / 2023. ( …... ) önkormányzati rendelethez</v>
      </c>
      <c r="B1" s="1283"/>
      <c r="C1" s="1283"/>
    </row>
    <row r="2" spans="1:3" x14ac:dyDescent="0.2">
      <c r="A2" s="76"/>
      <c r="B2" s="76"/>
      <c r="C2" s="211" t="s">
        <v>1044</v>
      </c>
    </row>
    <row r="3" spans="1:3" ht="16.5" thickBot="1" x14ac:dyDescent="0.25">
      <c r="A3" s="1236" t="s">
        <v>943</v>
      </c>
      <c r="B3" s="1236"/>
      <c r="C3" s="1236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382</v>
      </c>
      <c r="B5" s="72" t="s">
        <v>383</v>
      </c>
      <c r="C5" s="73" t="s">
        <v>384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458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388</v>
      </c>
      <c r="C17" s="389"/>
    </row>
    <row r="18" spans="1:3" ht="13.5" thickBot="1" x14ac:dyDescent="0.25">
      <c r="A18" s="207" t="s">
        <v>103</v>
      </c>
      <c r="B18" s="4" t="s">
        <v>216</v>
      </c>
      <c r="C18" s="389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52"/>
    </row>
    <row r="23" spans="1:3" ht="13.5" thickBot="1" x14ac:dyDescent="0.25">
      <c r="A23" s="207" t="s">
        <v>94</v>
      </c>
      <c r="B23" s="5" t="s">
        <v>459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461</v>
      </c>
      <c r="C29" s="649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49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49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51"/>
    </row>
    <row r="47" spans="1:3" x14ac:dyDescent="0.2">
      <c r="A47" s="207" t="s">
        <v>86</v>
      </c>
      <c r="B47" s="5" t="s">
        <v>134</v>
      </c>
      <c r="C47" s="652"/>
    </row>
    <row r="48" spans="1:3" x14ac:dyDescent="0.2">
      <c r="A48" s="207" t="s">
        <v>87</v>
      </c>
      <c r="B48" s="5" t="s">
        <v>110</v>
      </c>
      <c r="C48" s="507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51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0</v>
      </c>
    </row>
    <row r="58" spans="1:3" ht="13.5" thickBot="1" x14ac:dyDescent="0.25">
      <c r="A58" s="94"/>
      <c r="B58" s="301"/>
      <c r="C58" s="163"/>
    </row>
    <row r="59" spans="1:3" ht="13.5" thickBot="1" x14ac:dyDescent="0.25">
      <c r="A59" s="95" t="s">
        <v>456</v>
      </c>
      <c r="B59" s="96"/>
      <c r="C59" s="391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6640625" style="625" hidden="1" customWidth="1"/>
    <col min="7" max="7" width="9.33203125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6" ht="12.75" customHeight="1" x14ac:dyDescent="0.2">
      <c r="A1" s="1283" t="str">
        <f>CONCATENATE("18. melléklet"," ",ALAPADATOK!A7," ",ALAPADATOK!B7," ",ALAPADATOK!C7," ",ALAPADATOK!D7," ",ALAPADATOK!E7," ",ALAPADATOK!F7," ",ALAPADATOK!G7," ",ALAPADATOK!H7)</f>
        <v>18. melléklet a .. / 2023. ( …... ) önkormányzati rendelethez</v>
      </c>
      <c r="B1" s="1283"/>
      <c r="C1" s="1283"/>
    </row>
    <row r="2" spans="1:16" s="1" customFormat="1" ht="21.2" customHeight="1" x14ac:dyDescent="0.2">
      <c r="A2" s="75"/>
      <c r="B2" s="76"/>
      <c r="C2" s="307"/>
      <c r="E2" s="625"/>
      <c r="F2" s="625"/>
    </row>
    <row r="3" spans="1:16" s="37" customFormat="1" ht="36" customHeight="1" thickBot="1" x14ac:dyDescent="0.25">
      <c r="A3" s="1236" t="s">
        <v>893</v>
      </c>
      <c r="B3" s="1236"/>
      <c r="C3" s="1236"/>
      <c r="E3" s="465"/>
      <c r="F3" s="465"/>
    </row>
    <row r="4" spans="1:16" ht="13.5" thickBot="1" x14ac:dyDescent="0.25">
      <c r="A4" s="172" t="s">
        <v>153</v>
      </c>
      <c r="B4" s="79" t="s">
        <v>50</v>
      </c>
      <c r="C4" s="311" t="s">
        <v>863</v>
      </c>
    </row>
    <row r="5" spans="1:1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6" s="38" customFormat="1" ht="12.2" customHeight="1" thickBot="1" x14ac:dyDescent="0.25">
      <c r="A7" s="71" t="s">
        <v>16</v>
      </c>
      <c r="B7" s="84" t="s">
        <v>458</v>
      </c>
      <c r="C7" s="505">
        <f>SUM(C8:C18)</f>
        <v>13156181</v>
      </c>
      <c r="E7" s="467">
        <f>'25. sz. mell EKIK'!C7+'26. sz. mell EKIK'!C7</f>
        <v>13156181</v>
      </c>
      <c r="F7" s="467">
        <f>C7-E7</f>
        <v>0</v>
      </c>
    </row>
    <row r="8" spans="1:16" s="38" customFormat="1" ht="12.2" customHeight="1" x14ac:dyDescent="0.2">
      <c r="A8" s="206" t="s">
        <v>85</v>
      </c>
      <c r="B8" s="7" t="s">
        <v>207</v>
      </c>
      <c r="C8" s="506"/>
      <c r="E8" s="467">
        <f>'25. sz. mell EKIK'!C8+'26. sz. mell EKIK'!C8</f>
        <v>0</v>
      </c>
      <c r="F8" s="467">
        <f t="shared" ref="F8:F59" si="0">C8-E8</f>
        <v>0</v>
      </c>
      <c r="K8" s="37"/>
      <c r="L8" s="37"/>
      <c r="M8" s="964"/>
      <c r="N8" s="37"/>
      <c r="O8" s="37"/>
      <c r="P8" s="37"/>
    </row>
    <row r="9" spans="1:16" s="38" customFormat="1" ht="12.2" customHeight="1" x14ac:dyDescent="0.2">
      <c r="A9" s="207" t="s">
        <v>86</v>
      </c>
      <c r="B9" s="5" t="s">
        <v>208</v>
      </c>
      <c r="C9" s="36">
        <v>9444093</v>
      </c>
      <c r="E9" s="467">
        <f>'25. sz. mell EKIK'!C9+'26. sz. mell EKIK'!C9</f>
        <v>9444093</v>
      </c>
      <c r="F9" s="467">
        <f t="shared" si="0"/>
        <v>0</v>
      </c>
      <c r="K9" s="37"/>
      <c r="L9" s="37"/>
      <c r="M9" s="964"/>
      <c r="N9" s="37"/>
      <c r="O9" s="37"/>
      <c r="P9" s="37"/>
    </row>
    <row r="10" spans="1:16" s="38" customFormat="1" ht="12.2" customHeight="1" x14ac:dyDescent="0.2">
      <c r="A10" s="207" t="s">
        <v>87</v>
      </c>
      <c r="B10" s="5" t="s">
        <v>209</v>
      </c>
      <c r="C10" s="36">
        <f>40000+1300300</f>
        <v>1340300</v>
      </c>
      <c r="E10" s="467">
        <f>'25. sz. mell EKIK'!C10+'26. sz. mell EKIK'!C10</f>
        <v>1340300</v>
      </c>
      <c r="F10" s="467">
        <f t="shared" si="0"/>
        <v>0</v>
      </c>
    </row>
    <row r="11" spans="1:16" s="38" customFormat="1" ht="12.2" customHeight="1" x14ac:dyDescent="0.2">
      <c r="A11" s="207" t="s">
        <v>88</v>
      </c>
      <c r="B11" s="5" t="s">
        <v>210</v>
      </c>
      <c r="C11" s="507"/>
      <c r="E11" s="467">
        <f>'25. sz. mell EKIK'!C11+'26. sz. mell EKIK'!C11</f>
        <v>0</v>
      </c>
      <c r="F11" s="467">
        <f t="shared" si="0"/>
        <v>0</v>
      </c>
    </row>
    <row r="12" spans="1:16" s="38" customFormat="1" ht="12.2" customHeight="1" x14ac:dyDescent="0.2">
      <c r="A12" s="207" t="s">
        <v>111</v>
      </c>
      <c r="B12" s="5" t="s">
        <v>211</v>
      </c>
      <c r="C12" s="507"/>
      <c r="E12" s="467">
        <f>'25. sz. mell EKIK'!C12+'26. sz. mell EKIK'!C12</f>
        <v>0</v>
      </c>
      <c r="F12" s="467">
        <f t="shared" si="0"/>
        <v>0</v>
      </c>
    </row>
    <row r="13" spans="1:16" s="38" customFormat="1" ht="12.2" customHeight="1" x14ac:dyDescent="0.2">
      <c r="A13" s="207" t="s">
        <v>89</v>
      </c>
      <c r="B13" s="5" t="s">
        <v>331</v>
      </c>
      <c r="C13" s="36">
        <f>2020707+351081</f>
        <v>2371788</v>
      </c>
      <c r="E13" s="467">
        <f>'25. sz. mell EKIK'!C13+'26. sz. mell EKIK'!C13</f>
        <v>2371788</v>
      </c>
      <c r="F13" s="467">
        <f t="shared" si="0"/>
        <v>0</v>
      </c>
    </row>
    <row r="14" spans="1:16" s="38" customFormat="1" ht="12.2" customHeight="1" x14ac:dyDescent="0.2">
      <c r="A14" s="207" t="s">
        <v>90</v>
      </c>
      <c r="B14" s="4" t="s">
        <v>332</v>
      </c>
      <c r="C14" s="507"/>
      <c r="E14" s="467">
        <f>'25. sz. mell EKIK'!C14+'26. sz. mell EKIK'!C14</f>
        <v>0</v>
      </c>
      <c r="F14" s="467">
        <f t="shared" si="0"/>
        <v>0</v>
      </c>
    </row>
    <row r="15" spans="1:16" s="38" customFormat="1" ht="12.2" customHeight="1" x14ac:dyDescent="0.2">
      <c r="A15" s="207" t="s">
        <v>100</v>
      </c>
      <c r="B15" s="5" t="s">
        <v>214</v>
      </c>
      <c r="C15" s="508"/>
      <c r="E15" s="467">
        <f>'25. sz. mell EKIK'!C15+'26. sz. mell EKIK'!C15</f>
        <v>0</v>
      </c>
      <c r="F15" s="467">
        <f t="shared" si="0"/>
        <v>0</v>
      </c>
    </row>
    <row r="16" spans="1:16" s="39" customFormat="1" ht="12.2" customHeight="1" x14ac:dyDescent="0.2">
      <c r="A16" s="207" t="s">
        <v>101</v>
      </c>
      <c r="B16" s="5" t="s">
        <v>215</v>
      </c>
      <c r="C16" s="507"/>
      <c r="E16" s="467">
        <f>'25. sz. mell EKIK'!C16+'26. sz. mell EKIK'!C16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'25. sz. mell EKIK'!C17+'26. sz. mell EKIK'!C17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389"/>
      <c r="E18" s="467">
        <f>'25. sz. mell EKIK'!C18+'26. sz. mell EKIK'!C18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  <c r="E19" s="467">
        <f>'25. sz. mell EKIK'!C19+'26. sz. mell EKIK'!C19</f>
        <v>2969600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'25. sz. mell EKIK'!C20+'26. sz. mell EKIK'!C20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'25. sz. mell EKIK'!C21+'26. sz. mell EKIK'!C21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36">
        <v>2969600</v>
      </c>
      <c r="E22" s="467">
        <f>'25. sz. mell EKIK'!C22+'26. sz. mell EKIK'!C22</f>
        <v>2969600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>
        <v>0</v>
      </c>
      <c r="E23" s="467">
        <f>'25. sz. mell EKIK'!C23+'26. sz. mell EKIK'!C23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'25. sz. mell EKIK'!C24+'26. sz. mell EKIK'!C24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'25. sz. mell EKIK'!C25+'26. sz. mell EKIK'!C25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'25. sz. mell EKIK'!C26+'26. sz. mell EKIK'!C26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07"/>
      <c r="E27" s="467">
        <f>'25. sz. mell EKIK'!C27+'26. sz. mell EKIK'!C27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652"/>
      <c r="E28" s="467">
        <f>'25. sz. mell EKIK'!C28+'26. sz. mell EKIK'!C28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'25. sz. mell EKIK'!C29+'26. sz. mell EKIK'!C29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'25. sz. mell EKIK'!C30+'26. sz. mell EKIK'!C30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'25. sz. mell EKIK'!C31+'26. sz. mell EKIK'!C31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'25. sz. mell EKIK'!C32+'26. sz. mell EKIK'!C32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'25. sz. mell EKIK'!C33+'26. sz. mell EKIK'!C33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'25. sz. mell EKIK'!C34+'26. sz. mell EKIK'!C34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'25. sz. mell EKIK'!C35+'26. sz. mell EKIK'!C35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16125781</v>
      </c>
      <c r="E36" s="467">
        <f>'25. sz. mell EKIK'!C36+'26. sz. mell EKIK'!C36</f>
        <v>16125781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+C38+C39+C40</f>
        <v>188124476</v>
      </c>
      <c r="E37" s="467">
        <f>'25. sz. mell EKIK'!C37+'26. sz. mell EKIK'!C37</f>
        <v>188124476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1338180</v>
      </c>
      <c r="E38" s="467">
        <f>'25. sz. mell EKIK'!C38+'26. sz. mell EKIK'!C38</f>
        <v>1338180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'25. sz. mell EKIK'!C39+'26. sz. mell EKIK'!C39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49">
        <v>186786296</v>
      </c>
      <c r="E40" s="467">
        <f>'25. sz. mell EKIK'!C40+'26. sz. mell EKIK'!C40</f>
        <v>186786296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7">
        <f>+C36+C37</f>
        <v>204250257</v>
      </c>
      <c r="E41" s="467">
        <f>'25. sz. mell EKIK'!C41+'26. sz. mell EKIK'!C41</f>
        <v>204250257</v>
      </c>
      <c r="F41" s="467">
        <f t="shared" si="0"/>
        <v>0</v>
      </c>
    </row>
    <row r="42" spans="1:6" x14ac:dyDescent="0.2">
      <c r="A42" s="87"/>
      <c r="B42" s="88"/>
      <c r="C42" s="518"/>
      <c r="E42" s="467">
        <f>'25. sz. mell EKIK'!C42+'26. sz. mell EKIK'!C42</f>
        <v>0</v>
      </c>
      <c r="F42" s="467">
        <f t="shared" si="0"/>
        <v>0</v>
      </c>
    </row>
    <row r="43" spans="1:6" s="32" customFormat="1" ht="16.5" customHeight="1" thickBot="1" x14ac:dyDescent="0.25">
      <c r="A43" s="89"/>
      <c r="B43" s="90"/>
      <c r="C43" s="519"/>
      <c r="E43" s="467">
        <f>'25. sz. mell EKIK'!C43+'26. sz. mell EKIK'!C43</f>
        <v>0</v>
      </c>
      <c r="F43" s="467">
        <f t="shared" si="0"/>
        <v>0</v>
      </c>
    </row>
    <row r="44" spans="1:6" s="213" customFormat="1" ht="12.2" customHeight="1" thickBot="1" x14ac:dyDescent="0.25">
      <c r="A44" s="1278" t="s">
        <v>53</v>
      </c>
      <c r="B44" s="1279"/>
      <c r="C44" s="1280"/>
      <c r="E44" s="467">
        <f>'25. sz. mell EKIK'!C44+'26. sz. mell EKIK'!C44</f>
        <v>0</v>
      </c>
      <c r="F44" s="467">
        <f t="shared" si="0"/>
        <v>0</v>
      </c>
    </row>
    <row r="45" spans="1:6" ht="12.2" customHeight="1" thickBot="1" x14ac:dyDescent="0.25">
      <c r="A45" s="74" t="s">
        <v>16</v>
      </c>
      <c r="B45" s="54" t="s">
        <v>346</v>
      </c>
      <c r="C45" s="505">
        <f>SUM(C46:C50)</f>
        <v>201101717</v>
      </c>
      <c r="E45" s="467">
        <f>'25. sz. mell EKIK'!C45+'26. sz. mell EKIK'!C45</f>
        <v>201101717</v>
      </c>
      <c r="F45" s="467">
        <f t="shared" si="0"/>
        <v>0</v>
      </c>
    </row>
    <row r="46" spans="1:6" ht="12.2" customHeight="1" x14ac:dyDescent="0.2">
      <c r="A46" s="207" t="s">
        <v>85</v>
      </c>
      <c r="B46" s="6" t="s">
        <v>46</v>
      </c>
      <c r="C46" s="251">
        <v>83150444</v>
      </c>
      <c r="E46" s="467">
        <f>'25. sz. mell EKIK'!C46+'26. sz. mell EKIK'!C46</f>
        <v>83150444</v>
      </c>
      <c r="F46" s="467">
        <f t="shared" si="0"/>
        <v>0</v>
      </c>
    </row>
    <row r="47" spans="1:6" ht="12.2" customHeight="1" x14ac:dyDescent="0.2">
      <c r="A47" s="207" t="s">
        <v>86</v>
      </c>
      <c r="B47" s="5" t="s">
        <v>134</v>
      </c>
      <c r="C47" s="114">
        <v>11455015</v>
      </c>
      <c r="E47" s="467">
        <f>'25. sz. mell EKIK'!C47+'26. sz. mell EKIK'!C47</f>
        <v>11455015</v>
      </c>
      <c r="F47" s="467">
        <f t="shared" si="0"/>
        <v>0</v>
      </c>
    </row>
    <row r="48" spans="1:6" ht="12.2" customHeight="1" x14ac:dyDescent="0.2">
      <c r="A48" s="207" t="s">
        <v>87</v>
      </c>
      <c r="B48" s="5" t="s">
        <v>110</v>
      </c>
      <c r="C48" s="114">
        <f>104259417+1485841</f>
        <v>105745258</v>
      </c>
      <c r="E48" s="467">
        <f>'25. sz. mell EKIK'!C48+'26. sz. mell EKIK'!C48</f>
        <v>105745258</v>
      </c>
      <c r="F48" s="467">
        <f t="shared" si="0"/>
        <v>0</v>
      </c>
    </row>
    <row r="49" spans="1:6" ht="12.2" customHeight="1" x14ac:dyDescent="0.2">
      <c r="A49" s="207" t="s">
        <v>88</v>
      </c>
      <c r="B49" s="5" t="s">
        <v>135</v>
      </c>
      <c r="C49" s="507"/>
      <c r="E49" s="467">
        <f>'25. sz. mell EKIK'!C49+'26. sz. mell EKIK'!C49</f>
        <v>0</v>
      </c>
      <c r="F49" s="467">
        <f t="shared" si="0"/>
        <v>0</v>
      </c>
    </row>
    <row r="50" spans="1:6" ht="12.2" customHeight="1" thickBot="1" x14ac:dyDescent="0.25">
      <c r="A50" s="207" t="s">
        <v>111</v>
      </c>
      <c r="B50" s="5" t="s">
        <v>136</v>
      </c>
      <c r="C50" s="36">
        <v>751000</v>
      </c>
      <c r="E50" s="467">
        <f>'25. sz. mell EKIK'!C50+'26. sz. mell EKIK'!C50</f>
        <v>751000</v>
      </c>
      <c r="F50" s="467">
        <f t="shared" si="0"/>
        <v>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3148540</v>
      </c>
      <c r="E51" s="467">
        <f>'25. sz. mell EKIK'!C51+'26. sz. mell EKIK'!C51</f>
        <v>3148540</v>
      </c>
      <c r="F51" s="467">
        <f t="shared" si="0"/>
        <v>0</v>
      </c>
    </row>
    <row r="52" spans="1:6" ht="12.2" customHeight="1" x14ac:dyDescent="0.2">
      <c r="A52" s="207" t="s">
        <v>91</v>
      </c>
      <c r="B52" s="6" t="s">
        <v>157</v>
      </c>
      <c r="C52" s="34">
        <f>2983000+165540</f>
        <v>3148540</v>
      </c>
      <c r="E52" s="467">
        <f>'25. sz. mell EKIK'!C52+'26. sz. mell EKIK'!C52</f>
        <v>3148540</v>
      </c>
      <c r="F52" s="467">
        <f t="shared" si="0"/>
        <v>0</v>
      </c>
    </row>
    <row r="53" spans="1:6" ht="12.2" customHeight="1" x14ac:dyDescent="0.2">
      <c r="A53" s="207" t="s">
        <v>92</v>
      </c>
      <c r="B53" s="5" t="s">
        <v>138</v>
      </c>
      <c r="C53" s="652"/>
      <c r="E53" s="467">
        <f>'25. sz. mell EKIK'!C53+'26. sz. mell EKIK'!C53</f>
        <v>0</v>
      </c>
      <c r="F53" s="467">
        <f t="shared" si="0"/>
        <v>0</v>
      </c>
    </row>
    <row r="54" spans="1:6" ht="12.2" customHeight="1" x14ac:dyDescent="0.2">
      <c r="A54" s="207" t="s">
        <v>93</v>
      </c>
      <c r="B54" s="5" t="s">
        <v>54</v>
      </c>
      <c r="C54" s="507"/>
      <c r="E54" s="467">
        <f>'25. sz. mell EKIK'!C54+'26. sz. mell EKIK'!C54</f>
        <v>0</v>
      </c>
      <c r="F54" s="467">
        <f t="shared" si="0"/>
        <v>0</v>
      </c>
    </row>
    <row r="55" spans="1:6" ht="15" customHeight="1" thickBot="1" x14ac:dyDescent="0.25">
      <c r="A55" s="207" t="s">
        <v>94</v>
      </c>
      <c r="B55" s="5" t="s">
        <v>462</v>
      </c>
      <c r="C55" s="507"/>
      <c r="E55" s="467">
        <f>'25. sz. mell EKIK'!C55+'26. sz. mell EKIK'!C55</f>
        <v>0</v>
      </c>
      <c r="F55" s="467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12"/>
      <c r="E56" s="467">
        <f>'25. sz. mell EKIK'!C56+'26. sz. mell EKIK'!C56</f>
        <v>0</v>
      </c>
      <c r="F56" s="467">
        <f t="shared" si="0"/>
        <v>0</v>
      </c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204250257</v>
      </c>
      <c r="E57" s="467">
        <f>'25. sz. mell EKIK'!C57+'26. sz. mell EKIK'!C57</f>
        <v>204250257</v>
      </c>
      <c r="F57" s="467">
        <f t="shared" si="0"/>
        <v>0</v>
      </c>
    </row>
    <row r="58" spans="1:6" ht="14.25" customHeight="1" thickBot="1" x14ac:dyDescent="0.25">
      <c r="C58" s="521"/>
      <c r="E58" s="467">
        <f>'25. sz. mell EKIK'!C58+'26. sz. mell EKIK'!C58</f>
        <v>0</v>
      </c>
      <c r="F58" s="467">
        <f t="shared" si="0"/>
        <v>0</v>
      </c>
    </row>
    <row r="59" spans="1:6" x14ac:dyDescent="0.2">
      <c r="A59" s="1286" t="s">
        <v>456</v>
      </c>
      <c r="B59" s="1287"/>
      <c r="C59" s="861">
        <f>19.75</f>
        <v>19.75</v>
      </c>
      <c r="E59" s="467">
        <f>'25. sz. mell EKIK'!C59+'26. sz. mell EKIK'!C59</f>
        <v>19.75</v>
      </c>
      <c r="F59" s="467">
        <f t="shared" si="0"/>
        <v>0</v>
      </c>
    </row>
    <row r="60" spans="1:6" ht="13.5" thickBot="1" x14ac:dyDescent="0.25">
      <c r="A60" s="1284" t="s">
        <v>825</v>
      </c>
      <c r="B60" s="1285"/>
      <c r="C60" s="56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83" t="str">
        <f>CONCATENATE("19. melléklet"," ",ALAPADATOK!A7," ",ALAPADATOK!B7," ",ALAPADATOK!C7," ",ALAPADATOK!D7," ",ALAPADATOK!E7," ",ALAPADATOK!F7," ",ALAPADATOK!G7," ",ALAPADATOK!H7)</f>
        <v>19. melléklet a .. / 2023. ( …... ) önkormányzati rendelethez</v>
      </c>
      <c r="B1" s="1283"/>
      <c r="C1" s="1283"/>
    </row>
    <row r="2" spans="1:3" s="1" customFormat="1" ht="21.2" customHeight="1" x14ac:dyDescent="0.2">
      <c r="A2" s="75"/>
      <c r="B2" s="76"/>
      <c r="C2" s="307"/>
    </row>
    <row r="3" spans="1:3" s="37" customFormat="1" ht="33" customHeight="1" thickBot="1" x14ac:dyDescent="0.25">
      <c r="A3" s="1236" t="s">
        <v>894</v>
      </c>
      <c r="B3" s="1236"/>
      <c r="C3" s="1236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11756181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214">
        <v>8341732</v>
      </c>
    </row>
    <row r="10" spans="1:3" s="38" customFormat="1" ht="12.2" customHeight="1" x14ac:dyDescent="0.2">
      <c r="A10" s="207" t="s">
        <v>87</v>
      </c>
      <c r="B10" s="5" t="s">
        <v>209</v>
      </c>
      <c r="C10" s="214">
        <f>40000+1300300</f>
        <v>1340300</v>
      </c>
    </row>
    <row r="11" spans="1:3" s="38" customFormat="1" ht="12.2" customHeight="1" x14ac:dyDescent="0.2">
      <c r="A11" s="207" t="s">
        <v>88</v>
      </c>
      <c r="B11" s="5" t="s">
        <v>210</v>
      </c>
      <c r="C11" s="214"/>
    </row>
    <row r="12" spans="1:3" s="38" customFormat="1" ht="12.2" customHeight="1" x14ac:dyDescent="0.2">
      <c r="A12" s="207" t="s">
        <v>111</v>
      </c>
      <c r="B12" s="5" t="s">
        <v>211</v>
      </c>
      <c r="C12" s="214"/>
    </row>
    <row r="13" spans="1:3" s="38" customFormat="1" ht="12.2" customHeight="1" x14ac:dyDescent="0.2">
      <c r="A13" s="207" t="s">
        <v>89</v>
      </c>
      <c r="B13" s="5" t="s">
        <v>331</v>
      </c>
      <c r="C13" s="214">
        <f>1723068+351081</f>
        <v>2074149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36">
        <v>2969600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652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14725781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188124476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1338180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v>186786296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202850257</v>
      </c>
    </row>
    <row r="42" spans="1:3" x14ac:dyDescent="0.2">
      <c r="A42" s="87"/>
      <c r="B42" s="88"/>
      <c r="C42" s="518"/>
    </row>
    <row r="43" spans="1:3" s="32" customFormat="1" ht="16.5" customHeight="1" thickBot="1" x14ac:dyDescent="0.25">
      <c r="A43" s="89"/>
      <c r="B43" s="90"/>
      <c r="C43" s="519"/>
    </row>
    <row r="44" spans="1:3" s="213" customFormat="1" ht="12.2" customHeight="1" thickBot="1" x14ac:dyDescent="0.25">
      <c r="A44" s="1278" t="s">
        <v>53</v>
      </c>
      <c r="B44" s="1279"/>
      <c r="C44" s="1280"/>
    </row>
    <row r="45" spans="1:3" ht="12.2" customHeight="1" thickBot="1" x14ac:dyDescent="0.25">
      <c r="A45" s="74" t="s">
        <v>16</v>
      </c>
      <c r="B45" s="54" t="s">
        <v>346</v>
      </c>
      <c r="C45" s="505">
        <f>SUM(C46:C50)</f>
        <v>199701717</v>
      </c>
    </row>
    <row r="46" spans="1:3" ht="12.2" customHeight="1" x14ac:dyDescent="0.2">
      <c r="A46" s="207" t="s">
        <v>85</v>
      </c>
      <c r="B46" s="6" t="s">
        <v>46</v>
      </c>
      <c r="C46" s="251">
        <v>83150444</v>
      </c>
    </row>
    <row r="47" spans="1:3" ht="12.2" customHeight="1" x14ac:dyDescent="0.2">
      <c r="A47" s="207" t="s">
        <v>86</v>
      </c>
      <c r="B47" s="5" t="s">
        <v>134</v>
      </c>
      <c r="C47" s="114">
        <v>11455015</v>
      </c>
    </row>
    <row r="48" spans="1:3" ht="12.2" customHeight="1" x14ac:dyDescent="0.2">
      <c r="A48" s="207" t="s">
        <v>87</v>
      </c>
      <c r="B48" s="5" t="s">
        <v>110</v>
      </c>
      <c r="C48" s="114">
        <f>102859417+1485841</f>
        <v>104345258</v>
      </c>
    </row>
    <row r="49" spans="1:6" ht="12.2" customHeight="1" x14ac:dyDescent="0.2">
      <c r="A49" s="207" t="s">
        <v>88</v>
      </c>
      <c r="B49" s="5" t="s">
        <v>135</v>
      </c>
      <c r="C49" s="507"/>
    </row>
    <row r="50" spans="1:6" ht="12.2" customHeight="1" thickBot="1" x14ac:dyDescent="0.25">
      <c r="A50" s="207" t="s">
        <v>111</v>
      </c>
      <c r="B50" s="5" t="s">
        <v>136</v>
      </c>
      <c r="C50" s="36">
        <v>751000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3148540</v>
      </c>
    </row>
    <row r="52" spans="1:6" ht="12.2" customHeight="1" x14ac:dyDescent="0.2">
      <c r="A52" s="207" t="s">
        <v>91</v>
      </c>
      <c r="B52" s="6" t="s">
        <v>157</v>
      </c>
      <c r="C52" s="34">
        <f>2983000+165540</f>
        <v>3148540</v>
      </c>
    </row>
    <row r="53" spans="1:6" ht="12.2" customHeight="1" x14ac:dyDescent="0.2">
      <c r="A53" s="207" t="s">
        <v>92</v>
      </c>
      <c r="B53" s="5" t="s">
        <v>138</v>
      </c>
      <c r="C53" s="847"/>
    </row>
    <row r="54" spans="1:6" ht="12.2" customHeight="1" x14ac:dyDescent="0.2">
      <c r="A54" s="207" t="s">
        <v>93</v>
      </c>
      <c r="B54" s="5" t="s">
        <v>54</v>
      </c>
      <c r="C54" s="507"/>
    </row>
    <row r="55" spans="1:6" ht="15" customHeight="1" thickBot="1" x14ac:dyDescent="0.25">
      <c r="A55" s="207" t="s">
        <v>94</v>
      </c>
      <c r="B55" s="5" t="s">
        <v>462</v>
      </c>
      <c r="C55" s="507"/>
    </row>
    <row r="56" spans="1:6" ht="13.5" thickBot="1" x14ac:dyDescent="0.25">
      <c r="A56" s="74" t="s">
        <v>18</v>
      </c>
      <c r="B56" s="54" t="s">
        <v>12</v>
      </c>
      <c r="C56" s="512"/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202850257</v>
      </c>
    </row>
    <row r="58" spans="1:6" ht="14.25" customHeight="1" thickBot="1" x14ac:dyDescent="0.25">
      <c r="C58" s="521"/>
    </row>
    <row r="59" spans="1:6" x14ac:dyDescent="0.2">
      <c r="A59" s="1286" t="s">
        <v>456</v>
      </c>
      <c r="B59" s="1287"/>
      <c r="C59" s="861">
        <f>19.75</f>
        <v>19.75</v>
      </c>
      <c r="E59" s="467"/>
      <c r="F59" s="467"/>
    </row>
    <row r="60" spans="1:6" ht="13.7" customHeight="1" thickBot="1" x14ac:dyDescent="0.25">
      <c r="A60" s="1284" t="s">
        <v>825</v>
      </c>
      <c r="B60" s="1285"/>
      <c r="C60" s="565"/>
      <c r="E60" s="625"/>
      <c r="F60" s="62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C60" sqref="C60"/>
    </sheetView>
  </sheetViews>
  <sheetFormatPr defaultColWidth="9.33203125" defaultRowHeight="12.75" x14ac:dyDescent="0.2"/>
  <cols>
    <col min="1" max="1" width="13.83203125" style="94" customWidth="1"/>
    <col min="2" max="2" width="82" style="301" customWidth="1"/>
    <col min="3" max="3" width="28.5" style="301" customWidth="1"/>
    <col min="4" max="16384" width="9.33203125" style="301"/>
  </cols>
  <sheetData>
    <row r="1" spans="1:8" ht="12.75" customHeight="1" x14ac:dyDescent="0.2">
      <c r="A1" s="1283" t="str">
        <f>CONCATENATE("26. melléklet"," ",ALAPADATOK!A7," ",ALAPADATOK!B7," ",ALAPADATOK!C7," ",ALAPADATOK!D7," ",ALAPADATOK!E7," ",ALAPADATOK!F7," ",ALAPADATOK!G7," ",ALAPADATOK!H7)</f>
        <v>26. melléklet a .. / 2023. ( …... ) önkormányzati rendelethez</v>
      </c>
      <c r="B1" s="1283"/>
      <c r="C1" s="1283"/>
    </row>
    <row r="2" spans="1:8" s="1" customFormat="1" ht="21.2" customHeight="1" x14ac:dyDescent="0.2">
      <c r="A2" s="75"/>
      <c r="B2" s="76"/>
      <c r="C2" s="211"/>
    </row>
    <row r="3" spans="1:8" s="37" customFormat="1" ht="36.75" customHeight="1" thickBot="1" x14ac:dyDescent="0.25">
      <c r="A3" s="1236" t="s">
        <v>895</v>
      </c>
      <c r="B3" s="1236"/>
      <c r="C3" s="1236"/>
    </row>
    <row r="4" spans="1:8" ht="13.5" thickBot="1" x14ac:dyDescent="0.25">
      <c r="A4" s="172" t="s">
        <v>153</v>
      </c>
      <c r="B4" s="79" t="s">
        <v>50</v>
      </c>
      <c r="C4" s="80" t="s">
        <v>863</v>
      </c>
    </row>
    <row r="5" spans="1:8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.2" customHeight="1" thickBot="1" x14ac:dyDescent="0.25">
      <c r="A7" s="71" t="s">
        <v>16</v>
      </c>
      <c r="B7" s="84" t="s">
        <v>458</v>
      </c>
      <c r="C7" s="124">
        <f>SUM(C8:C18)</f>
        <v>1400000</v>
      </c>
    </row>
    <row r="8" spans="1:8" s="38" customFormat="1" ht="12.2" customHeight="1" x14ac:dyDescent="0.2">
      <c r="A8" s="206" t="s">
        <v>85</v>
      </c>
      <c r="B8" s="7" t="s">
        <v>207</v>
      </c>
      <c r="C8" s="156"/>
      <c r="H8" s="964"/>
    </row>
    <row r="9" spans="1:8" s="38" customFormat="1" ht="12.2" customHeight="1" x14ac:dyDescent="0.2">
      <c r="A9" s="207" t="s">
        <v>86</v>
      </c>
      <c r="B9" s="5" t="s">
        <v>208</v>
      </c>
      <c r="C9" s="214">
        <v>1102361</v>
      </c>
      <c r="H9" s="964"/>
    </row>
    <row r="10" spans="1:8" s="38" customFormat="1" ht="12.2" customHeight="1" x14ac:dyDescent="0.2">
      <c r="A10" s="207" t="s">
        <v>87</v>
      </c>
      <c r="B10" s="5" t="s">
        <v>209</v>
      </c>
      <c r="C10" s="214"/>
    </row>
    <row r="11" spans="1:8" s="38" customFormat="1" ht="12.2" customHeight="1" x14ac:dyDescent="0.2">
      <c r="A11" s="207" t="s">
        <v>88</v>
      </c>
      <c r="B11" s="5" t="s">
        <v>210</v>
      </c>
      <c r="C11" s="214"/>
    </row>
    <row r="12" spans="1:8" s="38" customFormat="1" ht="12.2" customHeight="1" x14ac:dyDescent="0.2">
      <c r="A12" s="207" t="s">
        <v>111</v>
      </c>
      <c r="B12" s="5" t="s">
        <v>211</v>
      </c>
      <c r="C12" s="214"/>
    </row>
    <row r="13" spans="1:8" s="38" customFormat="1" ht="12.2" customHeight="1" x14ac:dyDescent="0.2">
      <c r="A13" s="207" t="s">
        <v>89</v>
      </c>
      <c r="B13" s="5" t="s">
        <v>331</v>
      </c>
      <c r="C13" s="214">
        <v>297639</v>
      </c>
    </row>
    <row r="14" spans="1:8" s="38" customFormat="1" ht="12.2" customHeight="1" x14ac:dyDescent="0.2">
      <c r="A14" s="207" t="s">
        <v>90</v>
      </c>
      <c r="B14" s="4" t="s">
        <v>332</v>
      </c>
      <c r="C14" s="36"/>
    </row>
    <row r="15" spans="1:8" s="38" customFormat="1" ht="12.2" customHeight="1" x14ac:dyDescent="0.2">
      <c r="A15" s="207" t="s">
        <v>100</v>
      </c>
      <c r="B15" s="5" t="s">
        <v>214</v>
      </c>
      <c r="C15" s="125"/>
    </row>
    <row r="16" spans="1:8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8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1400000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38"/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1400000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.2" customHeight="1" thickBot="1" x14ac:dyDescent="0.25">
      <c r="A44" s="91"/>
      <c r="B44" s="92" t="s">
        <v>53</v>
      </c>
      <c r="C44" s="161"/>
    </row>
    <row r="45" spans="1:3" ht="12.2" customHeight="1" thickBot="1" x14ac:dyDescent="0.25">
      <c r="A45" s="74" t="s">
        <v>16</v>
      </c>
      <c r="B45" s="54" t="s">
        <v>346</v>
      </c>
      <c r="C45" s="124">
        <f>SUM(C46:C50)</f>
        <v>1400000</v>
      </c>
    </row>
    <row r="46" spans="1:3" ht="12.2" customHeight="1" x14ac:dyDescent="0.2">
      <c r="A46" s="207" t="s">
        <v>85</v>
      </c>
      <c r="B46" s="6" t="s">
        <v>46</v>
      </c>
      <c r="C46" s="513"/>
    </row>
    <row r="47" spans="1:3" ht="12.2" customHeight="1" x14ac:dyDescent="0.2">
      <c r="A47" s="207" t="s">
        <v>86</v>
      </c>
      <c r="B47" s="5" t="s">
        <v>134</v>
      </c>
      <c r="C47" s="507"/>
    </row>
    <row r="48" spans="1:3" ht="12.2" customHeight="1" x14ac:dyDescent="0.2">
      <c r="A48" s="207" t="s">
        <v>87</v>
      </c>
      <c r="B48" s="5" t="s">
        <v>110</v>
      </c>
      <c r="C48" s="36">
        <v>1400000</v>
      </c>
    </row>
    <row r="49" spans="1:3" ht="12.2" customHeight="1" x14ac:dyDescent="0.2">
      <c r="A49" s="207" t="s">
        <v>88</v>
      </c>
      <c r="B49" s="5" t="s">
        <v>135</v>
      </c>
      <c r="C49" s="507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s="213" customFormat="1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652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5" customHeight="1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463</v>
      </c>
      <c r="C57" s="162">
        <f>+C45+C51+C56</f>
        <v>1400000</v>
      </c>
    </row>
    <row r="58" spans="1:3" ht="14.25" customHeight="1" thickBot="1" x14ac:dyDescent="0.25">
      <c r="C58" s="163"/>
    </row>
    <row r="59" spans="1:3" ht="13.5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83" t="str">
        <f>CONCATENATE("20. melléklet"," ",ALAPADATOK!A7," ",ALAPADATOK!B7," ",ALAPADATOK!C7," ",ALAPADATOK!D7," ",ALAPADATOK!E7," ",ALAPADATOK!F7," ",ALAPADATOK!G7," ",ALAPADATOK!H7)</f>
        <v>20. melléklet a .. / 2023. ( …... ) önkormányzati rendelethez</v>
      </c>
      <c r="B1" s="1283"/>
      <c r="C1" s="1283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236" t="s">
        <v>871</v>
      </c>
      <c r="B3" s="1236"/>
      <c r="C3" s="1236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260543980</v>
      </c>
      <c r="E7" s="467">
        <f>'28. sz. mell Kornisné Kp. '!C7+'29. sz. mell Kornisné Kp.'!C7+'30. sz. mell Kornisné Kp '!C9</f>
        <v>260543980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'28. sz. mell Kornisné Kp. '!C8+'29. sz. mell Kornisné Kp.'!C8+'30. sz. mell Kornisné Kp '!C10</f>
        <v>0</v>
      </c>
      <c r="F8" s="467">
        <f t="shared" ref="F8:F58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507">
        <v>14522318</v>
      </c>
      <c r="E9" s="467">
        <f>'28. sz. mell Kornisné Kp. '!C9+'29. sz. mell Kornisné Kp.'!C9+'30. sz. mell Kornisné Kp '!C11</f>
        <v>14522318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507">
        <v>10326000</v>
      </c>
      <c r="E10" s="467">
        <f>'28. sz. mell Kornisné Kp. '!C10+'29. sz. mell Kornisné Kp.'!C10+'30. sz. mell Kornisné Kp '!C12</f>
        <v>10326000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507"/>
      <c r="E11" s="467">
        <f>'28. sz. mell Kornisné Kp. '!C11+'29. sz. mell Kornisné Kp.'!C11+'30. sz. mell Kornisné Kp '!C13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507">
        <v>231540816</v>
      </c>
      <c r="E12" s="467">
        <f>'28. sz. mell Kornisné Kp. '!C12+'29. sz. mell Kornisné Kp.'!C12+'30. sz. mell Kornisné Kp '!C14</f>
        <v>231540816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507">
        <v>4154846</v>
      </c>
      <c r="E13" s="467">
        <f>'28. sz. mell Kornisné Kp. '!C13+'29. sz. mell Kornisné Kp.'!C13+'30. sz. mell Kornisné Kp '!C15</f>
        <v>4154846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'28. sz. mell Kornisné Kp. '!C14+'29. sz. mell Kornisné Kp.'!C14+'30. sz. mell Kornisné Kp '!C16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'28. sz. mell Kornisné Kp. '!C15+'29. sz. mell Kornisné Kp.'!C15+'30. sz. mell Kornisné Kp '!C17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'28. sz. mell Kornisné Kp. '!C16+'29. sz. mell Kornisné Kp.'!C16+'30. sz. mell Kornisné Kp 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'28. sz. mell Kornisné Kp. '!C17+'29. sz. mell Kornisné Kp.'!C17+'30. sz. mell Kornisné Kp 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1085"/>
      <c r="E18" s="467">
        <f>'28. sz. mell Kornisné Kp. '!C18+'29. sz. mell Kornisné Kp.'!C18+'30. sz. mell Kornisné Kp 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124">
        <f>SUM(C20:C22)</f>
        <v>217598718</v>
      </c>
      <c r="E19" s="467">
        <f>'28. sz. mell Kornisné Kp. '!C19+'29. sz. mell Kornisné Kp.'!C19+'30. sz. mell Kornisné Kp '!C21</f>
        <v>217598718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07"/>
      <c r="E20" s="467">
        <f>'28. sz. mell Kornisné Kp. '!C20+'29. sz. mell Kornisné Kp.'!C20+'30. sz. mell Kornisné Kp 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'28. sz. mell Kornisné Kp. '!C21+'29. sz. mell Kornisné Kp.'!C21+'30. sz. mell Kornisné Kp 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652">
        <f>191865913+25732805</f>
        <v>217598718</v>
      </c>
      <c r="E22" s="467">
        <f>'28. sz. mell Kornisné Kp. '!C22+'29. sz. mell Kornisné Kp.'!C22+'30. sz. mell Kornisné Kp '!C24</f>
        <v>217598718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652">
        <v>25732805</v>
      </c>
      <c r="E23" s="467">
        <f>'28. sz. mell Kornisné Kp. '!C23+'29. sz. mell Kornisné Kp.'!C23+'30. sz. mell Kornisné Kp '!C25</f>
        <v>25732805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'28. sz. mell Kornisné Kp. '!C24+'29. sz. mell Kornisné Kp.'!C24+'30. sz. mell Kornisné Kp 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37347000</v>
      </c>
      <c r="E25" s="467">
        <f>'28. sz. mell Kornisné Kp. '!C25+'29. sz. mell Kornisné Kp.'!C25+'30. sz. mell Kornisné Kp '!C27</f>
        <v>37347000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'28. sz. mell Kornisné Kp. '!C26+'29. sz. mell Kornisné Kp.'!C26+'30. sz. mell Kornisné Kp 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'28. sz. mell Kornisné Kp. '!C27+'29. sz. mell Kornisné Kp.'!C27+'30. sz. mell Kornisné Kp '!C29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652">
        <f>36147000+1200000</f>
        <v>37347000</v>
      </c>
      <c r="E28" s="467">
        <f>'28. sz. mell Kornisné Kp. '!C28+'29. sz. mell Kornisné Kp.'!C28+'30. sz. mell Kornisné Kp '!C30</f>
        <v>37347000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838">
        <v>1200000</v>
      </c>
      <c r="E29" s="467">
        <f>'28. sz. mell Kornisné Kp. '!C29+'29. sz. mell Kornisné Kp.'!C29+'30. sz. mell Kornisné Kp '!C31</f>
        <v>1200000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'28. sz. mell Kornisné Kp. '!C30+'29. sz. mell Kornisné Kp.'!C30+'30. sz. mell Kornisné Kp '!C32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'28. sz. mell Kornisné Kp. '!C31+'29. sz. mell Kornisné Kp.'!C31+'30. sz. mell Kornisné Kp '!C33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'28. sz. mell Kornisné Kp. '!C32+'29. sz. mell Kornisné Kp.'!C32+'30. sz. mell Kornisné Kp '!C34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'28. sz. mell Kornisné Kp. '!C33+'29. sz. mell Kornisné Kp.'!C33+'30. sz. mell Kornisné Kp '!C35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'28. sz. mell Kornisné Kp. '!C34+'29. sz. mell Kornisné Kp.'!C34+'30. sz. mell Kornisné Kp '!C36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717"/>
      <c r="E35" s="467">
        <f>'28. sz. mell Kornisné Kp. '!C35+'29. sz. mell Kornisné Kp.'!C35+'30. sz. mell Kornisné Kp '!C37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515489698</v>
      </c>
      <c r="E36" s="467">
        <f>'28. sz. mell Kornisné Kp. '!C36+'29. sz. mell Kornisné Kp.'!C36+'30. sz. mell Kornisné Kp '!C38</f>
        <v>515489698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SUM(C38:C40)</f>
        <v>927122427</v>
      </c>
      <c r="E37" s="467">
        <f>'28. sz. mell Kornisné Kp. '!C37+'29. sz. mell Kornisné Kp.'!C37+'30. sz. mell Kornisné Kp '!C39</f>
        <v>927122427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58816956</v>
      </c>
      <c r="E38" s="467">
        <f>'28. sz. mell Kornisné Kp. '!C38+'29. sz. mell Kornisné Kp.'!C38+'30. sz. mell Kornisné Kp '!C40</f>
        <v>58816956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'28. sz. mell Kornisné Kp. '!C39+'29. sz. mell Kornisné Kp.'!C39+'30. sz. mell Kornisné Kp '!C41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514">
        <v>868305471</v>
      </c>
      <c r="E40" s="467">
        <f>'28. sz. mell Kornisné Kp. '!C40+'29. sz. mell Kornisné Kp.'!C40+'30. sz. mell Kornisné Kp '!C42</f>
        <v>868305471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6">
        <f>+C36+C37</f>
        <v>1442612125</v>
      </c>
      <c r="E41" s="467">
        <f>'28. sz. mell Kornisné Kp. '!C41+'29. sz. mell Kornisné Kp.'!C41+'30. sz. mell Kornisné Kp '!C43</f>
        <v>1442612125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'28. sz. mell Kornisné Kp. '!C42+'29. sz. mell Kornisné Kp.'!C42+'30. sz. mell Kornisné Kp '!C46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505">
        <f>SUM(C44:C48)</f>
        <v>1399435974</v>
      </c>
      <c r="E43" s="467">
        <f>'28. sz. mell Kornisné Kp. '!C43+'29. sz. mell Kornisné Kp.'!C43+'30. sz. mell Kornisné Kp '!C47</f>
        <v>1399435974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651">
        <f>770608239+20865000</f>
        <v>791473239</v>
      </c>
      <c r="E44" s="467">
        <f>'28. sz. mell Kornisné Kp. '!C44+'29. sz. mell Kornisné Kp.'!C44+'30. sz. mell Kornisné Kp '!C48</f>
        <v>791473239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652">
        <f>106848258+2441205</f>
        <v>109289463</v>
      </c>
      <c r="E45" s="467">
        <f>'28. sz. mell Kornisné Kp. '!C45+'29. sz. mell Kornisné Kp.'!C45+'30. sz. mell Kornisné Kp '!C49</f>
        <v>109289463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652">
        <f>496246672+2426600</f>
        <v>498673272</v>
      </c>
      <c r="E46" s="467">
        <f>'28. sz. mell Kornisné Kp. '!C46+'29. sz. mell Kornisné Kp.'!C46+'30. sz. mell Kornisné Kp '!C50</f>
        <v>498673272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'28. sz. mell Kornisné Kp. '!C47+'29. sz. mell Kornisné Kp.'!C47+'30. sz. mell Kornisné Kp '!C51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'28. sz. mell Kornisné Kp. '!C48+'29. sz. mell Kornisné Kp.'!C48+'30. sz. mell Kornisné Kp '!C52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43176151</v>
      </c>
      <c r="E49" s="467">
        <f>'28. sz. mell Kornisné Kp. '!C49+'29. sz. mell Kornisné Kp.'!C49+'30. sz. mell Kornisné Kp '!C53</f>
        <v>43176151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651">
        <f>41976151+1200000</f>
        <v>43176151</v>
      </c>
      <c r="E50" s="467">
        <f>'28. sz. mell Kornisné Kp. '!C50+'29. sz. mell Kornisné Kp.'!C50+'30. sz. mell Kornisné Kp '!C54</f>
        <v>43176151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'28. sz. mell Kornisné Kp. '!C51+'29. sz. mell Kornisné Kp.'!C51+'30. sz. mell Kornisné Kp '!C55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'28. sz. mell Kornisné Kp. '!C52+'29. sz. mell Kornisné Kp.'!C52+'30. sz. mell Kornisné Kp '!C56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'28. sz. mell Kornisné Kp. '!C53+'29. sz. mell Kornisné Kp.'!C53+'30. sz. mell Kornisné Kp '!C57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'28. sz. mell Kornisné Kp. '!C54+'29. sz. mell Kornisné Kp.'!C54+'30. sz. mell Kornisné Kp '!C58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520">
        <f>+C43+C49+C54</f>
        <v>1442612125</v>
      </c>
      <c r="E55" s="467">
        <f>'28. sz. mell Kornisné Kp. '!C55+'29. sz. mell Kornisné Kp.'!C55+'30. sz. mell Kornisné Kp '!C59</f>
        <v>1442612125</v>
      </c>
      <c r="F55" s="467">
        <f t="shared" si="0"/>
        <v>0</v>
      </c>
    </row>
    <row r="56" spans="1:6" ht="13.5" thickBot="1" x14ac:dyDescent="0.25">
      <c r="A56" s="1276" t="s">
        <v>456</v>
      </c>
      <c r="B56" s="1277"/>
      <c r="C56" s="848">
        <f>151-3.33+3+1-2</f>
        <v>149.66999999999999</v>
      </c>
      <c r="E56" s="467">
        <f>'28. sz. mell Kornisné Kp. '!C56+'29. sz. mell Kornisné Kp.'!C56+'30. sz. mell Kornisné Kp '!C61</f>
        <v>149.67000000000002</v>
      </c>
      <c r="F56" s="467">
        <f t="shared" si="0"/>
        <v>0</v>
      </c>
    </row>
    <row r="57" spans="1:6" s="314" customFormat="1" ht="13.9" customHeight="1" thickBot="1" x14ac:dyDescent="0.25">
      <c r="A57" s="1292" t="s">
        <v>645</v>
      </c>
      <c r="B57" s="1293"/>
      <c r="C57" s="526">
        <v>0</v>
      </c>
      <c r="E57" s="467"/>
      <c r="F57" s="467"/>
    </row>
    <row r="58" spans="1:6" s="314" customFormat="1" ht="19.899999999999999" customHeight="1" thickBot="1" x14ac:dyDescent="0.25">
      <c r="A58" s="1288" t="s">
        <v>502</v>
      </c>
      <c r="B58" s="1289"/>
      <c r="C58" s="721">
        <v>0</v>
      </c>
      <c r="E58" s="467" t="e">
        <f>'28. sz. mell Kornisné Kp. '!C58+'29. sz. mell Kornisné Kp.'!#REF!+'30. sz. mell Kornisné Kp '!C63</f>
        <v>#REF!</v>
      </c>
      <c r="F58" s="467" t="e">
        <f t="shared" si="0"/>
        <v>#REF!</v>
      </c>
    </row>
    <row r="59" spans="1:6" ht="13.5" thickBot="1" x14ac:dyDescent="0.25">
      <c r="A59" s="1290" t="s">
        <v>826</v>
      </c>
      <c r="B59" s="1291"/>
      <c r="C59" s="721">
        <v>90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M168"/>
  <sheetViews>
    <sheetView topLeftCell="A78" zoomScaleSheetLayoutView="100" workbookViewId="0">
      <selection activeCell="B118" sqref="B118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1640625" style="280" customWidth="1"/>
    <col min="4" max="4" width="19.33203125" style="167" hidden="1" customWidth="1"/>
    <col min="5" max="8" width="15.83203125" style="167" hidden="1" customWidth="1"/>
    <col min="9" max="10" width="21.83203125" style="167" hidden="1" customWidth="1"/>
    <col min="11" max="13" width="9.33203125" style="167" customWidth="1"/>
    <col min="14" max="16384" width="9.33203125" style="167"/>
  </cols>
  <sheetData>
    <row r="1" spans="1:10" x14ac:dyDescent="0.25">
      <c r="A1" s="1227" t="str">
        <f>CONCATENATE("2. melléklet"," ",ALAPADATOK!A7," ",ALAPADATOK!B7," ",ALAPADATOK!C7," ",ALAPADATOK!D7," ",ALAPADATOK!E7," ",ALAPADATOK!F7," ",ALAPADATOK!G7," ",ALAPADATOK!H7)</f>
        <v>2. melléklet a .. / 2023. ( …... ) önkormányzati rendelethez</v>
      </c>
      <c r="B1" s="1227"/>
      <c r="C1" s="1227"/>
    </row>
    <row r="2" spans="1:10" x14ac:dyDescent="0.25">
      <c r="A2" s="591"/>
      <c r="B2" s="591"/>
      <c r="C2" s="591"/>
    </row>
    <row r="3" spans="1:10" x14ac:dyDescent="0.25">
      <c r="A3" s="1226" t="str">
        <f>CONCATENATE(ALAPADATOK!A3)</f>
        <v>Tiszavasvári Város Önkormányzat</v>
      </c>
      <c r="B3" s="1226"/>
      <c r="C3" s="1226"/>
    </row>
    <row r="4" spans="1:10" x14ac:dyDescent="0.25">
      <c r="A4" s="1225" t="str">
        <f>CONCATENATE(ALAPADATOK!D7," ÉVI KÖLTSÉGVETÉS")</f>
        <v>2023. ÉVI KÖLTSÉGVETÉS</v>
      </c>
      <c r="B4" s="1225"/>
      <c r="C4" s="1225"/>
    </row>
    <row r="5" spans="1:10" x14ac:dyDescent="0.25">
      <c r="A5" s="1225" t="s">
        <v>664</v>
      </c>
      <c r="B5" s="1225"/>
      <c r="C5" s="1225"/>
    </row>
    <row r="7" spans="1:10" ht="15.95" customHeight="1" x14ac:dyDescent="0.25">
      <c r="A7" s="1229" t="s">
        <v>13</v>
      </c>
      <c r="B7" s="1229"/>
      <c r="C7" s="1229"/>
    </row>
    <row r="8" spans="1:10" ht="15.95" customHeight="1" thickBot="1" x14ac:dyDescent="0.3">
      <c r="A8" s="1228" t="s">
        <v>114</v>
      </c>
      <c r="B8" s="1228"/>
      <c r="C8" s="119" t="s">
        <v>483</v>
      </c>
    </row>
    <row r="9" spans="1:10" ht="38.1" customHeight="1" thickBot="1" x14ac:dyDescent="0.3">
      <c r="A9" s="20" t="s">
        <v>63</v>
      </c>
      <c r="B9" s="21" t="s">
        <v>15</v>
      </c>
      <c r="C9" s="29" t="s">
        <v>976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378" t="s">
        <v>1051</v>
      </c>
    </row>
    <row r="10" spans="1:10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10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SUM(D11:J11)</f>
        <v>1780983118</v>
      </c>
      <c r="D11" s="255">
        <f t="shared" ref="D11:J11" si="1">+D12+D13+D14+D17+D18+D19</f>
        <v>1777462790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ref="I11" si="2">+I12+I13+I14+I17+I18+I19</f>
        <v>0</v>
      </c>
      <c r="J11" s="110">
        <v>3520328</v>
      </c>
    </row>
    <row r="12" spans="1:10" s="179" customFormat="1" ht="12.2" customHeight="1" x14ac:dyDescent="0.2">
      <c r="A12" s="12" t="s">
        <v>85</v>
      </c>
      <c r="B12" s="180" t="s">
        <v>180</v>
      </c>
      <c r="C12" s="273">
        <f t="shared" si="0"/>
        <v>445216727</v>
      </c>
      <c r="D12" s="214">
        <v>434444567</v>
      </c>
      <c r="E12" s="214"/>
      <c r="F12" s="214"/>
      <c r="G12" s="214"/>
      <c r="H12" s="214"/>
      <c r="I12" s="214"/>
      <c r="J12" s="214">
        <v>10772160</v>
      </c>
    </row>
    <row r="13" spans="1:10" s="179" customFormat="1" ht="12.2" customHeight="1" x14ac:dyDescent="0.2">
      <c r="A13" s="11" t="s">
        <v>86</v>
      </c>
      <c r="B13" s="181" t="s">
        <v>181</v>
      </c>
      <c r="C13" s="274">
        <f t="shared" si="0"/>
        <v>325490831</v>
      </c>
      <c r="D13" s="114">
        <v>289696140</v>
      </c>
      <c r="E13" s="114"/>
      <c r="F13" s="114"/>
      <c r="G13" s="114"/>
      <c r="H13" s="114"/>
      <c r="I13" s="114"/>
      <c r="J13" s="114">
        <v>35794691</v>
      </c>
    </row>
    <row r="14" spans="1:10" s="179" customFormat="1" ht="12.2" customHeight="1" x14ac:dyDescent="0.2">
      <c r="A14" s="11" t="s">
        <v>87</v>
      </c>
      <c r="B14" s="181" t="s">
        <v>702</v>
      </c>
      <c r="C14" s="274">
        <f t="shared" si="0"/>
        <v>706759780</v>
      </c>
      <c r="D14" s="114">
        <f t="shared" ref="D14:J14" si="3">SUM(D15:D16)</f>
        <v>670176491</v>
      </c>
      <c r="E14" s="114">
        <f t="shared" si="3"/>
        <v>0</v>
      </c>
      <c r="F14" s="114">
        <f t="shared" ref="F14:G14" si="4">SUM(F15:F16)</f>
        <v>0</v>
      </c>
      <c r="G14" s="114">
        <f t="shared" si="4"/>
        <v>0</v>
      </c>
      <c r="H14" s="114">
        <f t="shared" ref="H14" si="5">SUM(H15:H16)</f>
        <v>0</v>
      </c>
      <c r="I14" s="114">
        <f t="shared" ref="I14" si="6">SUM(I15:I16)</f>
        <v>0</v>
      </c>
      <c r="J14" s="114">
        <v>36583289</v>
      </c>
    </row>
    <row r="15" spans="1:10" s="179" customFormat="1" ht="12.2" customHeight="1" x14ac:dyDescent="0.2">
      <c r="A15" s="11" t="s">
        <v>700</v>
      </c>
      <c r="B15" s="181" t="s">
        <v>703</v>
      </c>
      <c r="C15" s="274">
        <f t="shared" si="0"/>
        <v>389005605</v>
      </c>
      <c r="D15" s="114">
        <v>360636973</v>
      </c>
      <c r="E15" s="114"/>
      <c r="F15" s="114"/>
      <c r="G15" s="114"/>
      <c r="H15" s="114"/>
      <c r="I15" s="114"/>
      <c r="J15" s="114">
        <v>28368632</v>
      </c>
    </row>
    <row r="16" spans="1:10" s="179" customFormat="1" ht="12.2" customHeight="1" x14ac:dyDescent="0.2">
      <c r="A16" s="11" t="s">
        <v>701</v>
      </c>
      <c r="B16" s="181" t="s">
        <v>704</v>
      </c>
      <c r="C16" s="274">
        <f t="shared" si="0"/>
        <v>317754175</v>
      </c>
      <c r="D16" s="114">
        <v>309539518</v>
      </c>
      <c r="E16" s="114"/>
      <c r="F16" s="114"/>
      <c r="G16" s="114"/>
      <c r="H16" s="114"/>
      <c r="I16" s="114"/>
      <c r="J16" s="114">
        <v>8214657</v>
      </c>
    </row>
    <row r="17" spans="1:12" s="179" customFormat="1" ht="12.2" customHeight="1" x14ac:dyDescent="0.2">
      <c r="A17" s="11" t="s">
        <v>88</v>
      </c>
      <c r="B17" s="181" t="s">
        <v>183</v>
      </c>
      <c r="C17" s="274">
        <f t="shared" si="0"/>
        <v>59235347</v>
      </c>
      <c r="D17" s="114">
        <v>54423347</v>
      </c>
      <c r="E17" s="114"/>
      <c r="F17" s="114"/>
      <c r="G17" s="114"/>
      <c r="H17" s="114"/>
      <c r="I17" s="114"/>
      <c r="J17" s="114">
        <v>4812000</v>
      </c>
    </row>
    <row r="18" spans="1:12" s="179" customFormat="1" ht="12.2" customHeight="1" x14ac:dyDescent="0.2">
      <c r="A18" s="11" t="s">
        <v>111</v>
      </c>
      <c r="B18" s="106" t="s">
        <v>385</v>
      </c>
      <c r="C18" s="274">
        <f t="shared" si="0"/>
        <v>244280433</v>
      </c>
      <c r="D18" s="114">
        <v>328722245</v>
      </c>
      <c r="E18" s="114"/>
      <c r="F18" s="114"/>
      <c r="G18" s="114"/>
      <c r="H18" s="114"/>
      <c r="I18" s="114"/>
      <c r="J18" s="114">
        <v>-84441812</v>
      </c>
    </row>
    <row r="19" spans="1:12" s="179" customFormat="1" ht="12.2" customHeight="1" thickBot="1" x14ac:dyDescent="0.25">
      <c r="A19" s="13" t="s">
        <v>89</v>
      </c>
      <c r="B19" s="107" t="s">
        <v>386</v>
      </c>
      <c r="C19" s="647">
        <f t="shared" si="0"/>
        <v>0</v>
      </c>
      <c r="D19" s="99"/>
      <c r="E19" s="111"/>
      <c r="F19" s="114"/>
      <c r="G19" s="114"/>
      <c r="H19" s="114"/>
      <c r="I19" s="111"/>
      <c r="J19" s="111">
        <v>0</v>
      </c>
    </row>
    <row r="20" spans="1:12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141590350</v>
      </c>
      <c r="D20" s="255">
        <f t="shared" ref="D20:J20" si="7">+D21+D22+D23+D24+D25</f>
        <v>104774899</v>
      </c>
      <c r="E20" s="110">
        <f t="shared" si="7"/>
        <v>0</v>
      </c>
      <c r="F20" s="110">
        <f t="shared" si="7"/>
        <v>0</v>
      </c>
      <c r="G20" s="110">
        <f t="shared" si="7"/>
        <v>2969600</v>
      </c>
      <c r="H20" s="110">
        <f t="shared" si="7"/>
        <v>0</v>
      </c>
      <c r="I20" s="110">
        <f t="shared" ref="I20" si="8">+I21+I22+I23+I24+I25</f>
        <v>0</v>
      </c>
      <c r="J20" s="110">
        <v>33845851</v>
      </c>
    </row>
    <row r="21" spans="1:12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214"/>
      <c r="G21" s="214"/>
      <c r="H21" s="214"/>
      <c r="I21" s="112"/>
      <c r="J21" s="112">
        <v>0</v>
      </c>
    </row>
    <row r="22" spans="1:12" s="179" customFormat="1" ht="12.2" customHeight="1" x14ac:dyDescent="0.2">
      <c r="A22" s="11" t="s">
        <v>92</v>
      </c>
      <c r="B22" s="181" t="s">
        <v>186</v>
      </c>
      <c r="C22" s="274">
        <f t="shared" si="0"/>
        <v>0</v>
      </c>
      <c r="D22" s="99"/>
      <c r="E22" s="111"/>
      <c r="F22" s="114"/>
      <c r="G22" s="114"/>
      <c r="H22" s="114"/>
      <c r="I22" s="111"/>
      <c r="J22" s="111">
        <v>0</v>
      </c>
    </row>
    <row r="23" spans="1:12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4"/>
      <c r="G23" s="114"/>
      <c r="H23" s="114"/>
      <c r="I23" s="111"/>
      <c r="J23" s="111">
        <v>0</v>
      </c>
    </row>
    <row r="24" spans="1:12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4"/>
      <c r="G24" s="114"/>
      <c r="H24" s="114"/>
      <c r="I24" s="111"/>
      <c r="J24" s="111">
        <v>0</v>
      </c>
    </row>
    <row r="25" spans="1:12" s="179" customFormat="1" ht="12.2" customHeight="1" x14ac:dyDescent="0.2">
      <c r="A25" s="11" t="s">
        <v>95</v>
      </c>
      <c r="B25" s="181" t="s">
        <v>187</v>
      </c>
      <c r="C25" s="274">
        <f t="shared" si="0"/>
        <v>141590350</v>
      </c>
      <c r="D25" s="246">
        <v>104774899</v>
      </c>
      <c r="E25" s="114"/>
      <c r="F25" s="114"/>
      <c r="G25" s="114">
        <v>2969600</v>
      </c>
      <c r="H25" s="114"/>
      <c r="I25" s="114"/>
      <c r="J25" s="114">
        <v>33845851</v>
      </c>
    </row>
    <row r="26" spans="1:12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86900750</v>
      </c>
      <c r="D26" s="249">
        <v>53054899</v>
      </c>
      <c r="E26" s="170"/>
      <c r="F26" s="170"/>
      <c r="G26" s="170"/>
      <c r="H26" s="170"/>
      <c r="I26" s="170"/>
      <c r="J26" s="170">
        <v>33845851</v>
      </c>
    </row>
    <row r="27" spans="1:12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543031505</v>
      </c>
      <c r="D27" s="255">
        <f t="shared" ref="D27:J27" si="9">+D28+D29+D30+D31+D32</f>
        <v>272339867</v>
      </c>
      <c r="E27" s="110">
        <f t="shared" si="9"/>
        <v>0</v>
      </c>
      <c r="F27" s="110">
        <f t="shared" si="9"/>
        <v>0</v>
      </c>
      <c r="G27" s="110">
        <f t="shared" si="9"/>
        <v>0</v>
      </c>
      <c r="H27" s="110">
        <f t="shared" si="9"/>
        <v>0</v>
      </c>
      <c r="I27" s="110">
        <f t="shared" ref="I27" si="10">+I28+I29+I30+I31+I32</f>
        <v>0</v>
      </c>
      <c r="J27" s="110">
        <v>270691638</v>
      </c>
    </row>
    <row r="28" spans="1:12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214"/>
      <c r="G28" s="214"/>
      <c r="H28" s="214"/>
      <c r="I28" s="470"/>
      <c r="J28" s="470">
        <v>0</v>
      </c>
    </row>
    <row r="29" spans="1:12" s="179" customFormat="1" ht="12.2" customHeight="1" x14ac:dyDescent="0.2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</row>
    <row r="30" spans="1:12" s="179" customFormat="1" ht="12.2" customHeight="1" x14ac:dyDescent="0.2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  <c r="L30" s="714"/>
    </row>
    <row r="31" spans="1:12" s="179" customFormat="1" ht="12.2" customHeight="1" x14ac:dyDescent="0.2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</row>
    <row r="32" spans="1:12" s="179" customFormat="1" ht="12.2" customHeight="1" x14ac:dyDescent="0.2">
      <c r="A32" s="11" t="s">
        <v>122</v>
      </c>
      <c r="B32" s="181" t="s">
        <v>192</v>
      </c>
      <c r="C32" s="274">
        <f t="shared" si="0"/>
        <v>543031505</v>
      </c>
      <c r="D32" s="246">
        <v>272339867</v>
      </c>
      <c r="E32" s="114"/>
      <c r="F32" s="114"/>
      <c r="G32" s="114"/>
      <c r="H32" s="114"/>
      <c r="I32" s="114"/>
      <c r="J32" s="114">
        <v>270691638</v>
      </c>
    </row>
    <row r="33" spans="1:10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543031505</v>
      </c>
      <c r="D33" s="249">
        <v>272339867</v>
      </c>
      <c r="E33" s="170"/>
      <c r="F33" s="170"/>
      <c r="G33" s="170"/>
      <c r="H33" s="170"/>
      <c r="I33" s="170"/>
      <c r="J33" s="170">
        <v>270691638</v>
      </c>
    </row>
    <row r="34" spans="1:10" s="179" customFormat="1" ht="12.2" customHeight="1" thickBot="1" x14ac:dyDescent="0.25">
      <c r="A34" s="17" t="s">
        <v>124</v>
      </c>
      <c r="B34" s="18" t="s">
        <v>194</v>
      </c>
      <c r="C34" s="110">
        <f t="shared" si="0"/>
        <v>639195000</v>
      </c>
      <c r="D34" s="257">
        <f t="shared" ref="D34:J34" si="11">+D35++D39+D40</f>
        <v>639195000</v>
      </c>
      <c r="E34" s="257">
        <f t="shared" si="11"/>
        <v>0</v>
      </c>
      <c r="F34" s="257">
        <f t="shared" si="11"/>
        <v>0</v>
      </c>
      <c r="G34" s="257">
        <f t="shared" si="11"/>
        <v>0</v>
      </c>
      <c r="H34" s="257">
        <f t="shared" si="11"/>
        <v>0</v>
      </c>
      <c r="I34" s="257">
        <f t="shared" ref="I34" si="12">+I35++I39+I40</f>
        <v>0</v>
      </c>
      <c r="J34" s="257">
        <v>0</v>
      </c>
    </row>
    <row r="35" spans="1:10" s="179" customFormat="1" ht="12.2" customHeight="1" x14ac:dyDescent="0.2">
      <c r="A35" s="12" t="s">
        <v>195</v>
      </c>
      <c r="B35" s="180" t="s">
        <v>554</v>
      </c>
      <c r="C35" s="176">
        <f t="shared" si="0"/>
        <v>615395000</v>
      </c>
      <c r="D35" s="269">
        <f>SUM(D36:D37)</f>
        <v>615395000</v>
      </c>
      <c r="E35" s="269">
        <f t="shared" ref="E35:J35" si="13">SUM(E36:E37)</f>
        <v>0</v>
      </c>
      <c r="F35" s="1127">
        <f t="shared" ref="F35:G35" si="14">SUM(F36:F37)</f>
        <v>0</v>
      </c>
      <c r="G35" s="1127">
        <f t="shared" si="14"/>
        <v>0</v>
      </c>
      <c r="H35" s="1127">
        <f t="shared" ref="H35:I35" si="15">SUM(H36:H37)</f>
        <v>0</v>
      </c>
      <c r="I35" s="269">
        <f t="shared" si="15"/>
        <v>0</v>
      </c>
      <c r="J35" s="269">
        <v>0</v>
      </c>
    </row>
    <row r="36" spans="1:10" s="179" customFormat="1" ht="12.2" customHeight="1" x14ac:dyDescent="0.2">
      <c r="A36" s="11" t="s">
        <v>196</v>
      </c>
      <c r="B36" s="181" t="s">
        <v>201</v>
      </c>
      <c r="C36" s="274">
        <f t="shared" si="0"/>
        <v>109395000</v>
      </c>
      <c r="D36" s="99">
        <f>85000000+24395000</f>
        <v>109395000</v>
      </c>
      <c r="E36" s="111"/>
      <c r="F36" s="114"/>
      <c r="G36" s="114"/>
      <c r="H36" s="114"/>
      <c r="I36" s="111"/>
      <c r="J36" s="111">
        <v>0</v>
      </c>
    </row>
    <row r="37" spans="1:10" s="179" customFormat="1" ht="12.2" customHeight="1" x14ac:dyDescent="0.2">
      <c r="A37" s="11" t="s">
        <v>197</v>
      </c>
      <c r="B37" s="232" t="s">
        <v>553</v>
      </c>
      <c r="C37" s="274">
        <f t="shared" si="0"/>
        <v>506000000</v>
      </c>
      <c r="D37" s="99">
        <v>506000000</v>
      </c>
      <c r="E37" s="111"/>
      <c r="F37" s="114"/>
      <c r="G37" s="114"/>
      <c r="H37" s="114"/>
      <c r="I37" s="111"/>
      <c r="J37" s="111">
        <v>0</v>
      </c>
    </row>
    <row r="38" spans="1:10" s="179" customFormat="1" ht="12.2" customHeight="1" x14ac:dyDescent="0.2">
      <c r="A38" s="11" t="s">
        <v>198</v>
      </c>
      <c r="B38" s="181" t="s">
        <v>469</v>
      </c>
      <c r="C38" s="274">
        <f t="shared" si="0"/>
        <v>0</v>
      </c>
      <c r="D38" s="246"/>
      <c r="E38" s="114"/>
      <c r="F38" s="114"/>
      <c r="G38" s="114"/>
      <c r="H38" s="114"/>
      <c r="I38" s="114"/>
      <c r="J38" s="114">
        <v>0</v>
      </c>
    </row>
    <row r="39" spans="1:10" s="179" customFormat="1" ht="12.2" customHeight="1" x14ac:dyDescent="0.2">
      <c r="A39" s="11" t="s">
        <v>200</v>
      </c>
      <c r="B39" s="181" t="s">
        <v>203</v>
      </c>
      <c r="C39" s="274">
        <f t="shared" si="0"/>
        <v>1000000</v>
      </c>
      <c r="D39" s="99">
        <v>1000000</v>
      </c>
      <c r="E39" s="111"/>
      <c r="F39" s="114"/>
      <c r="G39" s="114"/>
      <c r="H39" s="114"/>
      <c r="I39" s="111"/>
      <c r="J39" s="111">
        <v>0</v>
      </c>
    </row>
    <row r="40" spans="1:10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22800000</v>
      </c>
      <c r="D40" s="249">
        <v>22800000</v>
      </c>
      <c r="E40" s="170"/>
      <c r="F40" s="170"/>
      <c r="G40" s="170"/>
      <c r="H40" s="170"/>
      <c r="I40" s="170"/>
      <c r="J40" s="170">
        <v>0</v>
      </c>
    </row>
    <row r="41" spans="1:10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244567297</v>
      </c>
      <c r="D41" s="255">
        <f t="shared" ref="D41:J41" si="16">SUM(D42:D52)</f>
        <v>63819946</v>
      </c>
      <c r="E41" s="110">
        <f t="shared" si="16"/>
        <v>67458655</v>
      </c>
      <c r="F41" s="110">
        <f t="shared" ref="F41:G41" si="17">SUM(F42:F52)</f>
        <v>25413947</v>
      </c>
      <c r="G41" s="110">
        <f t="shared" si="17"/>
        <v>10104800</v>
      </c>
      <c r="H41" s="110">
        <f t="shared" ref="H41" si="18">SUM(H42:H52)</f>
        <v>2787600</v>
      </c>
      <c r="I41" s="110">
        <f t="shared" ref="I41" si="19">SUM(I42:I52)</f>
        <v>15225164</v>
      </c>
      <c r="J41" s="110">
        <v>59757185</v>
      </c>
    </row>
    <row r="42" spans="1:10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</row>
    <row r="43" spans="1:10" s="179" customFormat="1" ht="12.2" customHeight="1" x14ac:dyDescent="0.2">
      <c r="A43" s="11" t="s">
        <v>79</v>
      </c>
      <c r="B43" s="181" t="s">
        <v>208</v>
      </c>
      <c r="C43" s="274">
        <f t="shared" si="0"/>
        <v>50732050</v>
      </c>
      <c r="D43" s="246">
        <v>18878000</v>
      </c>
      <c r="E43" s="114">
        <v>11050000</v>
      </c>
      <c r="F43" s="214">
        <v>600000</v>
      </c>
      <c r="G43" s="214">
        <v>8341732</v>
      </c>
      <c r="H43" s="214"/>
      <c r="I43" s="214">
        <v>11862318</v>
      </c>
      <c r="J43" s="214">
        <v>0</v>
      </c>
    </row>
    <row r="44" spans="1:10" s="179" customFormat="1" ht="12.2" customHeight="1" x14ac:dyDescent="0.2">
      <c r="A44" s="11" t="s">
        <v>80</v>
      </c>
      <c r="B44" s="181" t="s">
        <v>209</v>
      </c>
      <c r="C44" s="274">
        <f t="shared" si="0"/>
        <v>50926394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126000</v>
      </c>
      <c r="J44" s="214">
        <v>1300300</v>
      </c>
    </row>
    <row r="45" spans="1:10" s="179" customFormat="1" ht="12.2" customHeight="1" x14ac:dyDescent="0.2">
      <c r="A45" s="11" t="s">
        <v>126</v>
      </c>
      <c r="B45" s="181" t="s">
        <v>210</v>
      </c>
      <c r="C45" s="274">
        <f t="shared" si="0"/>
        <v>3700000</v>
      </c>
      <c r="D45" s="246">
        <v>3700000</v>
      </c>
      <c r="E45" s="114"/>
      <c r="F45" s="214"/>
      <c r="G45" s="214"/>
      <c r="H45" s="214"/>
      <c r="I45" s="214"/>
      <c r="J45" s="214">
        <v>0</v>
      </c>
    </row>
    <row r="46" spans="1:10" s="179" customFormat="1" ht="12.2" customHeight="1" x14ac:dyDescent="0.2">
      <c r="A46" s="11" t="s">
        <v>127</v>
      </c>
      <c r="B46" s="181" t="s">
        <v>211</v>
      </c>
      <c r="C46" s="274">
        <f t="shared" si="0"/>
        <v>34803455</v>
      </c>
      <c r="D46" s="246"/>
      <c r="E46" s="114">
        <v>25007525</v>
      </c>
      <c r="F46" s="214">
        <v>567600</v>
      </c>
      <c r="G46" s="214"/>
      <c r="H46" s="214">
        <v>2787600</v>
      </c>
      <c r="I46" s="214"/>
      <c r="J46" s="214">
        <v>6440730</v>
      </c>
    </row>
    <row r="47" spans="1:10" s="179" customFormat="1" ht="12.2" customHeight="1" x14ac:dyDescent="0.2">
      <c r="A47" s="11" t="s">
        <v>128</v>
      </c>
      <c r="B47" s="181" t="s">
        <v>212</v>
      </c>
      <c r="C47" s="274">
        <f t="shared" si="0"/>
        <v>43843438</v>
      </c>
      <c r="D47" s="246">
        <v>21308473</v>
      </c>
      <c r="E47" s="114">
        <v>10084134</v>
      </c>
      <c r="F47" s="214">
        <v>5400839</v>
      </c>
      <c r="G47" s="214">
        <v>1723068</v>
      </c>
      <c r="H47" s="214"/>
      <c r="I47" s="214">
        <v>3236846</v>
      </c>
      <c r="J47" s="214">
        <v>2090078</v>
      </c>
    </row>
    <row r="48" spans="1:10" s="179" customFormat="1" ht="12.2" customHeight="1" x14ac:dyDescent="0.2">
      <c r="A48" s="11" t="s">
        <v>129</v>
      </c>
      <c r="B48" s="181" t="s">
        <v>213</v>
      </c>
      <c r="C48" s="277">
        <f t="shared" si="0"/>
        <v>31628111</v>
      </c>
      <c r="D48" s="246"/>
      <c r="E48" s="114">
        <v>10125883</v>
      </c>
      <c r="F48" s="214"/>
      <c r="G48" s="214"/>
      <c r="H48" s="214"/>
      <c r="I48" s="214"/>
      <c r="J48" s="214">
        <v>21502228</v>
      </c>
    </row>
    <row r="49" spans="1:10" s="179" customFormat="1" ht="12.2" customHeight="1" x14ac:dyDescent="0.2">
      <c r="A49" s="11" t="s">
        <v>130</v>
      </c>
      <c r="B49" s="181" t="s">
        <v>475</v>
      </c>
      <c r="C49" s="277">
        <f t="shared" si="0"/>
        <v>0</v>
      </c>
      <c r="D49" s="246"/>
      <c r="E49" s="114"/>
      <c r="F49" s="214"/>
      <c r="G49" s="214"/>
      <c r="H49" s="214"/>
      <c r="I49" s="214"/>
      <c r="J49" s="214">
        <v>0</v>
      </c>
    </row>
    <row r="50" spans="1:10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  <c r="J50" s="214">
        <v>0</v>
      </c>
    </row>
    <row r="51" spans="1:10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  <c r="J51" s="214">
        <v>0</v>
      </c>
    </row>
    <row r="52" spans="1:10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28933849</v>
      </c>
      <c r="D52" s="249">
        <v>500000</v>
      </c>
      <c r="E52" s="170"/>
      <c r="F52" s="214">
        <v>10000</v>
      </c>
      <c r="G52" s="214"/>
      <c r="H52" s="214"/>
      <c r="I52" s="214"/>
      <c r="J52" s="214">
        <v>28423849</v>
      </c>
    </row>
    <row r="53" spans="1:10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60500000</v>
      </c>
      <c r="D53" s="255">
        <f t="shared" ref="D53:J53" si="20">SUM(D54:D58)</f>
        <v>60500000</v>
      </c>
      <c r="E53" s="110">
        <f t="shared" si="20"/>
        <v>0</v>
      </c>
      <c r="F53" s="110">
        <f t="shared" ref="F53:G53" si="21">SUM(F54:F58)</f>
        <v>0</v>
      </c>
      <c r="G53" s="110">
        <f t="shared" si="21"/>
        <v>0</v>
      </c>
      <c r="H53" s="110">
        <f t="shared" ref="H53:I53" si="22">SUM(H54:H58)</f>
        <v>0</v>
      </c>
      <c r="I53" s="110">
        <f t="shared" si="22"/>
        <v>0</v>
      </c>
      <c r="J53" s="110">
        <v>0</v>
      </c>
    </row>
    <row r="54" spans="1:10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  <c r="J54" s="214">
        <v>0</v>
      </c>
    </row>
    <row r="55" spans="1:10" s="179" customFormat="1" ht="12.2" customHeight="1" x14ac:dyDescent="0.2">
      <c r="A55" s="11" t="s">
        <v>82</v>
      </c>
      <c r="B55" s="181" t="s">
        <v>222</v>
      </c>
      <c r="C55" s="277">
        <f>SUM(D55:J55)</f>
        <v>60500000</v>
      </c>
      <c r="D55" s="246">
        <v>60500000</v>
      </c>
      <c r="E55" s="114"/>
      <c r="F55" s="114"/>
      <c r="G55" s="114"/>
      <c r="H55" s="114"/>
      <c r="I55" s="114"/>
      <c r="J55" s="114">
        <v>0</v>
      </c>
    </row>
    <row r="56" spans="1:10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  <c r="J56" s="114">
        <v>0</v>
      </c>
    </row>
    <row r="57" spans="1:10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  <c r="J57" s="114">
        <v>0</v>
      </c>
    </row>
    <row r="58" spans="1:10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  <c r="J58" s="170">
        <v>0</v>
      </c>
    </row>
    <row r="59" spans="1:10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1000000</v>
      </c>
      <c r="D59" s="255">
        <f t="shared" ref="D59:J59" si="23">SUM(D60:D62)</f>
        <v>1000000</v>
      </c>
      <c r="E59" s="110">
        <f t="shared" si="23"/>
        <v>0</v>
      </c>
      <c r="F59" s="110">
        <f t="shared" ref="F59:G59" si="24">SUM(F60:F62)</f>
        <v>0</v>
      </c>
      <c r="G59" s="110">
        <f t="shared" si="24"/>
        <v>0</v>
      </c>
      <c r="H59" s="110">
        <f t="shared" ref="H59:I59" si="25">SUM(H60:H62)</f>
        <v>0</v>
      </c>
      <c r="I59" s="110">
        <f t="shared" si="25"/>
        <v>0</v>
      </c>
      <c r="J59" s="110">
        <v>0</v>
      </c>
    </row>
    <row r="60" spans="1:10" s="179" customFormat="1" ht="12.2" customHeight="1" x14ac:dyDescent="0.2">
      <c r="A60" s="12" t="s">
        <v>83</v>
      </c>
      <c r="B60" s="180" t="s">
        <v>227</v>
      </c>
      <c r="C60" s="273">
        <f t="shared" si="0"/>
        <v>1000000</v>
      </c>
      <c r="D60" s="256">
        <v>1000000</v>
      </c>
      <c r="E60" s="112"/>
      <c r="F60" s="214"/>
      <c r="G60" s="214"/>
      <c r="H60" s="214"/>
      <c r="I60" s="112"/>
      <c r="J60" s="112">
        <v>0</v>
      </c>
    </row>
    <row r="61" spans="1:10" s="179" customFormat="1" ht="12.2" customHeight="1" x14ac:dyDescent="0.2">
      <c r="A61" s="11" t="s">
        <v>84</v>
      </c>
      <c r="B61" s="181" t="s">
        <v>356</v>
      </c>
      <c r="C61" s="274">
        <f t="shared" si="0"/>
        <v>0</v>
      </c>
      <c r="D61" s="246"/>
      <c r="E61" s="114"/>
      <c r="F61" s="114"/>
      <c r="G61" s="114"/>
      <c r="H61" s="114"/>
      <c r="I61" s="114"/>
      <c r="J61" s="114">
        <v>0</v>
      </c>
    </row>
    <row r="62" spans="1:10" s="179" customFormat="1" ht="12.2" customHeight="1" x14ac:dyDescent="0.2">
      <c r="A62" s="11" t="s">
        <v>230</v>
      </c>
      <c r="B62" s="181" t="s">
        <v>228</v>
      </c>
      <c r="C62" s="644">
        <f t="shared" si="0"/>
        <v>0</v>
      </c>
      <c r="D62" s="246"/>
      <c r="E62" s="114"/>
      <c r="F62" s="114"/>
      <c r="G62" s="114"/>
      <c r="H62" s="114"/>
      <c r="I62" s="114"/>
      <c r="J62" s="114">
        <v>0</v>
      </c>
    </row>
    <row r="63" spans="1:10" s="179" customFormat="1" ht="12.2" customHeight="1" thickBot="1" x14ac:dyDescent="0.25">
      <c r="A63" s="13" t="s">
        <v>231</v>
      </c>
      <c r="B63" s="107" t="s">
        <v>229</v>
      </c>
      <c r="C63" s="647">
        <f t="shared" si="0"/>
        <v>0</v>
      </c>
      <c r="D63" s="100"/>
      <c r="E63" s="113"/>
      <c r="F63" s="170"/>
      <c r="G63" s="170"/>
      <c r="H63" s="170"/>
      <c r="I63" s="113"/>
      <c r="J63" s="113">
        <v>0</v>
      </c>
    </row>
    <row r="64" spans="1:10" s="179" customFormat="1" ht="12.2" customHeight="1" thickBot="1" x14ac:dyDescent="0.25">
      <c r="A64" s="17" t="s">
        <v>23</v>
      </c>
      <c r="B64" s="105" t="s">
        <v>232</v>
      </c>
      <c r="C64" s="279">
        <f t="shared" si="0"/>
        <v>0</v>
      </c>
      <c r="D64" s="255">
        <f t="shared" ref="D64:J64" si="26">SUM(D65:D67)</f>
        <v>0</v>
      </c>
      <c r="E64" s="110">
        <f t="shared" si="26"/>
        <v>0</v>
      </c>
      <c r="F64" s="110">
        <f t="shared" ref="F64:G64" si="27">SUM(F65:F67)</f>
        <v>0</v>
      </c>
      <c r="G64" s="110">
        <f t="shared" si="27"/>
        <v>0</v>
      </c>
      <c r="H64" s="110">
        <f t="shared" ref="H64:I64" si="28">SUM(H65:H67)</f>
        <v>0</v>
      </c>
      <c r="I64" s="110">
        <f t="shared" si="28"/>
        <v>0</v>
      </c>
      <c r="J64" s="110">
        <v>0</v>
      </c>
    </row>
    <row r="65" spans="1:10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  <c r="J65" s="114">
        <v>0</v>
      </c>
    </row>
    <row r="66" spans="1:10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  <c r="J66" s="114">
        <v>0</v>
      </c>
    </row>
    <row r="67" spans="1:10" s="179" customFormat="1" ht="12.2" customHeight="1" x14ac:dyDescent="0.2">
      <c r="A67" s="11" t="s">
        <v>158</v>
      </c>
      <c r="B67" s="181" t="s">
        <v>235</v>
      </c>
      <c r="C67" s="274">
        <f t="shared" si="0"/>
        <v>0</v>
      </c>
      <c r="D67" s="246"/>
      <c r="E67" s="114"/>
      <c r="F67" s="114"/>
      <c r="G67" s="114"/>
      <c r="H67" s="114"/>
      <c r="I67" s="114"/>
      <c r="J67" s="114">
        <v>0</v>
      </c>
    </row>
    <row r="68" spans="1:10" s="179" customFormat="1" ht="12.2" customHeight="1" thickBot="1" x14ac:dyDescent="0.25">
      <c r="A68" s="13" t="s">
        <v>233</v>
      </c>
      <c r="B68" s="107" t="s">
        <v>236</v>
      </c>
      <c r="C68" s="278">
        <f t="shared" si="0"/>
        <v>0</v>
      </c>
      <c r="D68" s="246"/>
      <c r="E68" s="114"/>
      <c r="F68" s="114"/>
      <c r="G68" s="114"/>
      <c r="H68" s="114"/>
      <c r="I68" s="114"/>
      <c r="J68" s="114">
        <v>0</v>
      </c>
    </row>
    <row r="69" spans="1:10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3410867270</v>
      </c>
      <c r="D69" s="257">
        <f t="shared" ref="D69:J69" si="29">+D11+D20+D27+D34+D41+D53+D59+D64</f>
        <v>2919092502</v>
      </c>
      <c r="E69" s="115">
        <f t="shared" si="29"/>
        <v>67458655</v>
      </c>
      <c r="F69" s="115">
        <f t="shared" si="29"/>
        <v>25413947</v>
      </c>
      <c r="G69" s="115">
        <f t="shared" si="29"/>
        <v>13074400</v>
      </c>
      <c r="H69" s="115">
        <f t="shared" si="29"/>
        <v>2787600</v>
      </c>
      <c r="I69" s="115">
        <f t="shared" ref="I69" si="30">+I11+I20+I27+I34+I41+I53+I59+I64</f>
        <v>15225164</v>
      </c>
      <c r="J69" s="115">
        <v>367815002</v>
      </c>
    </row>
    <row r="70" spans="1:10" s="179" customFormat="1" ht="12.2" customHeight="1" thickBot="1" x14ac:dyDescent="0.25">
      <c r="A70" s="234" t="s">
        <v>238</v>
      </c>
      <c r="B70" s="105" t="s">
        <v>239</v>
      </c>
      <c r="C70" s="279">
        <f t="shared" si="0"/>
        <v>1254058824</v>
      </c>
      <c r="D70" s="255">
        <f t="shared" ref="D70:J70" si="31">SUM(D71:D73)</f>
        <v>1254058824</v>
      </c>
      <c r="E70" s="110">
        <f t="shared" si="31"/>
        <v>0</v>
      </c>
      <c r="F70" s="110">
        <f t="shared" ref="F70:G70" si="32">SUM(F71:F73)</f>
        <v>0</v>
      </c>
      <c r="G70" s="110">
        <f t="shared" si="32"/>
        <v>0</v>
      </c>
      <c r="H70" s="110">
        <f t="shared" ref="H70" si="33">SUM(H71:H73)</f>
        <v>0</v>
      </c>
      <c r="I70" s="110">
        <f t="shared" ref="I70" si="34">SUM(I71:I73)</f>
        <v>0</v>
      </c>
      <c r="J70" s="110">
        <v>0</v>
      </c>
    </row>
    <row r="71" spans="1:10" s="179" customFormat="1" ht="12.2" customHeight="1" x14ac:dyDescent="0.2">
      <c r="A71" s="12" t="s">
        <v>270</v>
      </c>
      <c r="B71" s="180" t="s">
        <v>240</v>
      </c>
      <c r="C71" s="273">
        <f t="shared" si="0"/>
        <v>154058824</v>
      </c>
      <c r="D71" s="246">
        <v>154058824</v>
      </c>
      <c r="E71" s="114"/>
      <c r="F71" s="114"/>
      <c r="G71" s="114"/>
      <c r="H71" s="114"/>
      <c r="I71" s="114"/>
      <c r="J71" s="114">
        <v>0</v>
      </c>
    </row>
    <row r="72" spans="1:10" s="179" customFormat="1" ht="12.2" customHeight="1" x14ac:dyDescent="0.2">
      <c r="A72" s="11" t="s">
        <v>279</v>
      </c>
      <c r="B72" s="181" t="s">
        <v>241</v>
      </c>
      <c r="C72" s="274">
        <f t="shared" si="0"/>
        <v>1100000000</v>
      </c>
      <c r="D72" s="246">
        <v>1100000000</v>
      </c>
      <c r="E72" s="114"/>
      <c r="F72" s="114"/>
      <c r="G72" s="114"/>
      <c r="H72" s="114"/>
      <c r="I72" s="114"/>
      <c r="J72" s="114">
        <v>0</v>
      </c>
    </row>
    <row r="73" spans="1:10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  <c r="J73" s="114">
        <v>0</v>
      </c>
    </row>
    <row r="74" spans="1:10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J74" si="35">SUM(D75:D78)</f>
        <v>0</v>
      </c>
      <c r="E74" s="110">
        <f t="shared" si="35"/>
        <v>0</v>
      </c>
      <c r="F74" s="110">
        <f t="shared" ref="F74:G74" si="36">SUM(F75:F78)</f>
        <v>0</v>
      </c>
      <c r="G74" s="110">
        <f t="shared" si="36"/>
        <v>0</v>
      </c>
      <c r="H74" s="110">
        <f t="shared" ref="H74:I74" si="37">SUM(H75:H78)</f>
        <v>0</v>
      </c>
      <c r="I74" s="110">
        <f t="shared" si="37"/>
        <v>0</v>
      </c>
      <c r="J74" s="110">
        <v>0</v>
      </c>
    </row>
    <row r="75" spans="1:10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  <c r="J75" s="114">
        <v>0</v>
      </c>
    </row>
    <row r="76" spans="1:10" s="179" customFormat="1" ht="12.2" customHeight="1" x14ac:dyDescent="0.2">
      <c r="A76" s="11" t="s">
        <v>113</v>
      </c>
      <c r="B76" s="181" t="s">
        <v>725</v>
      </c>
      <c r="C76" s="277">
        <f t="shared" ref="C76:C94" si="38">SUM(D76:J76)</f>
        <v>0</v>
      </c>
      <c r="D76" s="246"/>
      <c r="E76" s="114"/>
      <c r="F76" s="114"/>
      <c r="G76" s="114"/>
      <c r="H76" s="114"/>
      <c r="I76" s="114"/>
      <c r="J76" s="114">
        <v>0</v>
      </c>
    </row>
    <row r="77" spans="1:10" s="179" customFormat="1" ht="12.2" customHeight="1" x14ac:dyDescent="0.2">
      <c r="A77" s="11" t="s">
        <v>271</v>
      </c>
      <c r="B77" s="181" t="s">
        <v>247</v>
      </c>
      <c r="C77" s="277">
        <f t="shared" si="38"/>
        <v>0</v>
      </c>
      <c r="D77" s="246"/>
      <c r="E77" s="114"/>
      <c r="F77" s="114"/>
      <c r="G77" s="114"/>
      <c r="H77" s="114"/>
      <c r="I77" s="114"/>
      <c r="J77" s="114">
        <v>0</v>
      </c>
    </row>
    <row r="78" spans="1:10" s="179" customFormat="1" ht="12.2" customHeight="1" thickBot="1" x14ac:dyDescent="0.25">
      <c r="A78" s="13" t="s">
        <v>272</v>
      </c>
      <c r="B78" s="107" t="s">
        <v>726</v>
      </c>
      <c r="C78" s="278">
        <f t="shared" si="38"/>
        <v>0</v>
      </c>
      <c r="D78" s="246"/>
      <c r="E78" s="114"/>
      <c r="F78" s="114"/>
      <c r="G78" s="114"/>
      <c r="H78" s="114"/>
      <c r="I78" s="114"/>
      <c r="J78" s="114">
        <v>0</v>
      </c>
    </row>
    <row r="79" spans="1:10" s="179" customFormat="1" ht="12.2" customHeight="1" thickBot="1" x14ac:dyDescent="0.25">
      <c r="A79" s="234" t="s">
        <v>249</v>
      </c>
      <c r="B79" s="105" t="s">
        <v>250</v>
      </c>
      <c r="C79" s="110">
        <f t="shared" si="38"/>
        <v>2182563068</v>
      </c>
      <c r="D79" s="255">
        <f t="shared" ref="D79:J79" si="39">SUM(D80:D81)</f>
        <v>2178537308</v>
      </c>
      <c r="E79" s="110">
        <f t="shared" si="39"/>
        <v>2214359</v>
      </c>
      <c r="F79" s="110">
        <f t="shared" ref="F79:G79" si="40">SUM(F80:F81)</f>
        <v>248609</v>
      </c>
      <c r="G79" s="110">
        <f t="shared" si="40"/>
        <v>1338180</v>
      </c>
      <c r="H79" s="110">
        <f t="shared" ref="H79:I79" si="41">SUM(H80:H81)</f>
        <v>211401</v>
      </c>
      <c r="I79" s="110">
        <f t="shared" si="41"/>
        <v>0</v>
      </c>
      <c r="J79" s="110">
        <v>13211</v>
      </c>
    </row>
    <row r="80" spans="1:10" s="179" customFormat="1" ht="12.2" customHeight="1" x14ac:dyDescent="0.2">
      <c r="A80" s="12" t="s">
        <v>273</v>
      </c>
      <c r="B80" s="180" t="s">
        <v>251</v>
      </c>
      <c r="C80" s="273">
        <f t="shared" si="38"/>
        <v>2182563068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/>
      <c r="J80" s="114">
        <v>13211</v>
      </c>
    </row>
    <row r="81" spans="1:10" s="179" customFormat="1" ht="12.2" customHeight="1" thickBot="1" x14ac:dyDescent="0.25">
      <c r="A81" s="13" t="s">
        <v>274</v>
      </c>
      <c r="B81" s="107" t="s">
        <v>252</v>
      </c>
      <c r="C81" s="278">
        <f t="shared" si="38"/>
        <v>0</v>
      </c>
      <c r="D81" s="246"/>
      <c r="E81" s="114"/>
      <c r="F81" s="114"/>
      <c r="G81" s="114"/>
      <c r="H81" s="114"/>
      <c r="I81" s="114"/>
      <c r="J81" s="114">
        <v>0</v>
      </c>
    </row>
    <row r="82" spans="1:10" s="179" customFormat="1" ht="12.2" customHeight="1" thickBot="1" x14ac:dyDescent="0.25">
      <c r="A82" s="234" t="s">
        <v>253</v>
      </c>
      <c r="B82" s="105" t="s">
        <v>254</v>
      </c>
      <c r="C82" s="279">
        <f t="shared" si="38"/>
        <v>61842606</v>
      </c>
      <c r="D82" s="255">
        <f t="shared" ref="D82:J82" si="42">SUM(D83:D85)</f>
        <v>61842606</v>
      </c>
      <c r="E82" s="110">
        <f t="shared" si="42"/>
        <v>0</v>
      </c>
      <c r="F82" s="110">
        <f t="shared" ref="F82:G82" si="43">SUM(F83:F85)</f>
        <v>0</v>
      </c>
      <c r="G82" s="110">
        <f t="shared" si="43"/>
        <v>0</v>
      </c>
      <c r="H82" s="110">
        <f t="shared" ref="H82:I82" si="44">SUM(H83:H85)</f>
        <v>0</v>
      </c>
      <c r="I82" s="110">
        <f t="shared" si="44"/>
        <v>0</v>
      </c>
      <c r="J82" s="110">
        <v>0</v>
      </c>
    </row>
    <row r="83" spans="1:10" s="179" customFormat="1" ht="12.2" customHeight="1" x14ac:dyDescent="0.2">
      <c r="A83" s="12" t="s">
        <v>275</v>
      </c>
      <c r="B83" s="180" t="s">
        <v>255</v>
      </c>
      <c r="C83" s="273">
        <f t="shared" si="38"/>
        <v>61842606</v>
      </c>
      <c r="D83" s="246">
        <v>61842606</v>
      </c>
      <c r="E83" s="114"/>
      <c r="F83" s="114"/>
      <c r="G83" s="114"/>
      <c r="H83" s="114"/>
      <c r="I83" s="114"/>
      <c r="J83" s="114">
        <v>0</v>
      </c>
    </row>
    <row r="84" spans="1:10" s="179" customFormat="1" ht="12.2" customHeight="1" x14ac:dyDescent="0.2">
      <c r="A84" s="11" t="s">
        <v>276</v>
      </c>
      <c r="B84" s="181" t="s">
        <v>256</v>
      </c>
      <c r="C84" s="277">
        <f t="shared" si="38"/>
        <v>0</v>
      </c>
      <c r="D84" s="246"/>
      <c r="E84" s="114"/>
      <c r="F84" s="114"/>
      <c r="G84" s="114"/>
      <c r="H84" s="114"/>
      <c r="I84" s="114"/>
      <c r="J84" s="114">
        <v>0</v>
      </c>
    </row>
    <row r="85" spans="1:10" s="179" customFormat="1" ht="12.2" customHeight="1" thickBot="1" x14ac:dyDescent="0.25">
      <c r="A85" s="13" t="s">
        <v>277</v>
      </c>
      <c r="B85" s="107" t="s">
        <v>727</v>
      </c>
      <c r="C85" s="647">
        <f t="shared" si="38"/>
        <v>0</v>
      </c>
      <c r="D85" s="246"/>
      <c r="E85" s="114"/>
      <c r="F85" s="114"/>
      <c r="G85" s="114"/>
      <c r="H85" s="114"/>
      <c r="I85" s="114"/>
      <c r="J85" s="114">
        <v>0</v>
      </c>
    </row>
    <row r="86" spans="1:10" s="179" customFormat="1" ht="12.2" customHeight="1" thickBot="1" x14ac:dyDescent="0.25">
      <c r="A86" s="234" t="s">
        <v>258</v>
      </c>
      <c r="B86" s="105" t="s">
        <v>278</v>
      </c>
      <c r="C86" s="279">
        <f t="shared" si="38"/>
        <v>0</v>
      </c>
      <c r="D86" s="255">
        <f t="shared" ref="D86:J86" si="45">SUM(D87:D90)</f>
        <v>0</v>
      </c>
      <c r="E86" s="110">
        <f t="shared" si="45"/>
        <v>0</v>
      </c>
      <c r="F86" s="110">
        <f t="shared" ref="F86:G86" si="46">SUM(F87:F90)</f>
        <v>0</v>
      </c>
      <c r="G86" s="110">
        <f t="shared" si="46"/>
        <v>0</v>
      </c>
      <c r="H86" s="110">
        <f t="shared" ref="H86:I86" si="47">SUM(H87:H90)</f>
        <v>0</v>
      </c>
      <c r="I86" s="110">
        <f t="shared" si="47"/>
        <v>0</v>
      </c>
      <c r="J86" s="110">
        <v>0</v>
      </c>
    </row>
    <row r="87" spans="1:10" s="179" customFormat="1" ht="12.2" customHeight="1" x14ac:dyDescent="0.2">
      <c r="A87" s="184" t="s">
        <v>259</v>
      </c>
      <c r="B87" s="180" t="s">
        <v>260</v>
      </c>
      <c r="C87" s="176">
        <f t="shared" si="38"/>
        <v>0</v>
      </c>
      <c r="D87" s="246"/>
      <c r="E87" s="114"/>
      <c r="F87" s="114"/>
      <c r="G87" s="114"/>
      <c r="H87" s="114"/>
      <c r="I87" s="114"/>
      <c r="J87" s="114">
        <v>0</v>
      </c>
    </row>
    <row r="88" spans="1:10" s="179" customFormat="1" ht="12.2" customHeight="1" x14ac:dyDescent="0.2">
      <c r="A88" s="185" t="s">
        <v>261</v>
      </c>
      <c r="B88" s="181" t="s">
        <v>262</v>
      </c>
      <c r="C88" s="277">
        <f t="shared" si="38"/>
        <v>0</v>
      </c>
      <c r="D88" s="246"/>
      <c r="E88" s="114"/>
      <c r="F88" s="114"/>
      <c r="G88" s="114"/>
      <c r="H88" s="114"/>
      <c r="I88" s="114"/>
      <c r="J88" s="114">
        <v>0</v>
      </c>
    </row>
    <row r="89" spans="1:10" s="179" customFormat="1" ht="12.2" customHeight="1" x14ac:dyDescent="0.2">
      <c r="A89" s="185" t="s">
        <v>263</v>
      </c>
      <c r="B89" s="181" t="s">
        <v>264</v>
      </c>
      <c r="C89" s="277">
        <f t="shared" si="38"/>
        <v>0</v>
      </c>
      <c r="D89" s="246"/>
      <c r="E89" s="114"/>
      <c r="F89" s="114"/>
      <c r="G89" s="114"/>
      <c r="H89" s="114"/>
      <c r="I89" s="114"/>
      <c r="J89" s="114">
        <v>0</v>
      </c>
    </row>
    <row r="90" spans="1:10" s="179" customFormat="1" ht="12.2" customHeight="1" thickBot="1" x14ac:dyDescent="0.25">
      <c r="A90" s="186" t="s">
        <v>265</v>
      </c>
      <c r="B90" s="107" t="s">
        <v>266</v>
      </c>
      <c r="C90" s="278">
        <f t="shared" si="38"/>
        <v>0</v>
      </c>
      <c r="D90" s="246"/>
      <c r="E90" s="114"/>
      <c r="F90" s="114"/>
      <c r="G90" s="114"/>
      <c r="H90" s="114"/>
      <c r="I90" s="114"/>
      <c r="J90" s="114">
        <v>0</v>
      </c>
    </row>
    <row r="91" spans="1:10" s="179" customFormat="1" ht="12.2" customHeight="1" thickBot="1" x14ac:dyDescent="0.25">
      <c r="A91" s="234" t="s">
        <v>267</v>
      </c>
      <c r="B91" s="105" t="s">
        <v>392</v>
      </c>
      <c r="C91" s="306">
        <f t="shared" si="38"/>
        <v>0</v>
      </c>
      <c r="D91" s="258"/>
      <c r="E91" s="215"/>
      <c r="F91" s="215"/>
      <c r="G91" s="215"/>
      <c r="H91" s="215"/>
      <c r="I91" s="215"/>
      <c r="J91" s="215">
        <v>0</v>
      </c>
    </row>
    <row r="92" spans="1:10" s="179" customFormat="1" ht="13.7" customHeight="1" thickBot="1" x14ac:dyDescent="0.25">
      <c r="A92" s="234" t="s">
        <v>269</v>
      </c>
      <c r="B92" s="105" t="s">
        <v>268</v>
      </c>
      <c r="C92" s="279">
        <f t="shared" si="38"/>
        <v>0</v>
      </c>
      <c r="D92" s="258"/>
      <c r="E92" s="215"/>
      <c r="F92" s="215"/>
      <c r="G92" s="215"/>
      <c r="H92" s="215"/>
      <c r="I92" s="215"/>
      <c r="J92" s="215">
        <v>0</v>
      </c>
    </row>
    <row r="93" spans="1:10" s="179" customFormat="1" ht="15.75" customHeight="1" thickBot="1" x14ac:dyDescent="0.25">
      <c r="A93" s="234" t="s">
        <v>281</v>
      </c>
      <c r="B93" s="187" t="s">
        <v>393</v>
      </c>
      <c r="C93" s="110">
        <f t="shared" si="38"/>
        <v>3498464498</v>
      </c>
      <c r="D93" s="257">
        <f t="shared" ref="D93:J93" si="48">+D70+D74+D79+D82+D86+D92+D91</f>
        <v>3494438738</v>
      </c>
      <c r="E93" s="115">
        <f t="shared" si="48"/>
        <v>2214359</v>
      </c>
      <c r="F93" s="115">
        <f t="shared" si="48"/>
        <v>248609</v>
      </c>
      <c r="G93" s="115">
        <f t="shared" si="48"/>
        <v>1338180</v>
      </c>
      <c r="H93" s="115">
        <f t="shared" si="48"/>
        <v>211401</v>
      </c>
      <c r="I93" s="115">
        <f t="shared" ref="I93" si="49">+I70+I74+I79+I82+I86+I92+I91</f>
        <v>0</v>
      </c>
      <c r="J93" s="115">
        <v>13211</v>
      </c>
    </row>
    <row r="94" spans="1:10" s="179" customFormat="1" ht="16.5" customHeight="1" thickBot="1" x14ac:dyDescent="0.25">
      <c r="A94" s="236" t="s">
        <v>394</v>
      </c>
      <c r="B94" s="188" t="s">
        <v>395</v>
      </c>
      <c r="C94" s="240">
        <f t="shared" si="38"/>
        <v>6909331768</v>
      </c>
      <c r="D94" s="257">
        <f t="shared" ref="D94:J94" si="50">+D69+D93</f>
        <v>6413531240</v>
      </c>
      <c r="E94" s="115">
        <f t="shared" si="50"/>
        <v>69673014</v>
      </c>
      <c r="F94" s="115">
        <f t="shared" si="50"/>
        <v>25662556</v>
      </c>
      <c r="G94" s="115">
        <f t="shared" si="50"/>
        <v>14412580</v>
      </c>
      <c r="H94" s="115">
        <f t="shared" si="50"/>
        <v>2999001</v>
      </c>
      <c r="I94" s="115">
        <f t="shared" ref="I94" si="51">+I69+I93</f>
        <v>15225164</v>
      </c>
      <c r="J94" s="115">
        <v>367828213</v>
      </c>
    </row>
    <row r="95" spans="1:10" ht="16.5" customHeight="1" x14ac:dyDescent="0.25">
      <c r="A95" s="1229" t="s">
        <v>44</v>
      </c>
      <c r="B95" s="1229"/>
      <c r="C95" s="1229"/>
      <c r="D95" s="281"/>
    </row>
    <row r="96" spans="1:10" ht="16.5" customHeight="1" thickBot="1" x14ac:dyDescent="0.3">
      <c r="A96" s="1230" t="s">
        <v>115</v>
      </c>
      <c r="B96" s="1230"/>
      <c r="C96" s="56" t="s">
        <v>483</v>
      </c>
    </row>
    <row r="97" spans="1:10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67" t="str">
        <f t="shared" ref="D97:J97" si="52">D9</f>
        <v>Önk</v>
      </c>
      <c r="E97" s="167" t="str">
        <f t="shared" si="52"/>
        <v>PH</v>
      </c>
      <c r="F97" s="167" t="str">
        <f t="shared" si="52"/>
        <v>Óvoda</v>
      </c>
      <c r="G97" s="167" t="str">
        <f t="shared" si="52"/>
        <v>EKIK</v>
      </c>
      <c r="H97" s="167" t="str">
        <f t="shared" si="52"/>
        <v>Bölcsőde</v>
      </c>
      <c r="I97" s="167" t="str">
        <f t="shared" ref="I97" si="53">I9</f>
        <v>Kornisné</v>
      </c>
      <c r="J97" s="167" t="str">
        <f t="shared" si="52"/>
        <v>módosíítás 2023. április</v>
      </c>
    </row>
    <row r="98" spans="1:10" s="178" customFormat="1" ht="12.2" customHeight="1" thickBot="1" x14ac:dyDescent="0.25">
      <c r="A98" s="25" t="s">
        <v>382</v>
      </c>
      <c r="B98" s="26" t="s">
        <v>383</v>
      </c>
      <c r="C98" s="175" t="s">
        <v>384</v>
      </c>
    </row>
    <row r="99" spans="1:10" ht="12.2" customHeight="1" thickBot="1" x14ac:dyDescent="0.3">
      <c r="A99" s="19" t="s">
        <v>16</v>
      </c>
      <c r="B99" s="23" t="s">
        <v>433</v>
      </c>
      <c r="C99" s="110">
        <f t="shared" ref="C99:C159" si="54">SUM(D99:J99)</f>
        <v>2384862332</v>
      </c>
      <c r="D99" s="261">
        <f>+D100+D101+D102+D103+D104+D117</f>
        <v>893187916</v>
      </c>
      <c r="E99" s="109">
        <f>+E100+E101+E102+E103+E104+E117</f>
        <v>315703186</v>
      </c>
      <c r="F99" s="265">
        <f>F100+F101+F102+F103+F104+F117</f>
        <v>464222841</v>
      </c>
      <c r="G99" s="265">
        <f>G100+G101+G102+G103+G104+G117</f>
        <v>198215876</v>
      </c>
      <c r="H99" s="265">
        <f>H100+H101+H102+H103+H104+H117</f>
        <v>180206671</v>
      </c>
      <c r="I99" s="265">
        <f>I100+I101+I102+I103+I104+I117</f>
        <v>266462089</v>
      </c>
      <c r="J99" s="265">
        <v>66863753</v>
      </c>
    </row>
    <row r="100" spans="1:10" ht="12.2" customHeight="1" x14ac:dyDescent="0.25">
      <c r="A100" s="14" t="s">
        <v>85</v>
      </c>
      <c r="B100" s="7" t="s">
        <v>46</v>
      </c>
      <c r="C100" s="273">
        <f t="shared" si="54"/>
        <v>742225387</v>
      </c>
      <c r="D100" s="656">
        <v>53790626</v>
      </c>
      <c r="E100" s="251">
        <v>7060866</v>
      </c>
      <c r="F100" s="251">
        <v>283081485</v>
      </c>
      <c r="G100" s="251">
        <v>83150444</v>
      </c>
      <c r="H100" s="251">
        <v>126179706</v>
      </c>
      <c r="I100" s="251">
        <v>179144892</v>
      </c>
      <c r="J100" s="251">
        <v>9817368</v>
      </c>
    </row>
    <row r="101" spans="1:10" ht="12.2" customHeight="1" x14ac:dyDescent="0.25">
      <c r="A101" s="11" t="s">
        <v>86</v>
      </c>
      <c r="B101" s="5" t="s">
        <v>134</v>
      </c>
      <c r="C101" s="274">
        <f t="shared" si="54"/>
        <v>103228796</v>
      </c>
      <c r="D101" s="246">
        <v>8009605</v>
      </c>
      <c r="E101" s="114">
        <v>1545880</v>
      </c>
      <c r="F101" s="114">
        <v>39049417</v>
      </c>
      <c r="G101" s="114">
        <v>11455015</v>
      </c>
      <c r="H101" s="114">
        <v>16396076</v>
      </c>
      <c r="I101" s="114">
        <v>25526478</v>
      </c>
      <c r="J101" s="114">
        <v>1246325</v>
      </c>
    </row>
    <row r="102" spans="1:10" ht="12.2" customHeight="1" x14ac:dyDescent="0.25">
      <c r="A102" s="11" t="s">
        <v>87</v>
      </c>
      <c r="B102" s="5" t="s">
        <v>110</v>
      </c>
      <c r="C102" s="274">
        <f t="shared" si="54"/>
        <v>1205393416</v>
      </c>
      <c r="D102" s="249">
        <v>493331255</v>
      </c>
      <c r="E102" s="170">
        <v>305922390</v>
      </c>
      <c r="F102" s="114">
        <v>142091939</v>
      </c>
      <c r="G102" s="114">
        <v>102859417</v>
      </c>
      <c r="H102" s="114">
        <v>37630889</v>
      </c>
      <c r="I102" s="114">
        <v>61790719</v>
      </c>
      <c r="J102" s="114">
        <v>61766807</v>
      </c>
    </row>
    <row r="103" spans="1:10" ht="12.2" customHeight="1" x14ac:dyDescent="0.25">
      <c r="A103" s="11" t="s">
        <v>88</v>
      </c>
      <c r="B103" s="210" t="s">
        <v>135</v>
      </c>
      <c r="C103" s="274">
        <f t="shared" si="54"/>
        <v>45000000</v>
      </c>
      <c r="D103" s="249">
        <v>45000000</v>
      </c>
      <c r="E103" s="170"/>
      <c r="F103" s="170"/>
      <c r="G103" s="170"/>
      <c r="H103" s="170"/>
      <c r="I103" s="170"/>
      <c r="J103" s="170">
        <v>0</v>
      </c>
    </row>
    <row r="104" spans="1:10" ht="12.2" customHeight="1" x14ac:dyDescent="0.25">
      <c r="A104" s="11" t="s">
        <v>99</v>
      </c>
      <c r="B104" s="4" t="s">
        <v>136</v>
      </c>
      <c r="C104" s="274">
        <f t="shared" si="54"/>
        <v>174920111</v>
      </c>
      <c r="D104" s="249">
        <f>SUM(D105:D116)</f>
        <v>172963335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/>
      <c r="J104" s="249">
        <v>31726</v>
      </c>
    </row>
    <row r="105" spans="1:10" ht="12.2" customHeight="1" x14ac:dyDescent="0.25">
      <c r="A105" s="11" t="s">
        <v>89</v>
      </c>
      <c r="B105" s="5" t="s">
        <v>396</v>
      </c>
      <c r="C105" s="274">
        <f t="shared" si="54"/>
        <v>0</v>
      </c>
      <c r="D105" s="249"/>
      <c r="E105" s="170"/>
      <c r="F105" s="170"/>
      <c r="G105" s="170"/>
      <c r="H105" s="170"/>
      <c r="I105" s="170"/>
      <c r="J105" s="170">
        <v>0</v>
      </c>
    </row>
    <row r="106" spans="1:10" ht="12.2" customHeight="1" x14ac:dyDescent="0.25">
      <c r="A106" s="11" t="s">
        <v>90</v>
      </c>
      <c r="B106" s="60" t="s">
        <v>397</v>
      </c>
      <c r="C106" s="274">
        <f t="shared" si="54"/>
        <v>19789124</v>
      </c>
      <c r="D106" s="249">
        <v>19789124</v>
      </c>
      <c r="E106" s="170"/>
      <c r="F106" s="170"/>
      <c r="G106" s="170"/>
      <c r="H106" s="170"/>
      <c r="I106" s="170"/>
      <c r="J106" s="170">
        <v>0</v>
      </c>
    </row>
    <row r="107" spans="1:10" ht="12.2" customHeight="1" x14ac:dyDescent="0.25">
      <c r="A107" s="11" t="s">
        <v>100</v>
      </c>
      <c r="B107" s="60" t="s">
        <v>398</v>
      </c>
      <c r="C107" s="274">
        <f t="shared" si="54"/>
        <v>0</v>
      </c>
      <c r="D107" s="249"/>
      <c r="E107" s="170"/>
      <c r="F107" s="170"/>
      <c r="G107" s="170"/>
      <c r="H107" s="170"/>
      <c r="I107" s="170"/>
      <c r="J107" s="170">
        <v>0</v>
      </c>
    </row>
    <row r="108" spans="1:10" ht="12.2" customHeight="1" x14ac:dyDescent="0.25">
      <c r="A108" s="11" t="s">
        <v>101</v>
      </c>
      <c r="B108" s="58" t="s">
        <v>284</v>
      </c>
      <c r="C108" s="274">
        <f t="shared" si="54"/>
        <v>0</v>
      </c>
      <c r="D108" s="249"/>
      <c r="E108" s="170"/>
      <c r="F108" s="170"/>
      <c r="G108" s="170"/>
      <c r="H108" s="170"/>
      <c r="I108" s="170"/>
      <c r="J108" s="170">
        <v>0</v>
      </c>
    </row>
    <row r="109" spans="1:10" ht="12.2" customHeight="1" x14ac:dyDescent="0.25">
      <c r="A109" s="11" t="s">
        <v>102</v>
      </c>
      <c r="B109" s="59" t="s">
        <v>285</v>
      </c>
      <c r="C109" s="274">
        <f t="shared" si="54"/>
        <v>0</v>
      </c>
      <c r="D109" s="249"/>
      <c r="E109" s="170"/>
      <c r="F109" s="170"/>
      <c r="G109" s="170"/>
      <c r="H109" s="170"/>
      <c r="I109" s="170"/>
      <c r="J109" s="170">
        <v>0</v>
      </c>
    </row>
    <row r="110" spans="1:10" ht="12.2" customHeight="1" x14ac:dyDescent="0.25">
      <c r="A110" s="11" t="s">
        <v>103</v>
      </c>
      <c r="B110" s="59" t="s">
        <v>286</v>
      </c>
      <c r="C110" s="274">
        <f t="shared" si="54"/>
        <v>0</v>
      </c>
      <c r="D110" s="249"/>
      <c r="E110" s="170"/>
      <c r="F110" s="170"/>
      <c r="G110" s="170"/>
      <c r="H110" s="170"/>
      <c r="I110" s="170"/>
      <c r="J110" s="170">
        <v>0</v>
      </c>
    </row>
    <row r="111" spans="1:10" ht="12.2" customHeight="1" x14ac:dyDescent="0.25">
      <c r="A111" s="11" t="s">
        <v>105</v>
      </c>
      <c r="B111" s="58" t="s">
        <v>287</v>
      </c>
      <c r="C111" s="274">
        <f t="shared" si="54"/>
        <v>2556776</v>
      </c>
      <c r="D111" s="249">
        <v>600000</v>
      </c>
      <c r="E111" s="170">
        <v>1174050</v>
      </c>
      <c r="F111" s="170"/>
      <c r="G111" s="170">
        <v>751000</v>
      </c>
      <c r="H111" s="170"/>
      <c r="I111" s="170"/>
      <c r="J111" s="170">
        <v>31726</v>
      </c>
    </row>
    <row r="112" spans="1:10" ht="12.2" customHeight="1" x14ac:dyDescent="0.25">
      <c r="A112" s="11" t="s">
        <v>137</v>
      </c>
      <c r="B112" s="58" t="s">
        <v>288</v>
      </c>
      <c r="C112" s="274">
        <f t="shared" si="54"/>
        <v>0</v>
      </c>
      <c r="D112" s="249"/>
      <c r="E112" s="170"/>
      <c r="F112" s="170"/>
      <c r="G112" s="170"/>
      <c r="H112" s="170"/>
      <c r="I112" s="170"/>
      <c r="J112" s="170">
        <v>0</v>
      </c>
    </row>
    <row r="113" spans="1:10" ht="12.2" customHeight="1" x14ac:dyDescent="0.25">
      <c r="A113" s="11" t="s">
        <v>282</v>
      </c>
      <c r="B113" s="59" t="s">
        <v>289</v>
      </c>
      <c r="C113" s="274">
        <f t="shared" si="54"/>
        <v>0</v>
      </c>
      <c r="D113" s="249"/>
      <c r="E113" s="170"/>
      <c r="F113" s="170"/>
      <c r="G113" s="170"/>
      <c r="H113" s="170"/>
      <c r="I113" s="170"/>
      <c r="J113" s="170">
        <v>0</v>
      </c>
    </row>
    <row r="114" spans="1:10" ht="12.2" customHeight="1" x14ac:dyDescent="0.25">
      <c r="A114" s="10" t="s">
        <v>283</v>
      </c>
      <c r="B114" s="60" t="s">
        <v>290</v>
      </c>
      <c r="C114" s="274">
        <f t="shared" si="54"/>
        <v>0</v>
      </c>
      <c r="D114" s="249"/>
      <c r="E114" s="170"/>
      <c r="F114" s="170"/>
      <c r="G114" s="170"/>
      <c r="H114" s="170"/>
      <c r="I114" s="170"/>
      <c r="J114" s="170">
        <v>0</v>
      </c>
    </row>
    <row r="115" spans="1:10" ht="12.2" customHeight="1" x14ac:dyDescent="0.25">
      <c r="A115" s="11" t="s">
        <v>399</v>
      </c>
      <c r="B115" s="60" t="s">
        <v>291</v>
      </c>
      <c r="C115" s="274">
        <f t="shared" si="54"/>
        <v>0</v>
      </c>
      <c r="D115" s="249"/>
      <c r="E115" s="170"/>
      <c r="F115" s="170"/>
      <c r="G115" s="170"/>
      <c r="H115" s="170"/>
      <c r="I115" s="170"/>
      <c r="J115" s="170">
        <v>0</v>
      </c>
    </row>
    <row r="116" spans="1:10" ht="12.2" customHeight="1" x14ac:dyDescent="0.25">
      <c r="A116" s="13" t="s">
        <v>400</v>
      </c>
      <c r="B116" s="60" t="s">
        <v>292</v>
      </c>
      <c r="C116" s="274">
        <f t="shared" si="54"/>
        <v>152574211</v>
      </c>
      <c r="D116" s="246">
        <v>152574211</v>
      </c>
      <c r="E116" s="114"/>
      <c r="F116" s="170"/>
      <c r="G116" s="170"/>
      <c r="H116" s="170"/>
      <c r="I116" s="170"/>
      <c r="J116" s="170">
        <v>0</v>
      </c>
    </row>
    <row r="117" spans="1:10" ht="12.2" customHeight="1" x14ac:dyDescent="0.25">
      <c r="A117" s="11" t="s">
        <v>401</v>
      </c>
      <c r="B117" s="5" t="s">
        <v>47</v>
      </c>
      <c r="C117" s="274">
        <f t="shared" si="54"/>
        <v>114089276</v>
      </c>
      <c r="D117" s="246">
        <f t="shared" ref="D117:J117" si="55">SUM(D118:D119)</f>
        <v>120093095</v>
      </c>
      <c r="E117" s="246">
        <f t="shared" si="55"/>
        <v>0</v>
      </c>
      <c r="F117" s="246">
        <f t="shared" ref="F117:G117" si="56">SUM(F118:F119)</f>
        <v>0</v>
      </c>
      <c r="G117" s="246">
        <f t="shared" si="56"/>
        <v>0</v>
      </c>
      <c r="H117" s="246">
        <f t="shared" ref="H117:I117" si="57">SUM(H118:H119)</f>
        <v>0</v>
      </c>
      <c r="I117" s="246">
        <f t="shared" si="57"/>
        <v>0</v>
      </c>
      <c r="J117" s="246">
        <f>SUM(J118:J119)</f>
        <v>-6003819</v>
      </c>
    </row>
    <row r="118" spans="1:10" ht="12.2" customHeight="1" x14ac:dyDescent="0.25">
      <c r="A118" s="11" t="s">
        <v>402</v>
      </c>
      <c r="B118" s="5" t="s">
        <v>403</v>
      </c>
      <c r="C118" s="274">
        <f t="shared" si="54"/>
        <v>8636181</v>
      </c>
      <c r="D118" s="249">
        <v>10000000</v>
      </c>
      <c r="E118" s="170"/>
      <c r="F118" s="114"/>
      <c r="G118" s="114"/>
      <c r="H118" s="114"/>
      <c r="I118" s="114"/>
      <c r="J118" s="114">
        <v>-1363819</v>
      </c>
    </row>
    <row r="119" spans="1:10" ht="12.2" customHeight="1" thickBot="1" x14ac:dyDescent="0.3">
      <c r="A119" s="15" t="s">
        <v>404</v>
      </c>
      <c r="B119" s="237" t="s">
        <v>405</v>
      </c>
      <c r="C119" s="274">
        <f t="shared" si="54"/>
        <v>105453095</v>
      </c>
      <c r="D119" s="270">
        <v>110093095</v>
      </c>
      <c r="E119" s="254"/>
      <c r="F119" s="254"/>
      <c r="G119" s="254"/>
      <c r="H119" s="254"/>
      <c r="I119" s="254"/>
      <c r="J119" s="254">
        <v>-4640000</v>
      </c>
    </row>
    <row r="120" spans="1:10" ht="12.2" customHeight="1" thickBot="1" x14ac:dyDescent="0.3">
      <c r="A120" s="238" t="s">
        <v>17</v>
      </c>
      <c r="B120" s="239" t="s">
        <v>293</v>
      </c>
      <c r="C120" s="110">
        <f t="shared" si="54"/>
        <v>2657888844</v>
      </c>
      <c r="D120" s="255">
        <f t="shared" ref="D120:J120" si="58">+D121+D123+D125</f>
        <v>2313562578</v>
      </c>
      <c r="E120" s="110">
        <f t="shared" si="58"/>
        <v>863500</v>
      </c>
      <c r="F120" s="240">
        <f t="shared" si="58"/>
        <v>851710</v>
      </c>
      <c r="G120" s="240">
        <f t="shared" si="58"/>
        <v>2983000</v>
      </c>
      <c r="H120" s="240">
        <f t="shared" si="58"/>
        <v>829296</v>
      </c>
      <c r="I120" s="240">
        <f t="shared" ref="I120" si="59">+I121+I123+I125</f>
        <v>749300</v>
      </c>
      <c r="J120" s="240">
        <v>338049460</v>
      </c>
    </row>
    <row r="121" spans="1:10" ht="18.75" customHeight="1" x14ac:dyDescent="0.25">
      <c r="A121" s="12" t="s">
        <v>91</v>
      </c>
      <c r="B121" s="5" t="s">
        <v>157</v>
      </c>
      <c r="C121" s="273">
        <f>SUM(D121:J121)</f>
        <v>867562015</v>
      </c>
      <c r="D121" s="655">
        <v>737664708</v>
      </c>
      <c r="E121" s="214">
        <v>863500</v>
      </c>
      <c r="F121" s="214">
        <v>851710</v>
      </c>
      <c r="G121" s="214">
        <v>2983000</v>
      </c>
      <c r="H121" s="214">
        <v>829296</v>
      </c>
      <c r="I121" s="214">
        <v>749300</v>
      </c>
      <c r="J121" s="214">
        <v>123620501</v>
      </c>
    </row>
    <row r="122" spans="1:10" ht="12.2" customHeight="1" x14ac:dyDescent="0.25">
      <c r="A122" s="12" t="s">
        <v>92</v>
      </c>
      <c r="B122" s="9" t="s">
        <v>297</v>
      </c>
      <c r="C122" s="273">
        <f t="shared" si="54"/>
        <v>466002478</v>
      </c>
      <c r="D122" s="1086">
        <v>350683330</v>
      </c>
      <c r="E122" s="214"/>
      <c r="F122" s="214"/>
      <c r="G122" s="214"/>
      <c r="H122" s="214"/>
      <c r="I122" s="214"/>
      <c r="J122" s="214">
        <v>115319148</v>
      </c>
    </row>
    <row r="123" spans="1:10" ht="12.2" customHeight="1" x14ac:dyDescent="0.25">
      <c r="A123" s="12" t="s">
        <v>93</v>
      </c>
      <c r="B123" s="9" t="s">
        <v>138</v>
      </c>
      <c r="C123" s="273">
        <f t="shared" si="54"/>
        <v>1788325733</v>
      </c>
      <c r="D123" s="246">
        <v>1573896778</v>
      </c>
      <c r="E123" s="114"/>
      <c r="F123" s="114"/>
      <c r="G123" s="114"/>
      <c r="H123" s="114"/>
      <c r="I123" s="114"/>
      <c r="J123" s="114">
        <v>214428955</v>
      </c>
    </row>
    <row r="124" spans="1:10" ht="12.2" customHeight="1" x14ac:dyDescent="0.25">
      <c r="A124" s="12" t="s">
        <v>94</v>
      </c>
      <c r="B124" s="9" t="s">
        <v>298</v>
      </c>
      <c r="C124" s="273">
        <f t="shared" si="54"/>
        <v>1200783442</v>
      </c>
      <c r="D124" s="1087">
        <v>1008969346</v>
      </c>
      <c r="E124" s="471"/>
      <c r="F124" s="246"/>
      <c r="G124" s="246"/>
      <c r="H124" s="246"/>
      <c r="I124" s="246"/>
      <c r="J124" s="246">
        <v>191814096</v>
      </c>
    </row>
    <row r="125" spans="1:10" ht="12.2" customHeight="1" x14ac:dyDescent="0.25">
      <c r="A125" s="12" t="s">
        <v>95</v>
      </c>
      <c r="B125" s="107" t="s">
        <v>159</v>
      </c>
      <c r="C125" s="273">
        <f t="shared" si="54"/>
        <v>2001092</v>
      </c>
      <c r="D125" s="246">
        <f t="shared" ref="D125:J125" si="60">SUM(D126:D133)</f>
        <v>2001092</v>
      </c>
      <c r="E125" s="246">
        <f t="shared" si="60"/>
        <v>0</v>
      </c>
      <c r="F125" s="246">
        <f t="shared" ref="F125:G125" si="61">SUM(F126:F133)</f>
        <v>0</v>
      </c>
      <c r="G125" s="246">
        <f t="shared" si="61"/>
        <v>0</v>
      </c>
      <c r="H125" s="246">
        <f t="shared" ref="H125:I125" si="62">SUM(H126:H133)</f>
        <v>0</v>
      </c>
      <c r="I125" s="246">
        <f t="shared" si="62"/>
        <v>0</v>
      </c>
      <c r="J125" s="246">
        <v>0</v>
      </c>
    </row>
    <row r="126" spans="1:10" ht="12.2" customHeight="1" x14ac:dyDescent="0.25">
      <c r="A126" s="12" t="s">
        <v>104</v>
      </c>
      <c r="B126" s="106" t="s">
        <v>358</v>
      </c>
      <c r="C126" s="273">
        <f t="shared" si="54"/>
        <v>0</v>
      </c>
      <c r="D126" s="99"/>
      <c r="E126" s="99"/>
      <c r="F126" s="246"/>
      <c r="G126" s="246"/>
      <c r="H126" s="246"/>
      <c r="I126" s="246"/>
      <c r="J126" s="246">
        <v>0</v>
      </c>
    </row>
    <row r="127" spans="1:10" ht="12.2" customHeight="1" x14ac:dyDescent="0.25">
      <c r="A127" s="12" t="s">
        <v>106</v>
      </c>
      <c r="B127" s="177" t="s">
        <v>303</v>
      </c>
      <c r="C127" s="273">
        <f t="shared" si="54"/>
        <v>0</v>
      </c>
      <c r="D127" s="99"/>
      <c r="E127" s="99"/>
      <c r="F127" s="246"/>
      <c r="G127" s="246"/>
      <c r="H127" s="246"/>
      <c r="I127" s="246"/>
      <c r="J127" s="246">
        <v>0</v>
      </c>
    </row>
    <row r="128" spans="1:10" x14ac:dyDescent="0.25">
      <c r="A128" s="12" t="s">
        <v>139</v>
      </c>
      <c r="B128" s="59" t="s">
        <v>286</v>
      </c>
      <c r="C128" s="273">
        <f t="shared" si="54"/>
        <v>0</v>
      </c>
      <c r="D128" s="99"/>
      <c r="E128" s="99"/>
      <c r="F128" s="246"/>
      <c r="G128" s="246"/>
      <c r="H128" s="246"/>
      <c r="I128" s="246"/>
      <c r="J128" s="246">
        <v>0</v>
      </c>
    </row>
    <row r="129" spans="1:10" ht="12.2" customHeight="1" x14ac:dyDescent="0.25">
      <c r="A129" s="12" t="s">
        <v>140</v>
      </c>
      <c r="B129" s="59" t="s">
        <v>302</v>
      </c>
      <c r="C129" s="273">
        <f t="shared" si="54"/>
        <v>0</v>
      </c>
      <c r="D129" s="99"/>
      <c r="E129" s="99"/>
      <c r="F129" s="246"/>
      <c r="G129" s="246"/>
      <c r="H129" s="246"/>
      <c r="I129" s="246"/>
      <c r="J129" s="246">
        <v>0</v>
      </c>
    </row>
    <row r="130" spans="1:10" ht="12.2" customHeight="1" x14ac:dyDescent="0.25">
      <c r="A130" s="12" t="s">
        <v>141</v>
      </c>
      <c r="B130" s="59" t="s">
        <v>301</v>
      </c>
      <c r="C130" s="273">
        <f t="shared" si="54"/>
        <v>0</v>
      </c>
      <c r="D130" s="99"/>
      <c r="E130" s="99"/>
      <c r="F130" s="246"/>
      <c r="G130" s="246"/>
      <c r="H130" s="246"/>
      <c r="I130" s="246"/>
      <c r="J130" s="246">
        <v>0</v>
      </c>
    </row>
    <row r="131" spans="1:10" ht="12.2" customHeight="1" x14ac:dyDescent="0.25">
      <c r="A131" s="12" t="s">
        <v>294</v>
      </c>
      <c r="B131" s="59" t="s">
        <v>289</v>
      </c>
      <c r="C131" s="176">
        <f t="shared" si="54"/>
        <v>0</v>
      </c>
      <c r="D131" s="99"/>
      <c r="E131" s="99"/>
      <c r="F131" s="246"/>
      <c r="G131" s="246"/>
      <c r="H131" s="246"/>
      <c r="I131" s="246"/>
      <c r="J131" s="246">
        <v>0</v>
      </c>
    </row>
    <row r="132" spans="1:10" ht="12.2" customHeight="1" x14ac:dyDescent="0.25">
      <c r="A132" s="12" t="s">
        <v>295</v>
      </c>
      <c r="B132" s="59" t="s">
        <v>300</v>
      </c>
      <c r="C132" s="176">
        <f t="shared" si="54"/>
        <v>0</v>
      </c>
      <c r="D132" s="99"/>
      <c r="E132" s="99"/>
      <c r="F132" s="246"/>
      <c r="G132" s="246"/>
      <c r="H132" s="246"/>
      <c r="I132" s="246"/>
      <c r="J132" s="246">
        <v>0</v>
      </c>
    </row>
    <row r="133" spans="1:10" ht="16.5" thickBot="1" x14ac:dyDescent="0.3">
      <c r="A133" s="10" t="s">
        <v>296</v>
      </c>
      <c r="B133" s="59" t="s">
        <v>299</v>
      </c>
      <c r="C133" s="273">
        <f t="shared" si="54"/>
        <v>2001092</v>
      </c>
      <c r="D133" s="249">
        <v>2001092</v>
      </c>
      <c r="E133" s="249"/>
      <c r="F133" s="249"/>
      <c r="G133" s="249"/>
      <c r="H133" s="249"/>
      <c r="I133" s="249"/>
      <c r="J133" s="249">
        <v>0</v>
      </c>
    </row>
    <row r="134" spans="1:10" ht="12.2" customHeight="1" thickBot="1" x14ac:dyDescent="0.3">
      <c r="A134" s="17" t="s">
        <v>18</v>
      </c>
      <c r="B134" s="54" t="s">
        <v>406</v>
      </c>
      <c r="C134" s="110">
        <f t="shared" si="54"/>
        <v>5042751176</v>
      </c>
      <c r="D134" s="255">
        <f t="shared" ref="D134:J134" si="63">+D99+D120</f>
        <v>3206750494</v>
      </c>
      <c r="E134" s="110">
        <f t="shared" si="63"/>
        <v>316566686</v>
      </c>
      <c r="F134" s="110">
        <f t="shared" si="63"/>
        <v>465074551</v>
      </c>
      <c r="G134" s="110">
        <f t="shared" si="63"/>
        <v>201198876</v>
      </c>
      <c r="H134" s="110">
        <f t="shared" si="63"/>
        <v>181035967</v>
      </c>
      <c r="I134" s="110">
        <f t="shared" ref="I134" si="64">+I99+I120</f>
        <v>267211389</v>
      </c>
      <c r="J134" s="110">
        <v>404913213</v>
      </c>
    </row>
    <row r="135" spans="1:10" ht="12.2" customHeight="1" thickBot="1" x14ac:dyDescent="0.3">
      <c r="A135" s="17" t="s">
        <v>19</v>
      </c>
      <c r="B135" s="54" t="s">
        <v>407</v>
      </c>
      <c r="C135" s="279">
        <f t="shared" si="54"/>
        <v>1120250686</v>
      </c>
      <c r="D135" s="255">
        <f t="shared" ref="D135:J135" si="65">+D136+D137+D138</f>
        <v>1120250686</v>
      </c>
      <c r="E135" s="110">
        <f t="shared" si="65"/>
        <v>0</v>
      </c>
      <c r="F135" s="110">
        <f t="shared" si="65"/>
        <v>0</v>
      </c>
      <c r="G135" s="110">
        <f t="shared" si="65"/>
        <v>0</v>
      </c>
      <c r="H135" s="110">
        <f t="shared" si="65"/>
        <v>0</v>
      </c>
      <c r="I135" s="110">
        <f t="shared" ref="I135" si="66">+I136+I137+I138</f>
        <v>0</v>
      </c>
      <c r="J135" s="110">
        <v>0</v>
      </c>
    </row>
    <row r="136" spans="1:10" ht="12.2" customHeight="1" x14ac:dyDescent="0.25">
      <c r="A136" s="12" t="s">
        <v>195</v>
      </c>
      <c r="B136" s="9" t="s">
        <v>408</v>
      </c>
      <c r="C136" s="176">
        <f t="shared" si="54"/>
        <v>20250686</v>
      </c>
      <c r="D136" s="246">
        <v>20250686</v>
      </c>
      <c r="E136" s="246"/>
      <c r="F136" s="246"/>
      <c r="G136" s="246"/>
      <c r="H136" s="246"/>
      <c r="I136" s="246"/>
      <c r="J136" s="246">
        <v>0</v>
      </c>
    </row>
    <row r="137" spans="1:10" ht="12.2" customHeight="1" x14ac:dyDescent="0.25">
      <c r="A137" s="12" t="s">
        <v>198</v>
      </c>
      <c r="B137" s="9" t="s">
        <v>409</v>
      </c>
      <c r="C137" s="274">
        <f t="shared" si="54"/>
        <v>1100000000</v>
      </c>
      <c r="D137" s="246">
        <v>1100000000</v>
      </c>
      <c r="E137" s="99"/>
      <c r="F137" s="246"/>
      <c r="G137" s="246"/>
      <c r="H137" s="246"/>
      <c r="I137" s="99"/>
      <c r="J137" s="99">
        <v>0</v>
      </c>
    </row>
    <row r="138" spans="1:10" ht="12.2" customHeight="1" thickBot="1" x14ac:dyDescent="0.3">
      <c r="A138" s="10" t="s">
        <v>199</v>
      </c>
      <c r="B138" s="9" t="s">
        <v>410</v>
      </c>
      <c r="C138" s="278">
        <f t="shared" si="54"/>
        <v>0</v>
      </c>
      <c r="D138" s="99"/>
      <c r="E138" s="99"/>
      <c r="F138" s="246"/>
      <c r="G138" s="246"/>
      <c r="H138" s="246"/>
      <c r="I138" s="99"/>
      <c r="J138" s="99">
        <v>0</v>
      </c>
    </row>
    <row r="139" spans="1:10" ht="12.2" customHeight="1" thickBot="1" x14ac:dyDescent="0.3">
      <c r="A139" s="17" t="s">
        <v>20</v>
      </c>
      <c r="B139" s="54" t="s">
        <v>411</v>
      </c>
      <c r="C139" s="279">
        <f t="shared" si="54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J139" s="110">
        <v>0</v>
      </c>
    </row>
    <row r="140" spans="1:10" ht="12.2" customHeight="1" x14ac:dyDescent="0.25">
      <c r="A140" s="12" t="s">
        <v>78</v>
      </c>
      <c r="B140" s="6" t="s">
        <v>412</v>
      </c>
      <c r="C140" s="176">
        <f t="shared" si="54"/>
        <v>0</v>
      </c>
      <c r="D140" s="99"/>
      <c r="E140" s="99"/>
      <c r="F140" s="99"/>
      <c r="G140" s="99"/>
      <c r="H140" s="99"/>
      <c r="I140" s="99"/>
      <c r="J140" s="99">
        <v>0</v>
      </c>
    </row>
    <row r="141" spans="1:10" ht="12.2" customHeight="1" x14ac:dyDescent="0.25">
      <c r="A141" s="12" t="s">
        <v>79</v>
      </c>
      <c r="B141" s="6" t="s">
        <v>413</v>
      </c>
      <c r="C141" s="277">
        <f t="shared" si="54"/>
        <v>0</v>
      </c>
      <c r="D141" s="99"/>
      <c r="E141" s="99"/>
      <c r="F141" s="99"/>
      <c r="G141" s="99"/>
      <c r="H141" s="99"/>
      <c r="I141" s="99"/>
      <c r="J141" s="99">
        <v>0</v>
      </c>
    </row>
    <row r="142" spans="1:10" ht="12.2" customHeight="1" x14ac:dyDescent="0.25">
      <c r="A142" s="12" t="s">
        <v>80</v>
      </c>
      <c r="B142" s="6" t="s">
        <v>414</v>
      </c>
      <c r="C142" s="277">
        <f t="shared" si="54"/>
        <v>0</v>
      </c>
      <c r="D142" s="99"/>
      <c r="E142" s="99"/>
      <c r="F142" s="99"/>
      <c r="G142" s="99"/>
      <c r="H142" s="99"/>
      <c r="I142" s="99"/>
      <c r="J142" s="99">
        <v>0</v>
      </c>
    </row>
    <row r="143" spans="1:10" ht="12.2" customHeight="1" x14ac:dyDescent="0.25">
      <c r="A143" s="12" t="s">
        <v>126</v>
      </c>
      <c r="B143" s="6" t="s">
        <v>415</v>
      </c>
      <c r="C143" s="277">
        <f t="shared" si="54"/>
        <v>0</v>
      </c>
      <c r="D143" s="99"/>
      <c r="E143" s="99"/>
      <c r="F143" s="99"/>
      <c r="G143" s="99"/>
      <c r="H143" s="99"/>
      <c r="I143" s="99"/>
      <c r="J143" s="99">
        <v>0</v>
      </c>
    </row>
    <row r="144" spans="1:10" ht="12.2" customHeight="1" x14ac:dyDescent="0.25">
      <c r="A144" s="12" t="s">
        <v>127</v>
      </c>
      <c r="B144" s="6" t="s">
        <v>416</v>
      </c>
      <c r="C144" s="277">
        <f t="shared" si="54"/>
        <v>0</v>
      </c>
      <c r="D144" s="99"/>
      <c r="E144" s="99"/>
      <c r="F144" s="99"/>
      <c r="G144" s="99"/>
      <c r="H144" s="99"/>
      <c r="I144" s="99"/>
      <c r="J144" s="99">
        <v>0</v>
      </c>
    </row>
    <row r="145" spans="1:13" ht="12.2" customHeight="1" thickBot="1" x14ac:dyDescent="0.3">
      <c r="A145" s="10" t="s">
        <v>128</v>
      </c>
      <c r="B145" s="6" t="s">
        <v>417</v>
      </c>
      <c r="C145" s="278">
        <f t="shared" si="54"/>
        <v>0</v>
      </c>
      <c r="D145" s="99"/>
      <c r="E145" s="99"/>
      <c r="F145" s="99"/>
      <c r="G145" s="99"/>
      <c r="H145" s="99"/>
      <c r="I145" s="99"/>
      <c r="J145" s="99">
        <v>0</v>
      </c>
    </row>
    <row r="146" spans="1:13" ht="12.2" customHeight="1" thickBot="1" x14ac:dyDescent="0.3">
      <c r="A146" s="17" t="s">
        <v>21</v>
      </c>
      <c r="B146" s="54" t="s">
        <v>418</v>
      </c>
      <c r="C146" s="110">
        <f t="shared" si="54"/>
        <v>61842606</v>
      </c>
      <c r="D146" s="257">
        <f t="shared" ref="D146:J146" si="67">+D147+D148+D149+D150</f>
        <v>61842606</v>
      </c>
      <c r="E146" s="115">
        <f t="shared" si="67"/>
        <v>0</v>
      </c>
      <c r="F146" s="115">
        <f t="shared" si="67"/>
        <v>0</v>
      </c>
      <c r="G146" s="115">
        <f t="shared" si="67"/>
        <v>0</v>
      </c>
      <c r="H146" s="115">
        <f t="shared" si="67"/>
        <v>0</v>
      </c>
      <c r="I146" s="115">
        <f t="shared" ref="I146" si="68">+I147+I148+I149+I150</f>
        <v>0</v>
      </c>
      <c r="J146" s="115">
        <v>0</v>
      </c>
    </row>
    <row r="147" spans="1:13" ht="12.2" customHeight="1" x14ac:dyDescent="0.25">
      <c r="A147" s="12" t="s">
        <v>81</v>
      </c>
      <c r="B147" s="6" t="s">
        <v>304</v>
      </c>
      <c r="C147" s="176">
        <f t="shared" si="54"/>
        <v>0</v>
      </c>
      <c r="D147" s="99"/>
      <c r="E147" s="99"/>
      <c r="F147" s="246"/>
      <c r="G147" s="246"/>
      <c r="H147" s="246"/>
      <c r="I147" s="99"/>
      <c r="J147" s="99">
        <v>0</v>
      </c>
    </row>
    <row r="148" spans="1:13" ht="12.2" customHeight="1" x14ac:dyDescent="0.25">
      <c r="A148" s="12" t="s">
        <v>82</v>
      </c>
      <c r="B148" s="6" t="s">
        <v>305</v>
      </c>
      <c r="C148" s="274">
        <f t="shared" si="54"/>
        <v>61842606</v>
      </c>
      <c r="D148" s="99">
        <v>61842606</v>
      </c>
      <c r="E148" s="99"/>
      <c r="F148" s="246"/>
      <c r="G148" s="246"/>
      <c r="H148" s="246"/>
      <c r="I148" s="99"/>
      <c r="J148" s="99">
        <v>0</v>
      </c>
    </row>
    <row r="149" spans="1:13" ht="12.2" customHeight="1" x14ac:dyDescent="0.25">
      <c r="A149" s="12" t="s">
        <v>218</v>
      </c>
      <c r="B149" s="6" t="s">
        <v>419</v>
      </c>
      <c r="C149" s="277">
        <f t="shared" si="54"/>
        <v>0</v>
      </c>
      <c r="D149" s="99"/>
      <c r="E149" s="99"/>
      <c r="F149" s="246"/>
      <c r="G149" s="246"/>
      <c r="H149" s="246"/>
      <c r="I149" s="99"/>
      <c r="J149" s="99">
        <v>0</v>
      </c>
    </row>
    <row r="150" spans="1:13" ht="12.2" customHeight="1" thickBot="1" x14ac:dyDescent="0.3">
      <c r="A150" s="10" t="s">
        <v>219</v>
      </c>
      <c r="B150" s="4" t="s">
        <v>323</v>
      </c>
      <c r="C150" s="278">
        <f t="shared" si="54"/>
        <v>0</v>
      </c>
      <c r="D150" s="99"/>
      <c r="E150" s="99"/>
      <c r="F150" s="246"/>
      <c r="G150" s="246"/>
      <c r="H150" s="246"/>
      <c r="I150" s="99"/>
      <c r="J150" s="99">
        <v>0</v>
      </c>
    </row>
    <row r="151" spans="1:13" ht="12.2" customHeight="1" thickBot="1" x14ac:dyDescent="0.3">
      <c r="A151" s="17" t="s">
        <v>22</v>
      </c>
      <c r="B151" s="54" t="s">
        <v>420</v>
      </c>
      <c r="C151" s="279">
        <f t="shared" si="54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J151" s="118">
        <v>0</v>
      </c>
    </row>
    <row r="152" spans="1:13" ht="12.2" customHeight="1" x14ac:dyDescent="0.25">
      <c r="A152" s="12" t="s">
        <v>83</v>
      </c>
      <c r="B152" s="6" t="s">
        <v>421</v>
      </c>
      <c r="C152" s="176">
        <f t="shared" si="54"/>
        <v>0</v>
      </c>
      <c r="D152" s="99"/>
      <c r="E152" s="99"/>
      <c r="F152" s="99"/>
      <c r="G152" s="99"/>
      <c r="H152" s="99"/>
      <c r="I152" s="99"/>
      <c r="J152" s="99">
        <v>0</v>
      </c>
    </row>
    <row r="153" spans="1:13" ht="12.2" customHeight="1" x14ac:dyDescent="0.25">
      <c r="A153" s="12" t="s">
        <v>84</v>
      </c>
      <c r="B153" s="6" t="s">
        <v>422</v>
      </c>
      <c r="C153" s="277">
        <f t="shared" si="54"/>
        <v>0</v>
      </c>
      <c r="D153" s="99"/>
      <c r="E153" s="99"/>
      <c r="F153" s="99"/>
      <c r="G153" s="99"/>
      <c r="H153" s="99"/>
      <c r="I153" s="99"/>
      <c r="J153" s="99">
        <v>0</v>
      </c>
    </row>
    <row r="154" spans="1:13" ht="12.2" customHeight="1" x14ac:dyDescent="0.25">
      <c r="A154" s="12" t="s">
        <v>230</v>
      </c>
      <c r="B154" s="6" t="s">
        <v>423</v>
      </c>
      <c r="C154" s="277">
        <f t="shared" si="54"/>
        <v>0</v>
      </c>
      <c r="D154" s="99"/>
      <c r="E154" s="99"/>
      <c r="F154" s="99"/>
      <c r="G154" s="99"/>
      <c r="H154" s="99"/>
      <c r="I154" s="99"/>
      <c r="J154" s="99">
        <v>0</v>
      </c>
    </row>
    <row r="155" spans="1:13" ht="12.2" customHeight="1" x14ac:dyDescent="0.25">
      <c r="A155" s="12" t="s">
        <v>231</v>
      </c>
      <c r="B155" s="6" t="s">
        <v>424</v>
      </c>
      <c r="C155" s="277">
        <f t="shared" si="54"/>
        <v>0</v>
      </c>
      <c r="D155" s="99"/>
      <c r="E155" s="99"/>
      <c r="F155" s="99"/>
      <c r="G155" s="99"/>
      <c r="H155" s="99"/>
      <c r="I155" s="99"/>
      <c r="J155" s="99">
        <v>0</v>
      </c>
    </row>
    <row r="156" spans="1:13" ht="12.2" customHeight="1" thickBot="1" x14ac:dyDescent="0.3">
      <c r="A156" s="12" t="s">
        <v>425</v>
      </c>
      <c r="B156" s="6" t="s">
        <v>426</v>
      </c>
      <c r="C156" s="278">
        <f t="shared" si="54"/>
        <v>0</v>
      </c>
      <c r="D156" s="100"/>
      <c r="E156" s="100"/>
      <c r="F156" s="99"/>
      <c r="G156" s="99"/>
      <c r="H156" s="99"/>
      <c r="I156" s="99"/>
      <c r="J156" s="99">
        <v>0</v>
      </c>
    </row>
    <row r="157" spans="1:13" ht="12.2" customHeight="1" thickBot="1" x14ac:dyDescent="0.3">
      <c r="A157" s="17" t="s">
        <v>23</v>
      </c>
      <c r="B157" s="54" t="s">
        <v>427</v>
      </c>
      <c r="C157" s="110">
        <f t="shared" si="54"/>
        <v>0</v>
      </c>
      <c r="D157" s="262"/>
      <c r="E157" s="118"/>
      <c r="F157" s="241"/>
      <c r="G157" s="241"/>
      <c r="H157" s="241"/>
      <c r="I157" s="241"/>
      <c r="J157" s="241">
        <v>0</v>
      </c>
    </row>
    <row r="158" spans="1:13" ht="12.2" customHeight="1" thickBot="1" x14ac:dyDescent="0.3">
      <c r="A158" s="17" t="s">
        <v>24</v>
      </c>
      <c r="B158" s="54" t="s">
        <v>428</v>
      </c>
      <c r="C158" s="109">
        <f t="shared" si="54"/>
        <v>0</v>
      </c>
      <c r="D158" s="262"/>
      <c r="E158" s="118"/>
      <c r="F158" s="241"/>
      <c r="G158" s="241"/>
      <c r="H158" s="241"/>
      <c r="I158" s="241"/>
      <c r="J158" s="241">
        <v>0</v>
      </c>
    </row>
    <row r="159" spans="1:13" ht="15" customHeight="1" thickBot="1" x14ac:dyDescent="0.3">
      <c r="A159" s="17" t="s">
        <v>25</v>
      </c>
      <c r="B159" s="54" t="s">
        <v>429</v>
      </c>
      <c r="C159" s="109">
        <f t="shared" si="54"/>
        <v>1182093292</v>
      </c>
      <c r="D159" s="263">
        <f t="shared" ref="D159:J159" si="69">+D135+D139+D146+D151+D157+D158</f>
        <v>1182093292</v>
      </c>
      <c r="E159" s="189">
        <f t="shared" si="69"/>
        <v>0</v>
      </c>
      <c r="F159" s="189">
        <f t="shared" si="69"/>
        <v>0</v>
      </c>
      <c r="G159" s="189">
        <f t="shared" si="69"/>
        <v>0</v>
      </c>
      <c r="H159" s="189">
        <f t="shared" si="69"/>
        <v>0</v>
      </c>
      <c r="I159" s="189">
        <f t="shared" ref="I159" si="70">+I135+I139+I146+I151+I157+I158</f>
        <v>0</v>
      </c>
      <c r="J159" s="189">
        <v>0</v>
      </c>
      <c r="K159" s="190"/>
      <c r="L159" s="190"/>
      <c r="M159" s="190"/>
    </row>
    <row r="160" spans="1:13" s="179" customFormat="1" ht="12.95" customHeight="1" thickBot="1" x14ac:dyDescent="0.25">
      <c r="A160" s="108" t="s">
        <v>26</v>
      </c>
      <c r="B160" s="166" t="s">
        <v>430</v>
      </c>
      <c r="C160" s="110">
        <f>SUM(D160:J160)</f>
        <v>6224844468</v>
      </c>
      <c r="D160" s="263">
        <f t="shared" ref="D160:J160" si="71">+D134+D159</f>
        <v>4388843786</v>
      </c>
      <c r="E160" s="189">
        <f t="shared" si="71"/>
        <v>316566686</v>
      </c>
      <c r="F160" s="189">
        <f t="shared" si="71"/>
        <v>465074551</v>
      </c>
      <c r="G160" s="189">
        <f t="shared" si="71"/>
        <v>201198876</v>
      </c>
      <c r="H160" s="189">
        <f t="shared" si="71"/>
        <v>181035967</v>
      </c>
      <c r="I160" s="189">
        <f t="shared" ref="I160" si="72">+I134+I159</f>
        <v>267211389</v>
      </c>
      <c r="J160" s="189">
        <v>404913213</v>
      </c>
    </row>
    <row r="161" spans="1:10" x14ac:dyDescent="0.25">
      <c r="A161" s="1225" t="s">
        <v>306</v>
      </c>
      <c r="B161" s="1225"/>
      <c r="C161" s="1225"/>
    </row>
    <row r="162" spans="1:10" ht="9.75" customHeight="1" thickBot="1" x14ac:dyDescent="0.3">
      <c r="A162" s="1228" t="s">
        <v>116</v>
      </c>
      <c r="B162" s="1228"/>
      <c r="C162" s="119" t="s">
        <v>483</v>
      </c>
    </row>
    <row r="163" spans="1:10" ht="21.2" customHeight="1" thickBot="1" x14ac:dyDescent="0.3">
      <c r="A163" s="17">
        <v>1</v>
      </c>
      <c r="B163" s="22" t="s">
        <v>431</v>
      </c>
      <c r="C163" s="110">
        <f>+C69-C134</f>
        <v>-1631883906</v>
      </c>
    </row>
    <row r="164" spans="1:10" ht="21.75" thickBot="1" x14ac:dyDescent="0.3">
      <c r="A164" s="17" t="s">
        <v>17</v>
      </c>
      <c r="B164" s="22" t="s">
        <v>698</v>
      </c>
      <c r="C164" s="110">
        <f>+C93-C159</f>
        <v>2316371206</v>
      </c>
    </row>
    <row r="165" spans="1:10" x14ac:dyDescent="0.25">
      <c r="I165" s="281"/>
      <c r="J165" s="281"/>
    </row>
    <row r="168" spans="1:10" x14ac:dyDescent="0.25">
      <c r="D168" s="1186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E55" sqref="E55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83" t="str">
        <f>CONCATENATE("28. melléklet"," ",ALAPADATOK!A7," ",ALAPADATOK!B7," ",ALAPADATOK!C7," ",ALAPADATOK!D7," ",ALAPADATOK!E7," ",ALAPADATOK!F7," ",ALAPADATOK!G7," ",ALAPADATOK!H7)</f>
        <v>28. melléklet a .. / 2023. ( …... ) önkormányzati rendelethez</v>
      </c>
      <c r="B1" s="1283"/>
      <c r="C1" s="1283"/>
    </row>
    <row r="2" spans="1:3" s="1" customFormat="1" ht="21.2" customHeight="1" x14ac:dyDescent="0.2">
      <c r="A2" s="75"/>
      <c r="B2" s="76"/>
      <c r="C2" s="307"/>
    </row>
    <row r="3" spans="1:3" s="37" customFormat="1" ht="35.450000000000003" customHeight="1" thickBot="1" x14ac:dyDescent="0.25">
      <c r="A3" s="1236" t="s">
        <v>872</v>
      </c>
      <c r="B3" s="1236"/>
      <c r="C3" s="1236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15225164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11862318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126000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/>
    </row>
    <row r="13" spans="1:3" s="38" customFormat="1" ht="12.2" customHeight="1" x14ac:dyDescent="0.2">
      <c r="A13" s="207" t="s">
        <v>89</v>
      </c>
      <c r="B13" s="5" t="s">
        <v>331</v>
      </c>
      <c r="C13" s="507">
        <v>3236846</v>
      </c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706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15225164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251986225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251986225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267211389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266462089</v>
      </c>
    </row>
    <row r="44" spans="1:3" ht="12.2" customHeight="1" x14ac:dyDescent="0.2">
      <c r="A44" s="207" t="s">
        <v>85</v>
      </c>
      <c r="B44" s="6" t="s">
        <v>46</v>
      </c>
      <c r="C44" s="513">
        <v>179144892</v>
      </c>
    </row>
    <row r="45" spans="1:3" ht="12.2" customHeight="1" x14ac:dyDescent="0.2">
      <c r="A45" s="207" t="s">
        <v>86</v>
      </c>
      <c r="B45" s="5" t="s">
        <v>134</v>
      </c>
      <c r="C45" s="507">
        <v>25526478</v>
      </c>
    </row>
    <row r="46" spans="1:3" ht="12.2" customHeight="1" x14ac:dyDescent="0.2">
      <c r="A46" s="207" t="s">
        <v>87</v>
      </c>
      <c r="B46" s="5" t="s">
        <v>110</v>
      </c>
      <c r="C46" s="507">
        <v>61790719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749300</v>
      </c>
    </row>
    <row r="50" spans="1:3" ht="12.2" customHeight="1" x14ac:dyDescent="0.2">
      <c r="A50" s="207" t="s">
        <v>91</v>
      </c>
      <c r="B50" s="6" t="s">
        <v>157</v>
      </c>
      <c r="C50" s="513">
        <v>749300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267211389</v>
      </c>
    </row>
    <row r="56" spans="1:3" ht="13.5" thickBot="1" x14ac:dyDescent="0.25">
      <c r="A56" s="95" t="s">
        <v>456</v>
      </c>
      <c r="B56" s="96"/>
      <c r="C56" s="522">
        <f>41-2-1</f>
        <v>38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5" width="10.83203125" style="301" bestFit="1" customWidth="1"/>
    <col min="6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83" t="str">
        <f>CONCATENATE("21. melléklet"," ",ALAPADATOK!A7," ",ALAPADATOK!B7," ",ALAPADATOK!C7," ",ALAPADATOK!D7," ",ALAPADATOK!E7," ",ALAPADATOK!F7," ",ALAPADATOK!G7," ",ALAPADATOK!H7)</f>
        <v>21. melléklet a .. / 2023. ( …... ) önkormányzati rendelethez</v>
      </c>
      <c r="B1" s="1283"/>
      <c r="C1" s="1283"/>
    </row>
    <row r="2" spans="1:3" s="1" customFormat="1" ht="21.2" customHeight="1" x14ac:dyDescent="0.2">
      <c r="A2" s="75"/>
      <c r="B2" s="76"/>
      <c r="C2" s="307"/>
    </row>
    <row r="3" spans="1:3" s="37" customFormat="1" ht="34.5" customHeight="1" thickBot="1" x14ac:dyDescent="0.25">
      <c r="A3" s="1236" t="s">
        <v>873</v>
      </c>
      <c r="B3" s="1236"/>
      <c r="C3" s="1236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245318816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2660000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10200000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>
        <v>231540816</v>
      </c>
    </row>
    <row r="13" spans="1:3" s="38" customFormat="1" ht="12.2" customHeight="1" x14ac:dyDescent="0.2">
      <c r="A13" s="207" t="s">
        <v>89</v>
      </c>
      <c r="B13" s="5" t="s">
        <v>331</v>
      </c>
      <c r="C13" s="507">
        <v>918000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217598718</v>
      </c>
    </row>
    <row r="20" spans="1:3" s="39" customFormat="1" ht="12.2" customHeight="1" x14ac:dyDescent="0.2">
      <c r="A20" s="207" t="s">
        <v>91</v>
      </c>
      <c r="B20" s="6" t="s">
        <v>185</v>
      </c>
      <c r="C20" s="36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>
        <f>191865913+25732805</f>
        <v>217598718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652">
        <v>25732805</v>
      </c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37347000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652">
        <f>36147000+1200000</f>
        <v>37347000</v>
      </c>
    </row>
    <row r="29" spans="1:3" s="39" customFormat="1" ht="12.2" customHeight="1" thickBot="1" x14ac:dyDescent="0.25">
      <c r="A29" s="207" t="s">
        <v>200</v>
      </c>
      <c r="B29" s="57" t="s">
        <v>461</v>
      </c>
      <c r="C29" s="838">
        <v>1200000</v>
      </c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717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500264534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675136202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58816956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616319246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1175400736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648">
        <f>SUM(C44:C48)</f>
        <v>1132973885</v>
      </c>
    </row>
    <row r="44" spans="1:3" ht="12.2" customHeight="1" x14ac:dyDescent="0.2">
      <c r="A44" s="207" t="s">
        <v>85</v>
      </c>
      <c r="B44" s="6" t="s">
        <v>46</v>
      </c>
      <c r="C44" s="651">
        <f>591463347+20865000</f>
        <v>612328347</v>
      </c>
    </row>
    <row r="45" spans="1:3" ht="12.2" customHeight="1" x14ac:dyDescent="0.2">
      <c r="A45" s="207" t="s">
        <v>86</v>
      </c>
      <c r="B45" s="5" t="s">
        <v>134</v>
      </c>
      <c r="C45" s="652">
        <f>81321780+2441205</f>
        <v>83762985</v>
      </c>
    </row>
    <row r="46" spans="1:3" ht="12.2" customHeight="1" x14ac:dyDescent="0.2">
      <c r="A46" s="207" t="s">
        <v>87</v>
      </c>
      <c r="B46" s="5" t="s">
        <v>110</v>
      </c>
      <c r="C46" s="652">
        <f>434455953+2426600</f>
        <v>436882553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5" s="213" customFormat="1" ht="12.2" customHeight="1" thickBot="1" x14ac:dyDescent="0.25">
      <c r="A49" s="74" t="s">
        <v>17</v>
      </c>
      <c r="B49" s="54" t="s">
        <v>347</v>
      </c>
      <c r="C49" s="505">
        <f>SUM(C50:C52)</f>
        <v>42426851</v>
      </c>
    </row>
    <row r="50" spans="1:5" ht="12.2" customHeight="1" x14ac:dyDescent="0.2">
      <c r="A50" s="207" t="s">
        <v>91</v>
      </c>
      <c r="B50" s="6" t="s">
        <v>157</v>
      </c>
      <c r="C50" s="651">
        <f>41226851+1200000</f>
        <v>42426851</v>
      </c>
    </row>
    <row r="51" spans="1:5" ht="12.2" customHeight="1" x14ac:dyDescent="0.2">
      <c r="A51" s="207" t="s">
        <v>92</v>
      </c>
      <c r="B51" s="5" t="s">
        <v>138</v>
      </c>
      <c r="C51" s="507"/>
    </row>
    <row r="52" spans="1:5" ht="12.2" customHeight="1" x14ac:dyDescent="0.2">
      <c r="A52" s="207" t="s">
        <v>93</v>
      </c>
      <c r="B52" s="5" t="s">
        <v>54</v>
      </c>
      <c r="C52" s="507"/>
    </row>
    <row r="53" spans="1:5" ht="15" customHeight="1" thickBot="1" x14ac:dyDescent="0.25">
      <c r="A53" s="207" t="s">
        <v>94</v>
      </c>
      <c r="B53" s="5" t="s">
        <v>462</v>
      </c>
      <c r="C53" s="507"/>
    </row>
    <row r="54" spans="1:5" ht="13.5" thickBot="1" x14ac:dyDescent="0.25">
      <c r="A54" s="74" t="s">
        <v>18</v>
      </c>
      <c r="B54" s="54" t="s">
        <v>12</v>
      </c>
      <c r="C54" s="512"/>
      <c r="D54" s="31"/>
      <c r="E54" s="31"/>
    </row>
    <row r="55" spans="1:5" ht="15" customHeight="1" thickBot="1" x14ac:dyDescent="0.25">
      <c r="A55" s="74" t="s">
        <v>19</v>
      </c>
      <c r="B55" s="93" t="s">
        <v>463</v>
      </c>
      <c r="C55" s="124">
        <f>+C43+C49+C54</f>
        <v>1175400736</v>
      </c>
    </row>
    <row r="56" spans="1:5" ht="13.5" thickBot="1" x14ac:dyDescent="0.25">
      <c r="A56" s="1276" t="s">
        <v>456</v>
      </c>
      <c r="B56" s="1277"/>
      <c r="C56" s="848">
        <f>110-3.33+1+3+1</f>
        <v>111.67</v>
      </c>
    </row>
    <row r="57" spans="1:5" ht="13.5" thickBot="1" x14ac:dyDescent="0.25">
      <c r="A57" s="1292" t="s">
        <v>646</v>
      </c>
      <c r="B57" s="1293"/>
      <c r="C57" s="526">
        <v>0</v>
      </c>
    </row>
    <row r="58" spans="1:5" ht="13.7" customHeight="1" thickBot="1" x14ac:dyDescent="0.25">
      <c r="A58" s="1290" t="s">
        <v>826</v>
      </c>
      <c r="B58" s="1291"/>
      <c r="C58" s="721">
        <v>90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55" zoomScale="115" zoomScaleNormal="115" workbookViewId="0">
      <selection activeCell="E4" sqref="E4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83" t="str">
        <f>CONCATENATE("30. melléklet"," ",ALAPADATOK!A7," ",ALAPADATOK!B7," ",ALAPADATOK!C7," ",ALAPADATOK!D7," ",ALAPADATOK!E7," ",ALAPADATOK!F7," ",ALAPADATOK!G7," ",ALAPADATOK!H7)</f>
        <v>30. melléklet a .. / 2023. ( …... ) önkormányzati rendelethez</v>
      </c>
      <c r="B1" s="1283"/>
      <c r="C1" s="1283"/>
    </row>
    <row r="2" spans="1:3" s="1" customFormat="1" ht="21.2" customHeight="1" thickBot="1" x14ac:dyDescent="0.25">
      <c r="A2" s="76"/>
      <c r="B2" s="76"/>
      <c r="C2" s="1212" t="s">
        <v>1044</v>
      </c>
    </row>
    <row r="3" spans="1:3" s="37" customFormat="1" ht="34.5" customHeight="1" x14ac:dyDescent="0.2">
      <c r="A3" s="171" t="s">
        <v>152</v>
      </c>
      <c r="B3" s="152" t="s">
        <v>476</v>
      </c>
      <c r="C3" s="308" t="s">
        <v>56</v>
      </c>
    </row>
    <row r="4" spans="1:3" s="37" customFormat="1" ht="24.75" thickBot="1" x14ac:dyDescent="0.25">
      <c r="A4" s="205" t="s">
        <v>151</v>
      </c>
      <c r="B4" s="153" t="s">
        <v>522</v>
      </c>
      <c r="C4" s="309" t="s">
        <v>56</v>
      </c>
    </row>
    <row r="5" spans="1:3" s="212" customFormat="1" ht="15.95" customHeight="1" thickBot="1" x14ac:dyDescent="0.3">
      <c r="A5" s="77"/>
      <c r="B5" s="77"/>
      <c r="C5" s="310" t="s">
        <v>484</v>
      </c>
    </row>
    <row r="6" spans="1:3" ht="13.5" thickBot="1" x14ac:dyDescent="0.25">
      <c r="A6" s="172" t="s">
        <v>153</v>
      </c>
      <c r="B6" s="79" t="s">
        <v>50</v>
      </c>
      <c r="C6" s="311" t="s">
        <v>51</v>
      </c>
    </row>
    <row r="7" spans="1:3" s="32" customFormat="1" ht="12.95" customHeight="1" thickBot="1" x14ac:dyDescent="0.25">
      <c r="A7" s="71" t="s">
        <v>382</v>
      </c>
      <c r="B7" s="72" t="s">
        <v>383</v>
      </c>
      <c r="C7" s="312" t="s">
        <v>384</v>
      </c>
    </row>
    <row r="8" spans="1:3" s="32" customFormat="1" ht="15.95" customHeight="1" thickBot="1" x14ac:dyDescent="0.25">
      <c r="A8" s="81"/>
      <c r="B8" s="82" t="s">
        <v>52</v>
      </c>
      <c r="C8" s="313"/>
    </row>
    <row r="9" spans="1:3" s="38" customFormat="1" ht="12.2" customHeight="1" thickBot="1" x14ac:dyDescent="0.25">
      <c r="A9" s="71" t="s">
        <v>16</v>
      </c>
      <c r="B9" s="84" t="s">
        <v>458</v>
      </c>
      <c r="C9" s="505">
        <f>SUM(C10:C20)</f>
        <v>0</v>
      </c>
    </row>
    <row r="10" spans="1:3" s="38" customFormat="1" ht="12.2" customHeight="1" x14ac:dyDescent="0.2">
      <c r="A10" s="206" t="s">
        <v>85</v>
      </c>
      <c r="B10" s="7" t="s">
        <v>207</v>
      </c>
      <c r="C10" s="506"/>
    </row>
    <row r="11" spans="1:3" s="38" customFormat="1" ht="12.2" customHeight="1" x14ac:dyDescent="0.2">
      <c r="A11" s="207" t="s">
        <v>86</v>
      </c>
      <c r="B11" s="5" t="s">
        <v>208</v>
      </c>
      <c r="C11" s="507"/>
    </row>
    <row r="12" spans="1:3" s="38" customFormat="1" ht="12.2" customHeight="1" x14ac:dyDescent="0.2">
      <c r="A12" s="207" t="s">
        <v>87</v>
      </c>
      <c r="B12" s="5" t="s">
        <v>209</v>
      </c>
      <c r="C12" s="507"/>
    </row>
    <row r="13" spans="1:3" s="38" customFormat="1" ht="12.2" customHeight="1" x14ac:dyDescent="0.2">
      <c r="A13" s="207" t="s">
        <v>88</v>
      </c>
      <c r="B13" s="5" t="s">
        <v>210</v>
      </c>
      <c r="C13" s="507"/>
    </row>
    <row r="14" spans="1:3" s="38" customFormat="1" ht="12.2" customHeight="1" x14ac:dyDescent="0.2">
      <c r="A14" s="207" t="s">
        <v>111</v>
      </c>
      <c r="B14" s="5" t="s">
        <v>211</v>
      </c>
      <c r="C14" s="507"/>
    </row>
    <row r="15" spans="1:3" s="38" customFormat="1" ht="12.2" customHeight="1" x14ac:dyDescent="0.2">
      <c r="A15" s="207" t="s">
        <v>89</v>
      </c>
      <c r="B15" s="5" t="s">
        <v>331</v>
      </c>
      <c r="C15" s="507"/>
    </row>
    <row r="16" spans="1:3" s="38" customFormat="1" ht="12.2" customHeight="1" x14ac:dyDescent="0.2">
      <c r="A16" s="207" t="s">
        <v>90</v>
      </c>
      <c r="B16" s="4" t="s">
        <v>332</v>
      </c>
      <c r="C16" s="507"/>
    </row>
    <row r="17" spans="1:3" s="38" customFormat="1" ht="12.2" customHeight="1" x14ac:dyDescent="0.2">
      <c r="A17" s="207" t="s">
        <v>100</v>
      </c>
      <c r="B17" s="5" t="s">
        <v>214</v>
      </c>
      <c r="C17" s="508"/>
    </row>
    <row r="18" spans="1:3" s="39" customFormat="1" ht="12.2" customHeight="1" x14ac:dyDescent="0.2">
      <c r="A18" s="207" t="s">
        <v>101</v>
      </c>
      <c r="B18" s="5" t="s">
        <v>215</v>
      </c>
      <c r="C18" s="507"/>
    </row>
    <row r="19" spans="1:3" s="39" customFormat="1" ht="12.2" customHeight="1" x14ac:dyDescent="0.2">
      <c r="A19" s="207" t="s">
        <v>102</v>
      </c>
      <c r="B19" s="5" t="s">
        <v>388</v>
      </c>
      <c r="C19" s="509"/>
    </row>
    <row r="20" spans="1:3" s="39" customFormat="1" ht="12.2" customHeight="1" thickBot="1" x14ac:dyDescent="0.25">
      <c r="A20" s="207" t="s">
        <v>103</v>
      </c>
      <c r="B20" s="4" t="s">
        <v>216</v>
      </c>
      <c r="C20" s="509"/>
    </row>
    <row r="21" spans="1:3" s="38" customFormat="1" ht="12.2" customHeight="1" thickBot="1" x14ac:dyDescent="0.25">
      <c r="A21" s="71" t="s">
        <v>17</v>
      </c>
      <c r="B21" s="84" t="s">
        <v>333</v>
      </c>
      <c r="C21" s="505">
        <f>SUM(C22:C24)</f>
        <v>0</v>
      </c>
    </row>
    <row r="22" spans="1:3" s="39" customFormat="1" ht="12.2" customHeight="1" x14ac:dyDescent="0.2">
      <c r="A22" s="207" t="s">
        <v>91</v>
      </c>
      <c r="B22" s="6" t="s">
        <v>185</v>
      </c>
      <c r="C22" s="510"/>
    </row>
    <row r="23" spans="1:3" s="39" customFormat="1" ht="12.2" customHeight="1" x14ac:dyDescent="0.2">
      <c r="A23" s="207" t="s">
        <v>92</v>
      </c>
      <c r="B23" s="5" t="s">
        <v>334</v>
      </c>
      <c r="C23" s="507"/>
    </row>
    <row r="24" spans="1:3" s="39" customFormat="1" ht="12.2" customHeight="1" x14ac:dyDescent="0.2">
      <c r="A24" s="207" t="s">
        <v>93</v>
      </c>
      <c r="B24" s="5" t="s">
        <v>335</v>
      </c>
      <c r="C24" s="511"/>
    </row>
    <row r="25" spans="1:3" s="39" customFormat="1" ht="12.2" customHeight="1" thickBot="1" x14ac:dyDescent="0.25">
      <c r="A25" s="207" t="s">
        <v>94</v>
      </c>
      <c r="B25" s="5" t="s">
        <v>459</v>
      </c>
      <c r="C25" s="507"/>
    </row>
    <row r="26" spans="1:3" s="39" customFormat="1" ht="12.2" customHeight="1" thickBot="1" x14ac:dyDescent="0.25">
      <c r="A26" s="74" t="s">
        <v>18</v>
      </c>
      <c r="B26" s="54" t="s">
        <v>125</v>
      </c>
      <c r="C26" s="512"/>
    </row>
    <row r="27" spans="1:3" s="39" customFormat="1" ht="12.2" customHeight="1" thickBot="1" x14ac:dyDescent="0.25">
      <c r="A27" s="74" t="s">
        <v>19</v>
      </c>
      <c r="B27" s="54" t="s">
        <v>460</v>
      </c>
      <c r="C27" s="505">
        <f>+C28+C29+C30</f>
        <v>0</v>
      </c>
    </row>
    <row r="28" spans="1:3" s="39" customFormat="1" ht="12.2" customHeight="1" x14ac:dyDescent="0.2">
      <c r="A28" s="208" t="s">
        <v>195</v>
      </c>
      <c r="B28" s="209" t="s">
        <v>190</v>
      </c>
      <c r="C28" s="513"/>
    </row>
    <row r="29" spans="1:3" s="39" customFormat="1" ht="12.2" customHeight="1" x14ac:dyDescent="0.2">
      <c r="A29" s="208" t="s">
        <v>198</v>
      </c>
      <c r="B29" s="209" t="s">
        <v>334</v>
      </c>
      <c r="C29" s="510"/>
    </row>
    <row r="30" spans="1:3" s="39" customFormat="1" ht="12.2" customHeight="1" x14ac:dyDescent="0.2">
      <c r="A30" s="208" t="s">
        <v>199</v>
      </c>
      <c r="B30" s="210" t="s">
        <v>336</v>
      </c>
      <c r="C30" s="510"/>
    </row>
    <row r="31" spans="1:3" s="39" customFormat="1" ht="12.2" customHeight="1" thickBot="1" x14ac:dyDescent="0.25">
      <c r="A31" s="207" t="s">
        <v>200</v>
      </c>
      <c r="B31" s="57" t="s">
        <v>461</v>
      </c>
      <c r="C31" s="514"/>
    </row>
    <row r="32" spans="1:3" s="39" customFormat="1" ht="12.2" customHeight="1" thickBot="1" x14ac:dyDescent="0.25">
      <c r="A32" s="74" t="s">
        <v>20</v>
      </c>
      <c r="B32" s="54" t="s">
        <v>337</v>
      </c>
      <c r="C32" s="505">
        <f>+C33+C34+C35</f>
        <v>0</v>
      </c>
    </row>
    <row r="33" spans="1:3" s="39" customFormat="1" ht="12.2" customHeight="1" x14ac:dyDescent="0.2">
      <c r="A33" s="208" t="s">
        <v>78</v>
      </c>
      <c r="B33" s="209" t="s">
        <v>221</v>
      </c>
      <c r="C33" s="513"/>
    </row>
    <row r="34" spans="1:3" s="39" customFormat="1" ht="12.2" customHeight="1" x14ac:dyDescent="0.2">
      <c r="A34" s="208" t="s">
        <v>79</v>
      </c>
      <c r="B34" s="210" t="s">
        <v>222</v>
      </c>
      <c r="C34" s="508"/>
    </row>
    <row r="35" spans="1:3" s="38" customFormat="1" ht="12.2" customHeight="1" thickBot="1" x14ac:dyDescent="0.25">
      <c r="A35" s="207" t="s">
        <v>80</v>
      </c>
      <c r="B35" s="57" t="s">
        <v>223</v>
      </c>
      <c r="C35" s="514"/>
    </row>
    <row r="36" spans="1:3" s="38" customFormat="1" ht="12.2" customHeight="1" thickBot="1" x14ac:dyDescent="0.25">
      <c r="A36" s="74" t="s">
        <v>21</v>
      </c>
      <c r="B36" s="54" t="s">
        <v>309</v>
      </c>
      <c r="C36" s="512"/>
    </row>
    <row r="37" spans="1:3" s="38" customFormat="1" ht="12.2" customHeight="1" thickBot="1" x14ac:dyDescent="0.25">
      <c r="A37" s="74" t="s">
        <v>22</v>
      </c>
      <c r="B37" s="54" t="s">
        <v>338</v>
      </c>
      <c r="C37" s="515"/>
    </row>
    <row r="38" spans="1:3" s="38" customFormat="1" ht="12.2" customHeight="1" thickBot="1" x14ac:dyDescent="0.25">
      <c r="A38" s="71" t="s">
        <v>23</v>
      </c>
      <c r="B38" s="54" t="s">
        <v>339</v>
      </c>
      <c r="C38" s="516">
        <f>+C9+C21+C26+C27+C32+C36+C37</f>
        <v>0</v>
      </c>
    </row>
    <row r="39" spans="1:3" s="38" customFormat="1" ht="12.2" customHeight="1" thickBot="1" x14ac:dyDescent="0.25">
      <c r="A39" s="85" t="s">
        <v>24</v>
      </c>
      <c r="B39" s="54" t="s">
        <v>340</v>
      </c>
      <c r="C39" s="516">
        <f>+C40+C41+C42</f>
        <v>0</v>
      </c>
    </row>
    <row r="40" spans="1:3" s="38" customFormat="1" ht="12.2" customHeight="1" x14ac:dyDescent="0.2">
      <c r="A40" s="208" t="s">
        <v>341</v>
      </c>
      <c r="B40" s="209" t="s">
        <v>166</v>
      </c>
      <c r="C40" s="513"/>
    </row>
    <row r="41" spans="1:3" s="39" customFormat="1" ht="12.2" customHeight="1" x14ac:dyDescent="0.2">
      <c r="A41" s="208" t="s">
        <v>342</v>
      </c>
      <c r="B41" s="210" t="s">
        <v>6</v>
      </c>
      <c r="C41" s="508"/>
    </row>
    <row r="42" spans="1:3" s="39" customFormat="1" ht="15" customHeight="1" thickBot="1" x14ac:dyDescent="0.25">
      <c r="A42" s="207" t="s">
        <v>343</v>
      </c>
      <c r="B42" s="57" t="s">
        <v>344</v>
      </c>
      <c r="C42" s="514"/>
    </row>
    <row r="43" spans="1:3" s="39" customFormat="1" ht="15" customHeight="1" thickBot="1" x14ac:dyDescent="0.25">
      <c r="A43" s="85" t="s">
        <v>25</v>
      </c>
      <c r="B43" s="86" t="s">
        <v>345</v>
      </c>
      <c r="C43" s="517">
        <f>+C38+C39</f>
        <v>0</v>
      </c>
    </row>
    <row r="44" spans="1:3" x14ac:dyDescent="0.2">
      <c r="A44" s="87"/>
      <c r="B44" s="88"/>
      <c r="C44" s="518"/>
    </row>
    <row r="45" spans="1:3" s="32" customFormat="1" ht="16.5" customHeight="1" thickBot="1" x14ac:dyDescent="0.25">
      <c r="A45" s="89"/>
      <c r="B45" s="90"/>
      <c r="C45" s="519"/>
    </row>
    <row r="46" spans="1:3" s="213" customFormat="1" ht="12.2" customHeight="1" thickBot="1" x14ac:dyDescent="0.25">
      <c r="A46" s="91"/>
      <c r="B46" s="92" t="s">
        <v>53</v>
      </c>
      <c r="C46" s="517"/>
    </row>
    <row r="47" spans="1:3" ht="12.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.2" customHeight="1" x14ac:dyDescent="0.2">
      <c r="A48" s="207" t="s">
        <v>85</v>
      </c>
      <c r="B48" s="6" t="s">
        <v>46</v>
      </c>
      <c r="C48" s="34"/>
    </row>
    <row r="49" spans="1:4" ht="12.2" customHeight="1" x14ac:dyDescent="0.2">
      <c r="A49" s="207" t="s">
        <v>86</v>
      </c>
      <c r="B49" s="5" t="s">
        <v>134</v>
      </c>
      <c r="C49" s="36"/>
    </row>
    <row r="50" spans="1:4" ht="12.2" customHeight="1" x14ac:dyDescent="0.2">
      <c r="A50" s="207" t="s">
        <v>87</v>
      </c>
      <c r="B50" s="5" t="s">
        <v>110</v>
      </c>
      <c r="C50" s="507"/>
    </row>
    <row r="51" spans="1:4" ht="12.2" customHeight="1" x14ac:dyDescent="0.2">
      <c r="A51" s="207" t="s">
        <v>88</v>
      </c>
      <c r="B51" s="5" t="s">
        <v>135</v>
      </c>
      <c r="C51" s="507"/>
    </row>
    <row r="52" spans="1:4" ht="12.2" customHeight="1" thickBot="1" x14ac:dyDescent="0.25">
      <c r="A52" s="207" t="s">
        <v>111</v>
      </c>
      <c r="B52" s="5" t="s">
        <v>136</v>
      </c>
      <c r="C52" s="507"/>
    </row>
    <row r="53" spans="1:4" s="213" customFormat="1" ht="12.2" customHeight="1" thickBot="1" x14ac:dyDescent="0.25">
      <c r="A53" s="74" t="s">
        <v>17</v>
      </c>
      <c r="B53" s="54" t="s">
        <v>347</v>
      </c>
      <c r="C53" s="505">
        <f>SUM(C54:C56)</f>
        <v>0</v>
      </c>
    </row>
    <row r="54" spans="1:4" ht="12.2" customHeight="1" x14ac:dyDescent="0.2">
      <c r="A54" s="207" t="s">
        <v>91</v>
      </c>
      <c r="B54" s="6" t="s">
        <v>157</v>
      </c>
      <c r="C54" s="513"/>
    </row>
    <row r="55" spans="1:4" ht="12.2" customHeight="1" x14ac:dyDescent="0.2">
      <c r="A55" s="207" t="s">
        <v>92</v>
      </c>
      <c r="B55" s="5" t="s">
        <v>138</v>
      </c>
      <c r="C55" s="507"/>
    </row>
    <row r="56" spans="1:4" ht="12.2" customHeight="1" x14ac:dyDescent="0.2">
      <c r="A56" s="207" t="s">
        <v>93</v>
      </c>
      <c r="B56" s="5" t="s">
        <v>54</v>
      </c>
      <c r="C56" s="507"/>
    </row>
    <row r="57" spans="1:4" ht="15" customHeight="1" thickBot="1" x14ac:dyDescent="0.25">
      <c r="A57" s="207" t="s">
        <v>94</v>
      </c>
      <c r="B57" s="5" t="s">
        <v>462</v>
      </c>
      <c r="C57" s="507"/>
    </row>
    <row r="58" spans="1:4" ht="13.5" thickBot="1" x14ac:dyDescent="0.25">
      <c r="A58" s="74" t="s">
        <v>18</v>
      </c>
      <c r="B58" s="54" t="s">
        <v>12</v>
      </c>
      <c r="C58" s="512"/>
      <c r="D58" s="31"/>
    </row>
    <row r="59" spans="1:4" ht="15" customHeight="1" thickBot="1" x14ac:dyDescent="0.25">
      <c r="A59" s="74" t="s">
        <v>19</v>
      </c>
      <c r="B59" s="93" t="s">
        <v>463</v>
      </c>
      <c r="C59" s="162">
        <f>+C47+C53+C58</f>
        <v>0</v>
      </c>
    </row>
    <row r="60" spans="1:4" ht="14.25" customHeight="1" thickBot="1" x14ac:dyDescent="0.25">
      <c r="C60" s="521"/>
    </row>
    <row r="61" spans="1:4" ht="13.5" thickBot="1" x14ac:dyDescent="0.25">
      <c r="A61" s="95" t="s">
        <v>456</v>
      </c>
      <c r="B61" s="96"/>
      <c r="C61" s="522">
        <v>0</v>
      </c>
    </row>
    <row r="62" spans="1:4" ht="13.5" thickBot="1" x14ac:dyDescent="0.25">
      <c r="A62" s="1294"/>
      <c r="B62" s="1295"/>
      <c r="C62" s="420"/>
      <c r="D62" s="30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hidden="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1" ht="12.75" customHeight="1" x14ac:dyDescent="0.2">
      <c r="A1" s="1283" t="str">
        <f>CONCATENATE("22. melléklet"," ",ALAPADATOK!A7," ",ALAPADATOK!B7," ",ALAPADATOK!C7," ",ALAPADATOK!D7," ",ALAPADATOK!E7," ",ALAPADATOK!F7," ",ALAPADATOK!G7," ",ALAPADATOK!H7)</f>
        <v>22. melléklet a .. / 2023. ( …... ) önkormányzati rendelethez</v>
      </c>
      <c r="B1" s="1283"/>
      <c r="C1" s="1283"/>
    </row>
    <row r="2" spans="1:11" s="1" customFormat="1" ht="21.2" customHeight="1" x14ac:dyDescent="0.2">
      <c r="A2" s="75"/>
      <c r="B2" s="76"/>
      <c r="C2" s="307"/>
      <c r="E2" s="625"/>
      <c r="F2" s="625"/>
    </row>
    <row r="3" spans="1:11" s="37" customFormat="1" ht="36" customHeight="1" thickBot="1" x14ac:dyDescent="0.25">
      <c r="A3" s="1236" t="s">
        <v>896</v>
      </c>
      <c r="B3" s="1236"/>
      <c r="C3" s="1236"/>
      <c r="E3" s="465"/>
      <c r="F3" s="465"/>
    </row>
    <row r="4" spans="1:11" ht="13.5" thickBot="1" x14ac:dyDescent="0.25">
      <c r="A4" s="172" t="s">
        <v>153</v>
      </c>
      <c r="B4" s="79" t="s">
        <v>50</v>
      </c>
      <c r="C4" s="311" t="s">
        <v>863</v>
      </c>
    </row>
    <row r="5" spans="1:11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1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1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467">
        <f>'32. sz. mell TIB  '!C7+'33. sz. mell TIB'!C9</f>
        <v>2787600</v>
      </c>
      <c r="F7" s="467">
        <f>C7-E7</f>
        <v>0</v>
      </c>
      <c r="K7" s="964"/>
    </row>
    <row r="8" spans="1:11" s="38" customFormat="1" ht="12.2" customHeight="1" x14ac:dyDescent="0.2">
      <c r="A8" s="206" t="s">
        <v>85</v>
      </c>
      <c r="B8" s="7" t="s">
        <v>207</v>
      </c>
      <c r="C8" s="506"/>
      <c r="E8" s="467">
        <f>'32. sz. mell TIB  '!C8+'33. sz. mell TIB'!C10</f>
        <v>0</v>
      </c>
      <c r="F8" s="467">
        <f t="shared" ref="F8:F56" si="0">C8-E8</f>
        <v>0</v>
      </c>
      <c r="K8" s="964"/>
    </row>
    <row r="9" spans="1:11" s="38" customFormat="1" ht="12.2" customHeight="1" x14ac:dyDescent="0.2">
      <c r="A9" s="207" t="s">
        <v>86</v>
      </c>
      <c r="B9" s="5" t="s">
        <v>208</v>
      </c>
      <c r="C9" s="507"/>
      <c r="E9" s="467">
        <f>'32. sz. mell TIB  '!C9+'33. sz. mell TIB'!C11</f>
        <v>0</v>
      </c>
      <c r="F9" s="467">
        <f t="shared" si="0"/>
        <v>0</v>
      </c>
    </row>
    <row r="10" spans="1:11" s="38" customFormat="1" ht="12.2" customHeight="1" x14ac:dyDescent="0.2">
      <c r="A10" s="207" t="s">
        <v>87</v>
      </c>
      <c r="B10" s="5" t="s">
        <v>209</v>
      </c>
      <c r="C10" s="507"/>
      <c r="E10" s="467">
        <f>'32. sz. mell TIB  '!C10+'33. sz. mell TIB'!C12</f>
        <v>0</v>
      </c>
      <c r="F10" s="467">
        <f t="shared" si="0"/>
        <v>0</v>
      </c>
    </row>
    <row r="11" spans="1:11" s="38" customFormat="1" ht="12.2" customHeight="1" x14ac:dyDescent="0.2">
      <c r="A11" s="207" t="s">
        <v>88</v>
      </c>
      <c r="B11" s="5" t="s">
        <v>210</v>
      </c>
      <c r="C11" s="507"/>
      <c r="E11" s="467">
        <f>'32. sz. mell TIB  '!C11+'33. sz. mell TIB'!C13</f>
        <v>0</v>
      </c>
      <c r="F11" s="467">
        <f t="shared" si="0"/>
        <v>0</v>
      </c>
    </row>
    <row r="12" spans="1:11" s="38" customFormat="1" ht="12.2" customHeight="1" x14ac:dyDescent="0.2">
      <c r="A12" s="207" t="s">
        <v>111</v>
      </c>
      <c r="B12" s="5" t="s">
        <v>211</v>
      </c>
      <c r="C12" s="507">
        <v>2787600</v>
      </c>
      <c r="E12" s="467">
        <f>'32. sz. mell TIB  '!C12+'33. sz. mell TIB'!C14</f>
        <v>2787600</v>
      </c>
      <c r="F12" s="467">
        <f t="shared" si="0"/>
        <v>0</v>
      </c>
      <c r="K12" s="964"/>
    </row>
    <row r="13" spans="1:11" s="38" customFormat="1" ht="12.2" customHeight="1" x14ac:dyDescent="0.2">
      <c r="A13" s="207" t="s">
        <v>89</v>
      </c>
      <c r="B13" s="5" t="s">
        <v>331</v>
      </c>
      <c r="C13" s="507"/>
      <c r="E13" s="467">
        <f>'32. sz. mell TIB  '!C13+'33. sz. mell TIB'!C15</f>
        <v>0</v>
      </c>
      <c r="F13" s="467">
        <f t="shared" si="0"/>
        <v>0</v>
      </c>
    </row>
    <row r="14" spans="1:11" s="38" customFormat="1" ht="12.2" customHeight="1" x14ac:dyDescent="0.2">
      <c r="A14" s="207" t="s">
        <v>90</v>
      </c>
      <c r="B14" s="4" t="s">
        <v>332</v>
      </c>
      <c r="C14" s="507"/>
      <c r="E14" s="467">
        <f>'32. sz. mell TIB  '!C14+'33. sz. mell TIB'!C16</f>
        <v>0</v>
      </c>
      <c r="F14" s="467">
        <f t="shared" si="0"/>
        <v>0</v>
      </c>
    </row>
    <row r="15" spans="1:11" s="38" customFormat="1" ht="12.2" customHeight="1" x14ac:dyDescent="0.2">
      <c r="A15" s="207" t="s">
        <v>100</v>
      </c>
      <c r="B15" s="5" t="s">
        <v>214</v>
      </c>
      <c r="C15" s="508"/>
      <c r="E15" s="467">
        <f>'32. sz. mell TIB  '!C15+'33. sz. mell TIB'!C17</f>
        <v>0</v>
      </c>
      <c r="F15" s="467">
        <f t="shared" si="0"/>
        <v>0</v>
      </c>
    </row>
    <row r="16" spans="1:11" s="39" customFormat="1" ht="12.2" customHeight="1" x14ac:dyDescent="0.2">
      <c r="A16" s="207" t="s">
        <v>101</v>
      </c>
      <c r="B16" s="5" t="s">
        <v>215</v>
      </c>
      <c r="C16" s="507"/>
      <c r="E16" s="467">
        <f>'32. sz. mell TIB  '!C16+'33. sz. mell TIB'!C18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'32. sz. mell TIB  '!C17+'33. sz. mell TIB'!C19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/>
      <c r="E18" s="467">
        <f>'32. sz. mell TIB  '!C18+'33. sz. mell TIB'!C20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'32. sz. mell TIB  '!C19+'33. sz. mell TIB'!C21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'32. sz. mell TIB  '!C20+'33. sz. mell TIB'!C22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'32. sz. mell TIB  '!C21+'33. sz. mell TIB'!C23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'32. sz. mell TIB  '!C22+'33. sz. mell TIB'!C24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'32. sz. mell TIB  '!C23+'33. sz. mell TIB'!C25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'32. sz. mell TIB  '!C24+'33. sz. mell TIB'!C26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'32. sz. mell TIB  '!C25+'33. sz. mell TIB'!C27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'32. sz. mell TIB  '!C26+'33. sz. mell TIB'!C28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'32. sz. mell TIB  '!C27+'33. sz. mell TIB'!C30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510"/>
      <c r="E28" s="467">
        <f>'32. sz. mell TIB  '!C28+'33. sz. mell TIB'!C31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'32. sz. mell TIB  '!C29+'33. sz. mell TIB'!C32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'32. sz. mell TIB  '!C30+'33. sz. mell TIB'!C33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'32. sz. mell TIB  '!C31+'33. sz. mell TIB'!C34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'32. sz. mell TIB  '!C32+'33. sz. mell TIB'!C35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'32. sz. mell TIB  '!C33+'33. sz. mell TIB'!C36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1110"/>
      <c r="E34" s="467">
        <f>'32. sz. mell TIB  '!C34+'33. sz. mell TIB'!C37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'32. sz. mell TIB  '!C35+'33. sz. mell TIB'!C38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  <c r="E36" s="467">
        <f>'32. sz. mell TIB  '!C36+'33. sz. mell TIB'!C39</f>
        <v>2787600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650">
        <f>+C38+C39+C40</f>
        <v>180145511</v>
      </c>
      <c r="E37" s="467">
        <f>'32. sz. mell TIB  '!C37+'33. sz. mell TIB'!C40</f>
        <v>180145511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211401</v>
      </c>
      <c r="E38" s="467">
        <f>'32. sz. mell TIB  '!C38+'33. sz. mell TIB'!C41</f>
        <v>211401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'32. sz. mell TIB  '!C39+'33. sz. mell TIB'!C42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49">
        <f>178036966+1897144</f>
        <v>179934110</v>
      </c>
      <c r="E40" s="467">
        <f>'32. sz. mell TIB  '!C40+'33. sz. mell TIB'!C43</f>
        <v>179934110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50">
        <f>+C36+C37</f>
        <v>182933111</v>
      </c>
      <c r="E41" s="467">
        <f>'32. sz. mell TIB  '!C41+'33. sz. mell TIB'!C44</f>
        <v>182933111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'32. sz. mell TIB  '!C42+'33. sz. mell TIB'!C47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124">
        <f>SUM(C44:C48)</f>
        <v>182022325</v>
      </c>
      <c r="E43" s="467">
        <f>'32. sz. mell TIB  '!C43+'33. sz. mell TIB'!C48</f>
        <v>182022325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251">
        <v>126179706</v>
      </c>
      <c r="E44" s="467">
        <f>'32. sz. mell TIB  '!C44+'33. sz. mell TIB'!C49</f>
        <v>126179706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114">
        <v>16396076</v>
      </c>
      <c r="E45" s="467">
        <f>'32. sz. mell TIB  '!C45+'33. sz. mell TIB'!C50</f>
        <v>16396076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114">
        <f>37630889+1815654</f>
        <v>39446543</v>
      </c>
      <c r="E46" s="467">
        <f>'32. sz. mell TIB  '!C46+'33. sz. mell TIB'!C51</f>
        <v>39446543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'32. sz. mell TIB  '!C47+'33. sz. mell TIB'!C52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'32. sz. mell TIB  '!C48+'33. sz. mell TIB'!C53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910786</v>
      </c>
      <c r="E49" s="467">
        <f>'32. sz. mell TIB  '!C49+'33. sz. mell TIB'!C54</f>
        <v>910786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34">
        <f>829296+81490</f>
        <v>910786</v>
      </c>
      <c r="E50" s="467">
        <f>'32. sz. mell TIB  '!C50+'33. sz. mell TIB'!C55</f>
        <v>910786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'32. sz. mell TIB  '!C51+'33. sz. mell TIB'!C56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'32. sz. mell TIB  '!C52+'33. sz. mell TIB'!C57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'32. sz. mell TIB  '!C53+'33. sz. mell TIB'!C58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'32. sz. mell TIB  '!C54+'33. sz. mell TIB'!C59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124">
        <f>+C43+C49+C54</f>
        <v>182933111</v>
      </c>
      <c r="E55" s="467">
        <f>'32. sz. mell TIB  '!C55+'33. sz. mell TIB'!C60</f>
        <v>182933111</v>
      </c>
      <c r="F55" s="467">
        <f t="shared" si="0"/>
        <v>0</v>
      </c>
    </row>
    <row r="56" spans="1:6" ht="13.5" thickBot="1" x14ac:dyDescent="0.25">
      <c r="A56" s="1276" t="s">
        <v>456</v>
      </c>
      <c r="B56" s="1277"/>
      <c r="C56" s="522">
        <v>21</v>
      </c>
      <c r="E56" s="467" t="e">
        <f>'32. sz. mell TIB  '!C56+'33. sz. mell TIB'!#REF!</f>
        <v>#REF!</v>
      </c>
      <c r="F56" s="467" t="e">
        <f t="shared" si="0"/>
        <v>#REF!</v>
      </c>
    </row>
    <row r="57" spans="1:6" x14ac:dyDescent="0.2">
      <c r="E57" s="467"/>
      <c r="F57" s="467"/>
    </row>
    <row r="58" spans="1:6" x14ac:dyDescent="0.2">
      <c r="E58" s="467"/>
      <c r="F58" s="467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83" t="str">
        <f>CONCATENATE("23. melléklet"," ",ALAPADATOK!A7," ",ALAPADATOK!B7," ",ALAPADATOK!C7," ",ALAPADATOK!D7," ",ALAPADATOK!E7," ",ALAPADATOK!F7," ",ALAPADATOK!G7," ",ALAPADATOK!H7)</f>
        <v>23. melléklet a .. / 2023. ( …... ) önkormányzati rendelethez</v>
      </c>
      <c r="B1" s="1283"/>
      <c r="C1" s="1283"/>
    </row>
    <row r="2" spans="1:6" s="1" customFormat="1" ht="21.2" customHeight="1" x14ac:dyDescent="0.2">
      <c r="A2" s="75"/>
      <c r="B2" s="76"/>
      <c r="C2" s="307"/>
    </row>
    <row r="3" spans="1:6" s="37" customFormat="1" ht="36" customHeight="1" thickBot="1" x14ac:dyDescent="0.25">
      <c r="A3" s="1236" t="s">
        <v>897</v>
      </c>
      <c r="B3" s="1236"/>
      <c r="C3" s="1236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6" s="32" customFormat="1" ht="15.95" customHeight="1" thickBot="1" x14ac:dyDescent="0.25">
      <c r="A6" s="81"/>
      <c r="B6" s="82" t="s">
        <v>52</v>
      </c>
      <c r="C6" s="313"/>
      <c r="E6" s="964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964"/>
    </row>
    <row r="8" spans="1:6" s="38" customFormat="1" ht="12.2" customHeight="1" x14ac:dyDescent="0.2">
      <c r="A8" s="206" t="s">
        <v>85</v>
      </c>
      <c r="B8" s="7" t="s">
        <v>207</v>
      </c>
      <c r="C8" s="506"/>
      <c r="F8" s="965"/>
    </row>
    <row r="9" spans="1:6" s="38" customFormat="1" ht="12.2" customHeight="1" x14ac:dyDescent="0.2">
      <c r="A9" s="207" t="s">
        <v>86</v>
      </c>
      <c r="B9" s="5" t="s">
        <v>208</v>
      </c>
      <c r="C9" s="507"/>
    </row>
    <row r="10" spans="1:6" s="38" customFormat="1" ht="12.2" customHeight="1" x14ac:dyDescent="0.2">
      <c r="A10" s="207" t="s">
        <v>87</v>
      </c>
      <c r="B10" s="5" t="s">
        <v>209</v>
      </c>
      <c r="C10" s="507"/>
    </row>
    <row r="11" spans="1:6" s="38" customFormat="1" ht="12.2" customHeight="1" x14ac:dyDescent="0.2">
      <c r="A11" s="207" t="s">
        <v>88</v>
      </c>
      <c r="B11" s="5" t="s">
        <v>210</v>
      </c>
      <c r="C11" s="507"/>
    </row>
    <row r="12" spans="1:6" s="38" customFormat="1" ht="12.2" customHeight="1" x14ac:dyDescent="0.2">
      <c r="A12" s="207" t="s">
        <v>111</v>
      </c>
      <c r="B12" s="5" t="s">
        <v>211</v>
      </c>
      <c r="C12" s="507">
        <v>2787600</v>
      </c>
    </row>
    <row r="13" spans="1:6" s="38" customFormat="1" ht="12.2" customHeight="1" x14ac:dyDescent="0.2">
      <c r="A13" s="207" t="s">
        <v>89</v>
      </c>
      <c r="B13" s="5" t="s">
        <v>331</v>
      </c>
      <c r="C13" s="507"/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10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180145511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211401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f>178036966+1897144</f>
        <v>179934110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182933111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124">
        <f>SUM(C44:C48)</f>
        <v>182022325</v>
      </c>
    </row>
    <row r="44" spans="1:3" ht="12.2" customHeight="1" x14ac:dyDescent="0.2">
      <c r="A44" s="207" t="s">
        <v>85</v>
      </c>
      <c r="B44" s="6" t="s">
        <v>46</v>
      </c>
      <c r="C44" s="251">
        <v>126179706</v>
      </c>
    </row>
    <row r="45" spans="1:3" ht="12.2" customHeight="1" x14ac:dyDescent="0.2">
      <c r="A45" s="207" t="s">
        <v>86</v>
      </c>
      <c r="B45" s="5" t="s">
        <v>134</v>
      </c>
      <c r="C45" s="114">
        <v>16396076</v>
      </c>
    </row>
    <row r="46" spans="1:3" ht="12.2" customHeight="1" x14ac:dyDescent="0.2">
      <c r="A46" s="207" t="s">
        <v>87</v>
      </c>
      <c r="B46" s="5" t="s">
        <v>110</v>
      </c>
      <c r="C46" s="114">
        <f>37630889+1815654</f>
        <v>39446543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910786</v>
      </c>
    </row>
    <row r="50" spans="1:3" ht="12.2" customHeight="1" x14ac:dyDescent="0.2">
      <c r="A50" s="207" t="s">
        <v>91</v>
      </c>
      <c r="B50" s="6" t="s">
        <v>157</v>
      </c>
      <c r="C50" s="34">
        <f>829296+81490</f>
        <v>910786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182933111</v>
      </c>
    </row>
    <row r="56" spans="1:3" ht="13.5" thickBot="1" x14ac:dyDescent="0.25">
      <c r="A56" s="1276" t="s">
        <v>456</v>
      </c>
      <c r="B56" s="1277"/>
      <c r="C56" s="969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C3" sqref="C3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283" t="str">
        <f>CONCATENATE("33. melléklet"," ",ALAPADATOK!A7," ",ALAPADATOK!B7," ",ALAPADATOK!C7," ",ALAPADATOK!D7," ",ALAPADATOK!E7," ",ALAPADATOK!F7," ",ALAPADATOK!G7," ",ALAPADATOK!H7)</f>
        <v>33. melléklet a .. / 2023. ( …... ) önkormányzati rendelethez</v>
      </c>
      <c r="B1" s="1283"/>
      <c r="C1" s="1283"/>
    </row>
    <row r="2" spans="1:3" ht="16.5" thickBot="1" x14ac:dyDescent="0.25">
      <c r="A2" s="75"/>
      <c r="B2" s="76"/>
      <c r="C2" s="211" t="s">
        <v>1044</v>
      </c>
    </row>
    <row r="3" spans="1:3" ht="36" x14ac:dyDescent="0.2">
      <c r="A3" s="171" t="s">
        <v>152</v>
      </c>
      <c r="B3" s="152" t="s">
        <v>468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484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382</v>
      </c>
      <c r="B7" s="72" t="s">
        <v>383</v>
      </c>
      <c r="C7" s="73" t="s">
        <v>384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458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832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388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464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465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13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466</v>
      </c>
      <c r="C31" s="649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49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467</v>
      </c>
      <c r="C38" s="650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50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49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462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463</v>
      </c>
      <c r="C59" s="162">
        <f>+C47+C53+C58</f>
        <v>0</v>
      </c>
    </row>
    <row r="60" spans="1:3" ht="13.5" thickBot="1" x14ac:dyDescent="0.25">
      <c r="A60" s="94"/>
      <c r="B60" s="301"/>
      <c r="C60" s="163"/>
    </row>
    <row r="61" spans="1:3" ht="13.5" thickBot="1" x14ac:dyDescent="0.25">
      <c r="A61" s="95" t="s">
        <v>456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A2" sqref="A2"/>
    </sheetView>
  </sheetViews>
  <sheetFormatPr defaultColWidth="12.5" defaultRowHeight="12.75" x14ac:dyDescent="0.2"/>
  <cols>
    <col min="1" max="1" width="35.83203125" style="554" customWidth="1"/>
    <col min="2" max="3" width="12.33203125" style="554" customWidth="1"/>
    <col min="4" max="4" width="12.33203125" style="564" customWidth="1"/>
    <col min="5" max="10" width="12.33203125" style="554" customWidth="1"/>
    <col min="11" max="11" width="12.33203125" style="564" customWidth="1"/>
    <col min="12" max="254" width="12.5" style="284"/>
    <col min="255" max="255" width="34" style="284" bestFit="1" customWidth="1"/>
    <col min="256" max="256" width="13" style="284" bestFit="1" customWidth="1"/>
    <col min="257" max="258" width="14.83203125" style="284" bestFit="1" customWidth="1"/>
    <col min="259" max="259" width="13.1640625" style="284" customWidth="1"/>
    <col min="260" max="261" width="13" style="284" bestFit="1" customWidth="1"/>
    <col min="262" max="262" width="12.83203125" style="284" customWidth="1"/>
    <col min="263" max="263" width="11.83203125" style="284" bestFit="1" customWidth="1"/>
    <col min="264" max="264" width="14.83203125" style="284" bestFit="1" customWidth="1"/>
    <col min="265" max="510" width="12.5" style="284"/>
    <col min="511" max="511" width="34" style="284" bestFit="1" customWidth="1"/>
    <col min="512" max="512" width="13" style="284" bestFit="1" customWidth="1"/>
    <col min="513" max="514" width="14.83203125" style="284" bestFit="1" customWidth="1"/>
    <col min="515" max="515" width="13.1640625" style="284" customWidth="1"/>
    <col min="516" max="517" width="13" style="284" bestFit="1" customWidth="1"/>
    <col min="518" max="518" width="12.83203125" style="284" customWidth="1"/>
    <col min="519" max="519" width="11.83203125" style="284" bestFit="1" customWidth="1"/>
    <col min="520" max="520" width="14.83203125" style="284" bestFit="1" customWidth="1"/>
    <col min="521" max="766" width="12.5" style="284"/>
    <col min="767" max="767" width="34" style="284" bestFit="1" customWidth="1"/>
    <col min="768" max="768" width="13" style="284" bestFit="1" customWidth="1"/>
    <col min="769" max="770" width="14.83203125" style="284" bestFit="1" customWidth="1"/>
    <col min="771" max="771" width="13.1640625" style="284" customWidth="1"/>
    <col min="772" max="773" width="13" style="284" bestFit="1" customWidth="1"/>
    <col min="774" max="774" width="12.83203125" style="284" customWidth="1"/>
    <col min="775" max="775" width="11.83203125" style="284" bestFit="1" customWidth="1"/>
    <col min="776" max="776" width="14.83203125" style="284" bestFit="1" customWidth="1"/>
    <col min="777" max="1022" width="12.5" style="284"/>
    <col min="1023" max="1023" width="34" style="284" bestFit="1" customWidth="1"/>
    <col min="1024" max="1024" width="13" style="284" bestFit="1" customWidth="1"/>
    <col min="1025" max="1026" width="14.83203125" style="284" bestFit="1" customWidth="1"/>
    <col min="1027" max="1027" width="13.1640625" style="284" customWidth="1"/>
    <col min="1028" max="1029" width="13" style="284" bestFit="1" customWidth="1"/>
    <col min="1030" max="1030" width="12.83203125" style="284" customWidth="1"/>
    <col min="1031" max="1031" width="11.83203125" style="284" bestFit="1" customWidth="1"/>
    <col min="1032" max="1032" width="14.83203125" style="284" bestFit="1" customWidth="1"/>
    <col min="1033" max="1278" width="12.5" style="284"/>
    <col min="1279" max="1279" width="34" style="284" bestFit="1" customWidth="1"/>
    <col min="1280" max="1280" width="13" style="284" bestFit="1" customWidth="1"/>
    <col min="1281" max="1282" width="14.83203125" style="284" bestFit="1" customWidth="1"/>
    <col min="1283" max="1283" width="13.1640625" style="284" customWidth="1"/>
    <col min="1284" max="1285" width="13" style="284" bestFit="1" customWidth="1"/>
    <col min="1286" max="1286" width="12.83203125" style="284" customWidth="1"/>
    <col min="1287" max="1287" width="11.83203125" style="284" bestFit="1" customWidth="1"/>
    <col min="1288" max="1288" width="14.83203125" style="284" bestFit="1" customWidth="1"/>
    <col min="1289" max="1534" width="12.5" style="284"/>
    <col min="1535" max="1535" width="34" style="284" bestFit="1" customWidth="1"/>
    <col min="1536" max="1536" width="13" style="284" bestFit="1" customWidth="1"/>
    <col min="1537" max="1538" width="14.83203125" style="284" bestFit="1" customWidth="1"/>
    <col min="1539" max="1539" width="13.1640625" style="284" customWidth="1"/>
    <col min="1540" max="1541" width="13" style="284" bestFit="1" customWidth="1"/>
    <col min="1542" max="1542" width="12.83203125" style="284" customWidth="1"/>
    <col min="1543" max="1543" width="11.83203125" style="284" bestFit="1" customWidth="1"/>
    <col min="1544" max="1544" width="14.83203125" style="284" bestFit="1" customWidth="1"/>
    <col min="1545" max="1790" width="12.5" style="284"/>
    <col min="1791" max="1791" width="34" style="284" bestFit="1" customWidth="1"/>
    <col min="1792" max="1792" width="13" style="284" bestFit="1" customWidth="1"/>
    <col min="1793" max="1794" width="14.83203125" style="284" bestFit="1" customWidth="1"/>
    <col min="1795" max="1795" width="13.1640625" style="284" customWidth="1"/>
    <col min="1796" max="1797" width="13" style="284" bestFit="1" customWidth="1"/>
    <col min="1798" max="1798" width="12.83203125" style="284" customWidth="1"/>
    <col min="1799" max="1799" width="11.83203125" style="284" bestFit="1" customWidth="1"/>
    <col min="1800" max="1800" width="14.83203125" style="284" bestFit="1" customWidth="1"/>
    <col min="1801" max="2046" width="12.5" style="284"/>
    <col min="2047" max="2047" width="34" style="284" bestFit="1" customWidth="1"/>
    <col min="2048" max="2048" width="13" style="284" bestFit="1" customWidth="1"/>
    <col min="2049" max="2050" width="14.83203125" style="284" bestFit="1" customWidth="1"/>
    <col min="2051" max="2051" width="13.1640625" style="284" customWidth="1"/>
    <col min="2052" max="2053" width="13" style="284" bestFit="1" customWidth="1"/>
    <col min="2054" max="2054" width="12.83203125" style="284" customWidth="1"/>
    <col min="2055" max="2055" width="11.83203125" style="284" bestFit="1" customWidth="1"/>
    <col min="2056" max="2056" width="14.83203125" style="284" bestFit="1" customWidth="1"/>
    <col min="2057" max="2302" width="12.5" style="284"/>
    <col min="2303" max="2303" width="34" style="284" bestFit="1" customWidth="1"/>
    <col min="2304" max="2304" width="13" style="284" bestFit="1" customWidth="1"/>
    <col min="2305" max="2306" width="14.83203125" style="284" bestFit="1" customWidth="1"/>
    <col min="2307" max="2307" width="13.1640625" style="284" customWidth="1"/>
    <col min="2308" max="2309" width="13" style="284" bestFit="1" customWidth="1"/>
    <col min="2310" max="2310" width="12.83203125" style="284" customWidth="1"/>
    <col min="2311" max="2311" width="11.83203125" style="284" bestFit="1" customWidth="1"/>
    <col min="2312" max="2312" width="14.83203125" style="284" bestFit="1" customWidth="1"/>
    <col min="2313" max="2558" width="12.5" style="284"/>
    <col min="2559" max="2559" width="34" style="284" bestFit="1" customWidth="1"/>
    <col min="2560" max="2560" width="13" style="284" bestFit="1" customWidth="1"/>
    <col min="2561" max="2562" width="14.83203125" style="284" bestFit="1" customWidth="1"/>
    <col min="2563" max="2563" width="13.1640625" style="284" customWidth="1"/>
    <col min="2564" max="2565" width="13" style="284" bestFit="1" customWidth="1"/>
    <col min="2566" max="2566" width="12.83203125" style="284" customWidth="1"/>
    <col min="2567" max="2567" width="11.83203125" style="284" bestFit="1" customWidth="1"/>
    <col min="2568" max="2568" width="14.83203125" style="284" bestFit="1" customWidth="1"/>
    <col min="2569" max="2814" width="12.5" style="284"/>
    <col min="2815" max="2815" width="34" style="284" bestFit="1" customWidth="1"/>
    <col min="2816" max="2816" width="13" style="284" bestFit="1" customWidth="1"/>
    <col min="2817" max="2818" width="14.83203125" style="284" bestFit="1" customWidth="1"/>
    <col min="2819" max="2819" width="13.1640625" style="284" customWidth="1"/>
    <col min="2820" max="2821" width="13" style="284" bestFit="1" customWidth="1"/>
    <col min="2822" max="2822" width="12.83203125" style="284" customWidth="1"/>
    <col min="2823" max="2823" width="11.83203125" style="284" bestFit="1" customWidth="1"/>
    <col min="2824" max="2824" width="14.83203125" style="284" bestFit="1" customWidth="1"/>
    <col min="2825" max="3070" width="12.5" style="284"/>
    <col min="3071" max="3071" width="34" style="284" bestFit="1" customWidth="1"/>
    <col min="3072" max="3072" width="13" style="284" bestFit="1" customWidth="1"/>
    <col min="3073" max="3074" width="14.83203125" style="284" bestFit="1" customWidth="1"/>
    <col min="3075" max="3075" width="13.1640625" style="284" customWidth="1"/>
    <col min="3076" max="3077" width="13" style="284" bestFit="1" customWidth="1"/>
    <col min="3078" max="3078" width="12.83203125" style="284" customWidth="1"/>
    <col min="3079" max="3079" width="11.83203125" style="284" bestFit="1" customWidth="1"/>
    <col min="3080" max="3080" width="14.83203125" style="284" bestFit="1" customWidth="1"/>
    <col min="3081" max="3326" width="12.5" style="284"/>
    <col min="3327" max="3327" width="34" style="284" bestFit="1" customWidth="1"/>
    <col min="3328" max="3328" width="13" style="284" bestFit="1" customWidth="1"/>
    <col min="3329" max="3330" width="14.83203125" style="284" bestFit="1" customWidth="1"/>
    <col min="3331" max="3331" width="13.1640625" style="284" customWidth="1"/>
    <col min="3332" max="3333" width="13" style="284" bestFit="1" customWidth="1"/>
    <col min="3334" max="3334" width="12.83203125" style="284" customWidth="1"/>
    <col min="3335" max="3335" width="11.83203125" style="284" bestFit="1" customWidth="1"/>
    <col min="3336" max="3336" width="14.83203125" style="284" bestFit="1" customWidth="1"/>
    <col min="3337" max="3582" width="12.5" style="284"/>
    <col min="3583" max="3583" width="34" style="284" bestFit="1" customWidth="1"/>
    <col min="3584" max="3584" width="13" style="284" bestFit="1" customWidth="1"/>
    <col min="3585" max="3586" width="14.83203125" style="284" bestFit="1" customWidth="1"/>
    <col min="3587" max="3587" width="13.1640625" style="284" customWidth="1"/>
    <col min="3588" max="3589" width="13" style="284" bestFit="1" customWidth="1"/>
    <col min="3590" max="3590" width="12.83203125" style="284" customWidth="1"/>
    <col min="3591" max="3591" width="11.83203125" style="284" bestFit="1" customWidth="1"/>
    <col min="3592" max="3592" width="14.83203125" style="284" bestFit="1" customWidth="1"/>
    <col min="3593" max="3838" width="12.5" style="284"/>
    <col min="3839" max="3839" width="34" style="284" bestFit="1" customWidth="1"/>
    <col min="3840" max="3840" width="13" style="284" bestFit="1" customWidth="1"/>
    <col min="3841" max="3842" width="14.83203125" style="284" bestFit="1" customWidth="1"/>
    <col min="3843" max="3843" width="13.1640625" style="284" customWidth="1"/>
    <col min="3844" max="3845" width="13" style="284" bestFit="1" customWidth="1"/>
    <col min="3846" max="3846" width="12.83203125" style="284" customWidth="1"/>
    <col min="3847" max="3847" width="11.83203125" style="284" bestFit="1" customWidth="1"/>
    <col min="3848" max="3848" width="14.83203125" style="284" bestFit="1" customWidth="1"/>
    <col min="3849" max="4094" width="12.5" style="284"/>
    <col min="4095" max="4095" width="34" style="284" bestFit="1" customWidth="1"/>
    <col min="4096" max="4096" width="13" style="284" bestFit="1" customWidth="1"/>
    <col min="4097" max="4098" width="14.83203125" style="284" bestFit="1" customWidth="1"/>
    <col min="4099" max="4099" width="13.1640625" style="284" customWidth="1"/>
    <col min="4100" max="4101" width="13" style="284" bestFit="1" customWidth="1"/>
    <col min="4102" max="4102" width="12.83203125" style="284" customWidth="1"/>
    <col min="4103" max="4103" width="11.83203125" style="284" bestFit="1" customWidth="1"/>
    <col min="4104" max="4104" width="14.83203125" style="284" bestFit="1" customWidth="1"/>
    <col min="4105" max="4350" width="12.5" style="284"/>
    <col min="4351" max="4351" width="34" style="284" bestFit="1" customWidth="1"/>
    <col min="4352" max="4352" width="13" style="284" bestFit="1" customWidth="1"/>
    <col min="4353" max="4354" width="14.83203125" style="284" bestFit="1" customWidth="1"/>
    <col min="4355" max="4355" width="13.1640625" style="284" customWidth="1"/>
    <col min="4356" max="4357" width="13" style="284" bestFit="1" customWidth="1"/>
    <col min="4358" max="4358" width="12.83203125" style="284" customWidth="1"/>
    <col min="4359" max="4359" width="11.83203125" style="284" bestFit="1" customWidth="1"/>
    <col min="4360" max="4360" width="14.83203125" style="284" bestFit="1" customWidth="1"/>
    <col min="4361" max="4606" width="12.5" style="284"/>
    <col min="4607" max="4607" width="34" style="284" bestFit="1" customWidth="1"/>
    <col min="4608" max="4608" width="13" style="284" bestFit="1" customWidth="1"/>
    <col min="4609" max="4610" width="14.83203125" style="284" bestFit="1" customWidth="1"/>
    <col min="4611" max="4611" width="13.1640625" style="284" customWidth="1"/>
    <col min="4612" max="4613" width="13" style="284" bestFit="1" customWidth="1"/>
    <col min="4614" max="4614" width="12.83203125" style="284" customWidth="1"/>
    <col min="4615" max="4615" width="11.83203125" style="284" bestFit="1" customWidth="1"/>
    <col min="4616" max="4616" width="14.83203125" style="284" bestFit="1" customWidth="1"/>
    <col min="4617" max="4862" width="12.5" style="284"/>
    <col min="4863" max="4863" width="34" style="284" bestFit="1" customWidth="1"/>
    <col min="4864" max="4864" width="13" style="284" bestFit="1" customWidth="1"/>
    <col min="4865" max="4866" width="14.83203125" style="284" bestFit="1" customWidth="1"/>
    <col min="4867" max="4867" width="13.1640625" style="284" customWidth="1"/>
    <col min="4868" max="4869" width="13" style="284" bestFit="1" customWidth="1"/>
    <col min="4870" max="4870" width="12.83203125" style="284" customWidth="1"/>
    <col min="4871" max="4871" width="11.83203125" style="284" bestFit="1" customWidth="1"/>
    <col min="4872" max="4872" width="14.83203125" style="284" bestFit="1" customWidth="1"/>
    <col min="4873" max="5118" width="12.5" style="284"/>
    <col min="5119" max="5119" width="34" style="284" bestFit="1" customWidth="1"/>
    <col min="5120" max="5120" width="13" style="284" bestFit="1" customWidth="1"/>
    <col min="5121" max="5122" width="14.83203125" style="284" bestFit="1" customWidth="1"/>
    <col min="5123" max="5123" width="13.1640625" style="284" customWidth="1"/>
    <col min="5124" max="5125" width="13" style="284" bestFit="1" customWidth="1"/>
    <col min="5126" max="5126" width="12.83203125" style="284" customWidth="1"/>
    <col min="5127" max="5127" width="11.83203125" style="284" bestFit="1" customWidth="1"/>
    <col min="5128" max="5128" width="14.83203125" style="284" bestFit="1" customWidth="1"/>
    <col min="5129" max="5374" width="12.5" style="284"/>
    <col min="5375" max="5375" width="34" style="284" bestFit="1" customWidth="1"/>
    <col min="5376" max="5376" width="13" style="284" bestFit="1" customWidth="1"/>
    <col min="5377" max="5378" width="14.83203125" style="284" bestFit="1" customWidth="1"/>
    <col min="5379" max="5379" width="13.1640625" style="284" customWidth="1"/>
    <col min="5380" max="5381" width="13" style="284" bestFit="1" customWidth="1"/>
    <col min="5382" max="5382" width="12.83203125" style="284" customWidth="1"/>
    <col min="5383" max="5383" width="11.83203125" style="284" bestFit="1" customWidth="1"/>
    <col min="5384" max="5384" width="14.83203125" style="284" bestFit="1" customWidth="1"/>
    <col min="5385" max="5630" width="12.5" style="284"/>
    <col min="5631" max="5631" width="34" style="284" bestFit="1" customWidth="1"/>
    <col min="5632" max="5632" width="13" style="284" bestFit="1" customWidth="1"/>
    <col min="5633" max="5634" width="14.83203125" style="284" bestFit="1" customWidth="1"/>
    <col min="5635" max="5635" width="13.1640625" style="284" customWidth="1"/>
    <col min="5636" max="5637" width="13" style="284" bestFit="1" customWidth="1"/>
    <col min="5638" max="5638" width="12.83203125" style="284" customWidth="1"/>
    <col min="5639" max="5639" width="11.83203125" style="284" bestFit="1" customWidth="1"/>
    <col min="5640" max="5640" width="14.83203125" style="284" bestFit="1" customWidth="1"/>
    <col min="5641" max="5886" width="12.5" style="284"/>
    <col min="5887" max="5887" width="34" style="284" bestFit="1" customWidth="1"/>
    <col min="5888" max="5888" width="13" style="284" bestFit="1" customWidth="1"/>
    <col min="5889" max="5890" width="14.83203125" style="284" bestFit="1" customWidth="1"/>
    <col min="5891" max="5891" width="13.1640625" style="284" customWidth="1"/>
    <col min="5892" max="5893" width="13" style="284" bestFit="1" customWidth="1"/>
    <col min="5894" max="5894" width="12.83203125" style="284" customWidth="1"/>
    <col min="5895" max="5895" width="11.83203125" style="284" bestFit="1" customWidth="1"/>
    <col min="5896" max="5896" width="14.83203125" style="284" bestFit="1" customWidth="1"/>
    <col min="5897" max="6142" width="12.5" style="284"/>
    <col min="6143" max="6143" width="34" style="284" bestFit="1" customWidth="1"/>
    <col min="6144" max="6144" width="13" style="284" bestFit="1" customWidth="1"/>
    <col min="6145" max="6146" width="14.83203125" style="284" bestFit="1" customWidth="1"/>
    <col min="6147" max="6147" width="13.1640625" style="284" customWidth="1"/>
    <col min="6148" max="6149" width="13" style="284" bestFit="1" customWidth="1"/>
    <col min="6150" max="6150" width="12.83203125" style="284" customWidth="1"/>
    <col min="6151" max="6151" width="11.83203125" style="284" bestFit="1" customWidth="1"/>
    <col min="6152" max="6152" width="14.83203125" style="284" bestFit="1" customWidth="1"/>
    <col min="6153" max="6398" width="12.5" style="284"/>
    <col min="6399" max="6399" width="34" style="284" bestFit="1" customWidth="1"/>
    <col min="6400" max="6400" width="13" style="284" bestFit="1" customWidth="1"/>
    <col min="6401" max="6402" width="14.83203125" style="284" bestFit="1" customWidth="1"/>
    <col min="6403" max="6403" width="13.1640625" style="284" customWidth="1"/>
    <col min="6404" max="6405" width="13" style="284" bestFit="1" customWidth="1"/>
    <col min="6406" max="6406" width="12.83203125" style="284" customWidth="1"/>
    <col min="6407" max="6407" width="11.83203125" style="284" bestFit="1" customWidth="1"/>
    <col min="6408" max="6408" width="14.83203125" style="284" bestFit="1" customWidth="1"/>
    <col min="6409" max="6654" width="12.5" style="284"/>
    <col min="6655" max="6655" width="34" style="284" bestFit="1" customWidth="1"/>
    <col min="6656" max="6656" width="13" style="284" bestFit="1" customWidth="1"/>
    <col min="6657" max="6658" width="14.83203125" style="284" bestFit="1" customWidth="1"/>
    <col min="6659" max="6659" width="13.1640625" style="284" customWidth="1"/>
    <col min="6660" max="6661" width="13" style="284" bestFit="1" customWidth="1"/>
    <col min="6662" max="6662" width="12.83203125" style="284" customWidth="1"/>
    <col min="6663" max="6663" width="11.83203125" style="284" bestFit="1" customWidth="1"/>
    <col min="6664" max="6664" width="14.83203125" style="284" bestFit="1" customWidth="1"/>
    <col min="6665" max="6910" width="12.5" style="284"/>
    <col min="6911" max="6911" width="34" style="284" bestFit="1" customWidth="1"/>
    <col min="6912" max="6912" width="13" style="284" bestFit="1" customWidth="1"/>
    <col min="6913" max="6914" width="14.83203125" style="284" bestFit="1" customWidth="1"/>
    <col min="6915" max="6915" width="13.1640625" style="284" customWidth="1"/>
    <col min="6916" max="6917" width="13" style="284" bestFit="1" customWidth="1"/>
    <col min="6918" max="6918" width="12.83203125" style="284" customWidth="1"/>
    <col min="6919" max="6919" width="11.83203125" style="284" bestFit="1" customWidth="1"/>
    <col min="6920" max="6920" width="14.83203125" style="284" bestFit="1" customWidth="1"/>
    <col min="6921" max="7166" width="12.5" style="284"/>
    <col min="7167" max="7167" width="34" style="284" bestFit="1" customWidth="1"/>
    <col min="7168" max="7168" width="13" style="284" bestFit="1" customWidth="1"/>
    <col min="7169" max="7170" width="14.83203125" style="284" bestFit="1" customWidth="1"/>
    <col min="7171" max="7171" width="13.1640625" style="284" customWidth="1"/>
    <col min="7172" max="7173" width="13" style="284" bestFit="1" customWidth="1"/>
    <col min="7174" max="7174" width="12.83203125" style="284" customWidth="1"/>
    <col min="7175" max="7175" width="11.83203125" style="284" bestFit="1" customWidth="1"/>
    <col min="7176" max="7176" width="14.83203125" style="284" bestFit="1" customWidth="1"/>
    <col min="7177" max="7422" width="12.5" style="284"/>
    <col min="7423" max="7423" width="34" style="284" bestFit="1" customWidth="1"/>
    <col min="7424" max="7424" width="13" style="284" bestFit="1" customWidth="1"/>
    <col min="7425" max="7426" width="14.83203125" style="284" bestFit="1" customWidth="1"/>
    <col min="7427" max="7427" width="13.1640625" style="284" customWidth="1"/>
    <col min="7428" max="7429" width="13" style="284" bestFit="1" customWidth="1"/>
    <col min="7430" max="7430" width="12.83203125" style="284" customWidth="1"/>
    <col min="7431" max="7431" width="11.83203125" style="284" bestFit="1" customWidth="1"/>
    <col min="7432" max="7432" width="14.83203125" style="284" bestFit="1" customWidth="1"/>
    <col min="7433" max="7678" width="12.5" style="284"/>
    <col min="7679" max="7679" width="34" style="284" bestFit="1" customWidth="1"/>
    <col min="7680" max="7680" width="13" style="284" bestFit="1" customWidth="1"/>
    <col min="7681" max="7682" width="14.83203125" style="284" bestFit="1" customWidth="1"/>
    <col min="7683" max="7683" width="13.1640625" style="284" customWidth="1"/>
    <col min="7684" max="7685" width="13" style="284" bestFit="1" customWidth="1"/>
    <col min="7686" max="7686" width="12.83203125" style="284" customWidth="1"/>
    <col min="7687" max="7687" width="11.83203125" style="284" bestFit="1" customWidth="1"/>
    <col min="7688" max="7688" width="14.83203125" style="284" bestFit="1" customWidth="1"/>
    <col min="7689" max="7934" width="12.5" style="284"/>
    <col min="7935" max="7935" width="34" style="284" bestFit="1" customWidth="1"/>
    <col min="7936" max="7936" width="13" style="284" bestFit="1" customWidth="1"/>
    <col min="7937" max="7938" width="14.83203125" style="284" bestFit="1" customWidth="1"/>
    <col min="7939" max="7939" width="13.1640625" style="284" customWidth="1"/>
    <col min="7940" max="7941" width="13" style="284" bestFit="1" customWidth="1"/>
    <col min="7942" max="7942" width="12.83203125" style="284" customWidth="1"/>
    <col min="7943" max="7943" width="11.83203125" style="284" bestFit="1" customWidth="1"/>
    <col min="7944" max="7944" width="14.83203125" style="284" bestFit="1" customWidth="1"/>
    <col min="7945" max="8190" width="12.5" style="284"/>
    <col min="8191" max="8191" width="34" style="284" bestFit="1" customWidth="1"/>
    <col min="8192" max="8192" width="13" style="284" bestFit="1" customWidth="1"/>
    <col min="8193" max="8194" width="14.83203125" style="284" bestFit="1" customWidth="1"/>
    <col min="8195" max="8195" width="13.1640625" style="284" customWidth="1"/>
    <col min="8196" max="8197" width="13" style="284" bestFit="1" customWidth="1"/>
    <col min="8198" max="8198" width="12.83203125" style="284" customWidth="1"/>
    <col min="8199" max="8199" width="11.83203125" style="284" bestFit="1" customWidth="1"/>
    <col min="8200" max="8200" width="14.83203125" style="284" bestFit="1" customWidth="1"/>
    <col min="8201" max="8446" width="12.5" style="284"/>
    <col min="8447" max="8447" width="34" style="284" bestFit="1" customWidth="1"/>
    <col min="8448" max="8448" width="13" style="284" bestFit="1" customWidth="1"/>
    <col min="8449" max="8450" width="14.83203125" style="284" bestFit="1" customWidth="1"/>
    <col min="8451" max="8451" width="13.1640625" style="284" customWidth="1"/>
    <col min="8452" max="8453" width="13" style="284" bestFit="1" customWidth="1"/>
    <col min="8454" max="8454" width="12.83203125" style="284" customWidth="1"/>
    <col min="8455" max="8455" width="11.83203125" style="284" bestFit="1" customWidth="1"/>
    <col min="8456" max="8456" width="14.83203125" style="284" bestFit="1" customWidth="1"/>
    <col min="8457" max="8702" width="12.5" style="284"/>
    <col min="8703" max="8703" width="34" style="284" bestFit="1" customWidth="1"/>
    <col min="8704" max="8704" width="13" style="284" bestFit="1" customWidth="1"/>
    <col min="8705" max="8706" width="14.83203125" style="284" bestFit="1" customWidth="1"/>
    <col min="8707" max="8707" width="13.1640625" style="284" customWidth="1"/>
    <col min="8708" max="8709" width="13" style="284" bestFit="1" customWidth="1"/>
    <col min="8710" max="8710" width="12.83203125" style="284" customWidth="1"/>
    <col min="8711" max="8711" width="11.83203125" style="284" bestFit="1" customWidth="1"/>
    <col min="8712" max="8712" width="14.83203125" style="284" bestFit="1" customWidth="1"/>
    <col min="8713" max="8958" width="12.5" style="284"/>
    <col min="8959" max="8959" width="34" style="284" bestFit="1" customWidth="1"/>
    <col min="8960" max="8960" width="13" style="284" bestFit="1" customWidth="1"/>
    <col min="8961" max="8962" width="14.83203125" style="284" bestFit="1" customWidth="1"/>
    <col min="8963" max="8963" width="13.1640625" style="284" customWidth="1"/>
    <col min="8964" max="8965" width="13" style="284" bestFit="1" customWidth="1"/>
    <col min="8966" max="8966" width="12.83203125" style="284" customWidth="1"/>
    <col min="8967" max="8967" width="11.83203125" style="284" bestFit="1" customWidth="1"/>
    <col min="8968" max="8968" width="14.83203125" style="284" bestFit="1" customWidth="1"/>
    <col min="8969" max="9214" width="12.5" style="284"/>
    <col min="9215" max="9215" width="34" style="284" bestFit="1" customWidth="1"/>
    <col min="9216" max="9216" width="13" style="284" bestFit="1" customWidth="1"/>
    <col min="9217" max="9218" width="14.83203125" style="284" bestFit="1" customWidth="1"/>
    <col min="9219" max="9219" width="13.1640625" style="284" customWidth="1"/>
    <col min="9220" max="9221" width="13" style="284" bestFit="1" customWidth="1"/>
    <col min="9222" max="9222" width="12.83203125" style="284" customWidth="1"/>
    <col min="9223" max="9223" width="11.83203125" style="284" bestFit="1" customWidth="1"/>
    <col min="9224" max="9224" width="14.83203125" style="284" bestFit="1" customWidth="1"/>
    <col min="9225" max="9470" width="12.5" style="284"/>
    <col min="9471" max="9471" width="34" style="284" bestFit="1" customWidth="1"/>
    <col min="9472" max="9472" width="13" style="284" bestFit="1" customWidth="1"/>
    <col min="9473" max="9474" width="14.83203125" style="284" bestFit="1" customWidth="1"/>
    <col min="9475" max="9475" width="13.1640625" style="284" customWidth="1"/>
    <col min="9476" max="9477" width="13" style="284" bestFit="1" customWidth="1"/>
    <col min="9478" max="9478" width="12.83203125" style="284" customWidth="1"/>
    <col min="9479" max="9479" width="11.83203125" style="284" bestFit="1" customWidth="1"/>
    <col min="9480" max="9480" width="14.83203125" style="284" bestFit="1" customWidth="1"/>
    <col min="9481" max="9726" width="12.5" style="284"/>
    <col min="9727" max="9727" width="34" style="284" bestFit="1" customWidth="1"/>
    <col min="9728" max="9728" width="13" style="284" bestFit="1" customWidth="1"/>
    <col min="9729" max="9730" width="14.83203125" style="284" bestFit="1" customWidth="1"/>
    <col min="9731" max="9731" width="13.1640625" style="284" customWidth="1"/>
    <col min="9732" max="9733" width="13" style="284" bestFit="1" customWidth="1"/>
    <col min="9734" max="9734" width="12.83203125" style="284" customWidth="1"/>
    <col min="9735" max="9735" width="11.83203125" style="284" bestFit="1" customWidth="1"/>
    <col min="9736" max="9736" width="14.83203125" style="284" bestFit="1" customWidth="1"/>
    <col min="9737" max="9982" width="12.5" style="284"/>
    <col min="9983" max="9983" width="34" style="284" bestFit="1" customWidth="1"/>
    <col min="9984" max="9984" width="13" style="284" bestFit="1" customWidth="1"/>
    <col min="9985" max="9986" width="14.83203125" style="284" bestFit="1" customWidth="1"/>
    <col min="9987" max="9987" width="13.1640625" style="284" customWidth="1"/>
    <col min="9988" max="9989" width="13" style="284" bestFit="1" customWidth="1"/>
    <col min="9990" max="9990" width="12.83203125" style="284" customWidth="1"/>
    <col min="9991" max="9991" width="11.83203125" style="284" bestFit="1" customWidth="1"/>
    <col min="9992" max="9992" width="14.83203125" style="284" bestFit="1" customWidth="1"/>
    <col min="9993" max="10238" width="12.5" style="284"/>
    <col min="10239" max="10239" width="34" style="284" bestFit="1" customWidth="1"/>
    <col min="10240" max="10240" width="13" style="284" bestFit="1" customWidth="1"/>
    <col min="10241" max="10242" width="14.83203125" style="284" bestFit="1" customWidth="1"/>
    <col min="10243" max="10243" width="13.1640625" style="284" customWidth="1"/>
    <col min="10244" max="10245" width="13" style="284" bestFit="1" customWidth="1"/>
    <col min="10246" max="10246" width="12.83203125" style="284" customWidth="1"/>
    <col min="10247" max="10247" width="11.83203125" style="284" bestFit="1" customWidth="1"/>
    <col min="10248" max="10248" width="14.83203125" style="284" bestFit="1" customWidth="1"/>
    <col min="10249" max="10494" width="12.5" style="284"/>
    <col min="10495" max="10495" width="34" style="284" bestFit="1" customWidth="1"/>
    <col min="10496" max="10496" width="13" style="284" bestFit="1" customWidth="1"/>
    <col min="10497" max="10498" width="14.83203125" style="284" bestFit="1" customWidth="1"/>
    <col min="10499" max="10499" width="13.1640625" style="284" customWidth="1"/>
    <col min="10500" max="10501" width="13" style="284" bestFit="1" customWidth="1"/>
    <col min="10502" max="10502" width="12.83203125" style="284" customWidth="1"/>
    <col min="10503" max="10503" width="11.83203125" style="284" bestFit="1" customWidth="1"/>
    <col min="10504" max="10504" width="14.83203125" style="284" bestFit="1" customWidth="1"/>
    <col min="10505" max="10750" width="12.5" style="284"/>
    <col min="10751" max="10751" width="34" style="284" bestFit="1" customWidth="1"/>
    <col min="10752" max="10752" width="13" style="284" bestFit="1" customWidth="1"/>
    <col min="10753" max="10754" width="14.83203125" style="284" bestFit="1" customWidth="1"/>
    <col min="10755" max="10755" width="13.1640625" style="284" customWidth="1"/>
    <col min="10756" max="10757" width="13" style="284" bestFit="1" customWidth="1"/>
    <col min="10758" max="10758" width="12.83203125" style="284" customWidth="1"/>
    <col min="10759" max="10759" width="11.83203125" style="284" bestFit="1" customWidth="1"/>
    <col min="10760" max="10760" width="14.83203125" style="284" bestFit="1" customWidth="1"/>
    <col min="10761" max="11006" width="12.5" style="284"/>
    <col min="11007" max="11007" width="34" style="284" bestFit="1" customWidth="1"/>
    <col min="11008" max="11008" width="13" style="284" bestFit="1" customWidth="1"/>
    <col min="11009" max="11010" width="14.83203125" style="284" bestFit="1" customWidth="1"/>
    <col min="11011" max="11011" width="13.1640625" style="284" customWidth="1"/>
    <col min="11012" max="11013" width="13" style="284" bestFit="1" customWidth="1"/>
    <col min="11014" max="11014" width="12.83203125" style="284" customWidth="1"/>
    <col min="11015" max="11015" width="11.83203125" style="284" bestFit="1" customWidth="1"/>
    <col min="11016" max="11016" width="14.83203125" style="284" bestFit="1" customWidth="1"/>
    <col min="11017" max="11262" width="12.5" style="284"/>
    <col min="11263" max="11263" width="34" style="284" bestFit="1" customWidth="1"/>
    <col min="11264" max="11264" width="13" style="284" bestFit="1" customWidth="1"/>
    <col min="11265" max="11266" width="14.83203125" style="284" bestFit="1" customWidth="1"/>
    <col min="11267" max="11267" width="13.1640625" style="284" customWidth="1"/>
    <col min="11268" max="11269" width="13" style="284" bestFit="1" customWidth="1"/>
    <col min="11270" max="11270" width="12.83203125" style="284" customWidth="1"/>
    <col min="11271" max="11271" width="11.83203125" style="284" bestFit="1" customWidth="1"/>
    <col min="11272" max="11272" width="14.83203125" style="284" bestFit="1" customWidth="1"/>
    <col min="11273" max="11518" width="12.5" style="284"/>
    <col min="11519" max="11519" width="34" style="284" bestFit="1" customWidth="1"/>
    <col min="11520" max="11520" width="13" style="284" bestFit="1" customWidth="1"/>
    <col min="11521" max="11522" width="14.83203125" style="284" bestFit="1" customWidth="1"/>
    <col min="11523" max="11523" width="13.1640625" style="284" customWidth="1"/>
    <col min="11524" max="11525" width="13" style="284" bestFit="1" customWidth="1"/>
    <col min="11526" max="11526" width="12.83203125" style="284" customWidth="1"/>
    <col min="11527" max="11527" width="11.83203125" style="284" bestFit="1" customWidth="1"/>
    <col min="11528" max="11528" width="14.83203125" style="284" bestFit="1" customWidth="1"/>
    <col min="11529" max="11774" width="12.5" style="284"/>
    <col min="11775" max="11775" width="34" style="284" bestFit="1" customWidth="1"/>
    <col min="11776" max="11776" width="13" style="284" bestFit="1" customWidth="1"/>
    <col min="11777" max="11778" width="14.83203125" style="284" bestFit="1" customWidth="1"/>
    <col min="11779" max="11779" width="13.1640625" style="284" customWidth="1"/>
    <col min="11780" max="11781" width="13" style="284" bestFit="1" customWidth="1"/>
    <col min="11782" max="11782" width="12.83203125" style="284" customWidth="1"/>
    <col min="11783" max="11783" width="11.83203125" style="284" bestFit="1" customWidth="1"/>
    <col min="11784" max="11784" width="14.83203125" style="284" bestFit="1" customWidth="1"/>
    <col min="11785" max="12030" width="12.5" style="284"/>
    <col min="12031" max="12031" width="34" style="284" bestFit="1" customWidth="1"/>
    <col min="12032" max="12032" width="13" style="284" bestFit="1" customWidth="1"/>
    <col min="12033" max="12034" width="14.83203125" style="284" bestFit="1" customWidth="1"/>
    <col min="12035" max="12035" width="13.1640625" style="284" customWidth="1"/>
    <col min="12036" max="12037" width="13" style="284" bestFit="1" customWidth="1"/>
    <col min="12038" max="12038" width="12.83203125" style="284" customWidth="1"/>
    <col min="12039" max="12039" width="11.83203125" style="284" bestFit="1" customWidth="1"/>
    <col min="12040" max="12040" width="14.83203125" style="284" bestFit="1" customWidth="1"/>
    <col min="12041" max="12286" width="12.5" style="284"/>
    <col min="12287" max="12287" width="34" style="284" bestFit="1" customWidth="1"/>
    <col min="12288" max="12288" width="13" style="284" bestFit="1" customWidth="1"/>
    <col min="12289" max="12290" width="14.83203125" style="284" bestFit="1" customWidth="1"/>
    <col min="12291" max="12291" width="13.1640625" style="284" customWidth="1"/>
    <col min="12292" max="12293" width="13" style="284" bestFit="1" customWidth="1"/>
    <col min="12294" max="12294" width="12.83203125" style="284" customWidth="1"/>
    <col min="12295" max="12295" width="11.83203125" style="284" bestFit="1" customWidth="1"/>
    <col min="12296" max="12296" width="14.83203125" style="284" bestFit="1" customWidth="1"/>
    <col min="12297" max="12542" width="12.5" style="284"/>
    <col min="12543" max="12543" width="34" style="284" bestFit="1" customWidth="1"/>
    <col min="12544" max="12544" width="13" style="284" bestFit="1" customWidth="1"/>
    <col min="12545" max="12546" width="14.83203125" style="284" bestFit="1" customWidth="1"/>
    <col min="12547" max="12547" width="13.1640625" style="284" customWidth="1"/>
    <col min="12548" max="12549" width="13" style="284" bestFit="1" customWidth="1"/>
    <col min="12550" max="12550" width="12.83203125" style="284" customWidth="1"/>
    <col min="12551" max="12551" width="11.83203125" style="284" bestFit="1" customWidth="1"/>
    <col min="12552" max="12552" width="14.83203125" style="284" bestFit="1" customWidth="1"/>
    <col min="12553" max="12798" width="12.5" style="284"/>
    <col min="12799" max="12799" width="34" style="284" bestFit="1" customWidth="1"/>
    <col min="12800" max="12800" width="13" style="284" bestFit="1" customWidth="1"/>
    <col min="12801" max="12802" width="14.83203125" style="284" bestFit="1" customWidth="1"/>
    <col min="12803" max="12803" width="13.1640625" style="284" customWidth="1"/>
    <col min="12804" max="12805" width="13" style="284" bestFit="1" customWidth="1"/>
    <col min="12806" max="12806" width="12.83203125" style="284" customWidth="1"/>
    <col min="12807" max="12807" width="11.83203125" style="284" bestFit="1" customWidth="1"/>
    <col min="12808" max="12808" width="14.83203125" style="284" bestFit="1" customWidth="1"/>
    <col min="12809" max="13054" width="12.5" style="284"/>
    <col min="13055" max="13055" width="34" style="284" bestFit="1" customWidth="1"/>
    <col min="13056" max="13056" width="13" style="284" bestFit="1" customWidth="1"/>
    <col min="13057" max="13058" width="14.83203125" style="284" bestFit="1" customWidth="1"/>
    <col min="13059" max="13059" width="13.1640625" style="284" customWidth="1"/>
    <col min="13060" max="13061" width="13" style="284" bestFit="1" customWidth="1"/>
    <col min="13062" max="13062" width="12.83203125" style="284" customWidth="1"/>
    <col min="13063" max="13063" width="11.83203125" style="284" bestFit="1" customWidth="1"/>
    <col min="13064" max="13064" width="14.83203125" style="284" bestFit="1" customWidth="1"/>
    <col min="13065" max="13310" width="12.5" style="284"/>
    <col min="13311" max="13311" width="34" style="284" bestFit="1" customWidth="1"/>
    <col min="13312" max="13312" width="13" style="284" bestFit="1" customWidth="1"/>
    <col min="13313" max="13314" width="14.83203125" style="284" bestFit="1" customWidth="1"/>
    <col min="13315" max="13315" width="13.1640625" style="284" customWidth="1"/>
    <col min="13316" max="13317" width="13" style="284" bestFit="1" customWidth="1"/>
    <col min="13318" max="13318" width="12.83203125" style="284" customWidth="1"/>
    <col min="13319" max="13319" width="11.83203125" style="284" bestFit="1" customWidth="1"/>
    <col min="13320" max="13320" width="14.83203125" style="284" bestFit="1" customWidth="1"/>
    <col min="13321" max="13566" width="12.5" style="284"/>
    <col min="13567" max="13567" width="34" style="284" bestFit="1" customWidth="1"/>
    <col min="13568" max="13568" width="13" style="284" bestFit="1" customWidth="1"/>
    <col min="13569" max="13570" width="14.83203125" style="284" bestFit="1" customWidth="1"/>
    <col min="13571" max="13571" width="13.1640625" style="284" customWidth="1"/>
    <col min="13572" max="13573" width="13" style="284" bestFit="1" customWidth="1"/>
    <col min="13574" max="13574" width="12.83203125" style="284" customWidth="1"/>
    <col min="13575" max="13575" width="11.83203125" style="284" bestFit="1" customWidth="1"/>
    <col min="13576" max="13576" width="14.83203125" style="284" bestFit="1" customWidth="1"/>
    <col min="13577" max="13822" width="12.5" style="284"/>
    <col min="13823" max="13823" width="34" style="284" bestFit="1" customWidth="1"/>
    <col min="13824" max="13824" width="13" style="284" bestFit="1" customWidth="1"/>
    <col min="13825" max="13826" width="14.83203125" style="284" bestFit="1" customWidth="1"/>
    <col min="13827" max="13827" width="13.1640625" style="284" customWidth="1"/>
    <col min="13828" max="13829" width="13" style="284" bestFit="1" customWidth="1"/>
    <col min="13830" max="13830" width="12.83203125" style="284" customWidth="1"/>
    <col min="13831" max="13831" width="11.83203125" style="284" bestFit="1" customWidth="1"/>
    <col min="13832" max="13832" width="14.83203125" style="284" bestFit="1" customWidth="1"/>
    <col min="13833" max="14078" width="12.5" style="284"/>
    <col min="14079" max="14079" width="34" style="284" bestFit="1" customWidth="1"/>
    <col min="14080" max="14080" width="13" style="284" bestFit="1" customWidth="1"/>
    <col min="14081" max="14082" width="14.83203125" style="284" bestFit="1" customWidth="1"/>
    <col min="14083" max="14083" width="13.1640625" style="284" customWidth="1"/>
    <col min="14084" max="14085" width="13" style="284" bestFit="1" customWidth="1"/>
    <col min="14086" max="14086" width="12.83203125" style="284" customWidth="1"/>
    <col min="14087" max="14087" width="11.83203125" style="284" bestFit="1" customWidth="1"/>
    <col min="14088" max="14088" width="14.83203125" style="284" bestFit="1" customWidth="1"/>
    <col min="14089" max="14334" width="12.5" style="284"/>
    <col min="14335" max="14335" width="34" style="284" bestFit="1" customWidth="1"/>
    <col min="14336" max="14336" width="13" style="284" bestFit="1" customWidth="1"/>
    <col min="14337" max="14338" width="14.83203125" style="284" bestFit="1" customWidth="1"/>
    <col min="14339" max="14339" width="13.1640625" style="284" customWidth="1"/>
    <col min="14340" max="14341" width="13" style="284" bestFit="1" customWidth="1"/>
    <col min="14342" max="14342" width="12.83203125" style="284" customWidth="1"/>
    <col min="14343" max="14343" width="11.83203125" style="284" bestFit="1" customWidth="1"/>
    <col min="14344" max="14344" width="14.83203125" style="284" bestFit="1" customWidth="1"/>
    <col min="14345" max="14590" width="12.5" style="284"/>
    <col min="14591" max="14591" width="34" style="284" bestFit="1" customWidth="1"/>
    <col min="14592" max="14592" width="13" style="284" bestFit="1" customWidth="1"/>
    <col min="14593" max="14594" width="14.83203125" style="284" bestFit="1" customWidth="1"/>
    <col min="14595" max="14595" width="13.1640625" style="284" customWidth="1"/>
    <col min="14596" max="14597" width="13" style="284" bestFit="1" customWidth="1"/>
    <col min="14598" max="14598" width="12.83203125" style="284" customWidth="1"/>
    <col min="14599" max="14599" width="11.83203125" style="284" bestFit="1" customWidth="1"/>
    <col min="14600" max="14600" width="14.83203125" style="284" bestFit="1" customWidth="1"/>
    <col min="14601" max="14846" width="12.5" style="284"/>
    <col min="14847" max="14847" width="34" style="284" bestFit="1" customWidth="1"/>
    <col min="14848" max="14848" width="13" style="284" bestFit="1" customWidth="1"/>
    <col min="14849" max="14850" width="14.83203125" style="284" bestFit="1" customWidth="1"/>
    <col min="14851" max="14851" width="13.1640625" style="284" customWidth="1"/>
    <col min="14852" max="14853" width="13" style="284" bestFit="1" customWidth="1"/>
    <col min="14854" max="14854" width="12.83203125" style="284" customWidth="1"/>
    <col min="14855" max="14855" width="11.83203125" style="284" bestFit="1" customWidth="1"/>
    <col min="14856" max="14856" width="14.83203125" style="284" bestFit="1" customWidth="1"/>
    <col min="14857" max="15102" width="12.5" style="284"/>
    <col min="15103" max="15103" width="34" style="284" bestFit="1" customWidth="1"/>
    <col min="15104" max="15104" width="13" style="284" bestFit="1" customWidth="1"/>
    <col min="15105" max="15106" width="14.83203125" style="284" bestFit="1" customWidth="1"/>
    <col min="15107" max="15107" width="13.1640625" style="284" customWidth="1"/>
    <col min="15108" max="15109" width="13" style="284" bestFit="1" customWidth="1"/>
    <col min="15110" max="15110" width="12.83203125" style="284" customWidth="1"/>
    <col min="15111" max="15111" width="11.83203125" style="284" bestFit="1" customWidth="1"/>
    <col min="15112" max="15112" width="14.83203125" style="284" bestFit="1" customWidth="1"/>
    <col min="15113" max="15358" width="12.5" style="284"/>
    <col min="15359" max="15359" width="34" style="284" bestFit="1" customWidth="1"/>
    <col min="15360" max="15360" width="13" style="284" bestFit="1" customWidth="1"/>
    <col min="15361" max="15362" width="14.83203125" style="284" bestFit="1" customWidth="1"/>
    <col min="15363" max="15363" width="13.1640625" style="284" customWidth="1"/>
    <col min="15364" max="15365" width="13" style="284" bestFit="1" customWidth="1"/>
    <col min="15366" max="15366" width="12.83203125" style="284" customWidth="1"/>
    <col min="15367" max="15367" width="11.83203125" style="284" bestFit="1" customWidth="1"/>
    <col min="15368" max="15368" width="14.83203125" style="284" bestFit="1" customWidth="1"/>
    <col min="15369" max="15614" width="12.5" style="284"/>
    <col min="15615" max="15615" width="34" style="284" bestFit="1" customWidth="1"/>
    <col min="15616" max="15616" width="13" style="284" bestFit="1" customWidth="1"/>
    <col min="15617" max="15618" width="14.83203125" style="284" bestFit="1" customWidth="1"/>
    <col min="15619" max="15619" width="13.1640625" style="284" customWidth="1"/>
    <col min="15620" max="15621" width="13" style="284" bestFit="1" customWidth="1"/>
    <col min="15622" max="15622" width="12.83203125" style="284" customWidth="1"/>
    <col min="15623" max="15623" width="11.83203125" style="284" bestFit="1" customWidth="1"/>
    <col min="15624" max="15624" width="14.83203125" style="284" bestFit="1" customWidth="1"/>
    <col min="15625" max="15870" width="12.5" style="284"/>
    <col min="15871" max="15871" width="34" style="284" bestFit="1" customWidth="1"/>
    <col min="15872" max="15872" width="13" style="284" bestFit="1" customWidth="1"/>
    <col min="15873" max="15874" width="14.83203125" style="284" bestFit="1" customWidth="1"/>
    <col min="15875" max="15875" width="13.1640625" style="284" customWidth="1"/>
    <col min="15876" max="15877" width="13" style="284" bestFit="1" customWidth="1"/>
    <col min="15878" max="15878" width="12.83203125" style="284" customWidth="1"/>
    <col min="15879" max="15879" width="11.83203125" style="284" bestFit="1" customWidth="1"/>
    <col min="15880" max="15880" width="14.83203125" style="284" bestFit="1" customWidth="1"/>
    <col min="15881" max="16126" width="12.5" style="284"/>
    <col min="16127" max="16127" width="34" style="284" bestFit="1" customWidth="1"/>
    <col min="16128" max="16128" width="13" style="284" bestFit="1" customWidth="1"/>
    <col min="16129" max="16130" width="14.83203125" style="284" bestFit="1" customWidth="1"/>
    <col min="16131" max="16131" width="13.1640625" style="284" customWidth="1"/>
    <col min="16132" max="16133" width="13" style="284" bestFit="1" customWidth="1"/>
    <col min="16134" max="16134" width="12.83203125" style="284" customWidth="1"/>
    <col min="16135" max="16135" width="11.83203125" style="284" bestFit="1" customWidth="1"/>
    <col min="16136" max="16136" width="14.83203125" style="284" bestFit="1" customWidth="1"/>
    <col min="16137" max="16384" width="12.5" style="284"/>
  </cols>
  <sheetData>
    <row r="1" spans="1:11" x14ac:dyDescent="0.2">
      <c r="A1" s="1296" t="str">
        <f>CONCATENATE("24. melléklet"," ",ALAPADATOK!A7," ",ALAPADATOK!B7," ",ALAPADATOK!C7," ",ALAPADATOK!D7," ",ALAPADATOK!E7," ",ALAPADATOK!F7," ",ALAPADATOK!G7," ",ALAPADATOK!H7)</f>
        <v>24. melléklet a .. / 2023. ( …... ) önkormányzati rendelethez</v>
      </c>
      <c r="B1" s="1296"/>
      <c r="C1" s="1296"/>
      <c r="D1" s="1296"/>
      <c r="E1" s="1296"/>
      <c r="F1" s="1296"/>
      <c r="G1" s="1296"/>
      <c r="H1" s="1296"/>
      <c r="I1" s="1296"/>
      <c r="J1" s="1296"/>
      <c r="K1" s="1296"/>
    </row>
    <row r="2" spans="1:11" x14ac:dyDescent="0.2">
      <c r="A2" s="552"/>
      <c r="B2" s="552"/>
      <c r="C2" s="552"/>
      <c r="D2" s="553"/>
      <c r="E2" s="552"/>
      <c r="F2" s="552"/>
      <c r="G2" s="555"/>
      <c r="H2" s="555"/>
      <c r="I2" s="555"/>
      <c r="J2" s="555"/>
      <c r="K2" s="556"/>
    </row>
    <row r="3" spans="1:11" x14ac:dyDescent="0.2">
      <c r="A3" s="552"/>
      <c r="B3" s="552"/>
      <c r="C3" s="552"/>
      <c r="D3" s="553"/>
      <c r="E3" s="552"/>
      <c r="F3" s="552"/>
      <c r="G3" s="555"/>
      <c r="H3" s="555"/>
      <c r="I3" s="555"/>
      <c r="J3" s="555"/>
      <c r="K3" s="557"/>
    </row>
    <row r="4" spans="1:11" ht="19.5" x14ac:dyDescent="0.35">
      <c r="A4" s="1307" t="s">
        <v>362</v>
      </c>
      <c r="B4" s="1307"/>
      <c r="C4" s="1307"/>
      <c r="D4" s="1307"/>
      <c r="E4" s="1307"/>
      <c r="F4" s="1307"/>
      <c r="G4" s="1307"/>
      <c r="H4" s="1307"/>
      <c r="I4" s="1307"/>
      <c r="J4" s="1307"/>
      <c r="K4" s="1307"/>
    </row>
    <row r="5" spans="1:11" ht="19.5" x14ac:dyDescent="0.35">
      <c r="A5" s="1307" t="s">
        <v>987</v>
      </c>
      <c r="B5" s="1307"/>
      <c r="C5" s="1307"/>
      <c r="D5" s="1307"/>
      <c r="E5" s="1307"/>
      <c r="F5" s="1307"/>
      <c r="G5" s="1307"/>
      <c r="H5" s="1307"/>
      <c r="I5" s="1307"/>
      <c r="J5" s="1307"/>
      <c r="K5" s="1307"/>
    </row>
    <row r="6" spans="1:11" ht="13.5" thickBot="1" x14ac:dyDescent="0.25">
      <c r="A6" s="865"/>
      <c r="B6" s="865"/>
      <c r="C6" s="865"/>
      <c r="D6" s="865"/>
      <c r="E6" s="865"/>
      <c r="F6" s="865"/>
      <c r="G6" s="865"/>
      <c r="H6" s="865"/>
      <c r="I6" s="865"/>
      <c r="J6" s="865"/>
      <c r="K6" s="865"/>
    </row>
    <row r="7" spans="1:11" ht="15.95" customHeight="1" x14ac:dyDescent="0.2">
      <c r="A7" s="1297" t="s">
        <v>842</v>
      </c>
      <c r="B7" s="1299" t="s">
        <v>372</v>
      </c>
      <c r="C7" s="1300"/>
      <c r="D7" s="1301"/>
      <c r="E7" s="1302" t="s">
        <v>373</v>
      </c>
      <c r="F7" s="1303"/>
      <c r="G7" s="1303"/>
      <c r="H7" s="1303"/>
      <c r="I7" s="1303"/>
      <c r="J7" s="1303"/>
      <c r="K7" s="1304"/>
    </row>
    <row r="8" spans="1:11" ht="15.95" customHeight="1" x14ac:dyDescent="0.2">
      <c r="A8" s="1298"/>
      <c r="B8" s="1308" t="s">
        <v>874</v>
      </c>
      <c r="C8" s="1308" t="s">
        <v>973</v>
      </c>
      <c r="D8" s="1308" t="s">
        <v>879</v>
      </c>
      <c r="E8" s="1308" t="s">
        <v>875</v>
      </c>
      <c r="F8" s="1308" t="s">
        <v>880</v>
      </c>
      <c r="G8" s="1308" t="s">
        <v>876</v>
      </c>
      <c r="H8" s="1305" t="s">
        <v>136</v>
      </c>
      <c r="I8" s="1308" t="s">
        <v>878</v>
      </c>
      <c r="J8" s="1308" t="s">
        <v>877</v>
      </c>
      <c r="K8" s="1310" t="s">
        <v>879</v>
      </c>
    </row>
    <row r="9" spans="1:11" ht="15.95" customHeight="1" thickBot="1" x14ac:dyDescent="0.25">
      <c r="A9" s="1298"/>
      <c r="B9" s="1309"/>
      <c r="C9" s="1309"/>
      <c r="D9" s="1309"/>
      <c r="E9" s="1309"/>
      <c r="F9" s="1309"/>
      <c r="G9" s="1309"/>
      <c r="H9" s="1306"/>
      <c r="I9" s="1309"/>
      <c r="J9" s="1309"/>
      <c r="K9" s="1311"/>
    </row>
    <row r="10" spans="1:11" ht="15.95" customHeight="1" thickBot="1" x14ac:dyDescent="0.25">
      <c r="A10" s="1016" t="s">
        <v>382</v>
      </c>
      <c r="B10" s="1017" t="s">
        <v>383</v>
      </c>
      <c r="C10" s="1017" t="s">
        <v>933</v>
      </c>
      <c r="D10" s="1017" t="s">
        <v>932</v>
      </c>
      <c r="E10" s="1017" t="s">
        <v>435</v>
      </c>
      <c r="F10" s="1017" t="s">
        <v>926</v>
      </c>
      <c r="G10" s="1017" t="s">
        <v>927</v>
      </c>
      <c r="H10" s="1018" t="s">
        <v>928</v>
      </c>
      <c r="I10" s="1017" t="s">
        <v>929</v>
      </c>
      <c r="J10" s="1017" t="s">
        <v>930</v>
      </c>
      <c r="K10" s="1019" t="s">
        <v>931</v>
      </c>
    </row>
    <row r="11" spans="1:11" ht="18" customHeight="1" x14ac:dyDescent="0.2">
      <c r="A11" s="1111" t="s">
        <v>479</v>
      </c>
      <c r="B11" s="1112">
        <f>'17. sz. mell. PH.'!C36+'17. sz. mell. PH.'!C38</f>
        <v>79322202</v>
      </c>
      <c r="C11" s="1113">
        <f>K11-B11</f>
        <v>583848370</v>
      </c>
      <c r="D11" s="1114">
        <f>SUM(B11:C11)</f>
        <v>663170572</v>
      </c>
      <c r="E11" s="1115">
        <f>'17. sz. mell. PH.'!C46</f>
        <v>224490964</v>
      </c>
      <c r="F11" s="1115">
        <f>'17. sz. mell. PH.'!C47</f>
        <v>34374059</v>
      </c>
      <c r="G11" s="1115">
        <f>'17. sz. mell. PH.'!C48</f>
        <v>397718802</v>
      </c>
      <c r="H11" s="1116">
        <f>'17. sz. mell. PH.'!C50</f>
        <v>1174050</v>
      </c>
      <c r="I11" s="1116">
        <f>'17. sz. mell. PH.'!C49</f>
        <v>0</v>
      </c>
      <c r="J11" s="1115">
        <f>'17. sz. mell. PH.'!C52</f>
        <v>5412697</v>
      </c>
      <c r="K11" s="1117">
        <f>SUM(E11:J11)</f>
        <v>663170572</v>
      </c>
    </row>
    <row r="12" spans="1:11" ht="15.95" customHeight="1" x14ac:dyDescent="0.2">
      <c r="A12" s="1011" t="s">
        <v>0</v>
      </c>
      <c r="B12" s="1012">
        <f>'21. sz. mell EOI'!C35+'21. sz. mell EOI'!C37</f>
        <v>25863724</v>
      </c>
      <c r="C12" s="1012">
        <f>K12-B12</f>
        <v>446919987</v>
      </c>
      <c r="D12" s="1013">
        <f>B12+C12</f>
        <v>472783711</v>
      </c>
      <c r="E12" s="1012">
        <f>'21. sz. mell EOI'!C43</f>
        <v>283207469</v>
      </c>
      <c r="F12" s="1012">
        <f>'21. sz. mell EOI'!C44</f>
        <v>39102281</v>
      </c>
      <c r="G12" s="1012">
        <f>'21. sz. mell EOI'!C45</f>
        <v>149622251</v>
      </c>
      <c r="H12" s="1014">
        <f>'21. sz. mell EOI'!C47</f>
        <v>0</v>
      </c>
      <c r="I12" s="1014">
        <f>'21. sz. mell EOI'!C46</f>
        <v>0</v>
      </c>
      <c r="J12" s="1014">
        <f>'21. sz. mell EOI'!C48</f>
        <v>851710</v>
      </c>
      <c r="K12" s="1015">
        <f>SUM(E12:J12)</f>
        <v>472783711</v>
      </c>
    </row>
    <row r="13" spans="1:11" ht="15.95" customHeight="1" x14ac:dyDescent="0.2">
      <c r="A13" s="558" t="s">
        <v>490</v>
      </c>
      <c r="B13" s="854">
        <f>'24. sz. mell EKIK'!C36+'24. sz. mell EKIK'!C38</f>
        <v>17463961</v>
      </c>
      <c r="C13" s="854">
        <f>K13-B13</f>
        <v>186786296</v>
      </c>
      <c r="D13" s="663">
        <f>B13+C13</f>
        <v>204250257</v>
      </c>
      <c r="E13" s="854">
        <f>'24. sz. mell EKIK'!C46</f>
        <v>83150444</v>
      </c>
      <c r="F13" s="854">
        <f>'24. sz. mell EKIK'!C47</f>
        <v>11455015</v>
      </c>
      <c r="G13" s="854">
        <f>'24. sz. mell EKIK'!C48</f>
        <v>105745258</v>
      </c>
      <c r="H13" s="854">
        <f>'24. sz. mell EKIK'!C50</f>
        <v>751000</v>
      </c>
      <c r="I13" s="854">
        <f>'24. sz. mell EKIK'!C49</f>
        <v>0</v>
      </c>
      <c r="J13" s="854">
        <f>'24. sz. mell EKIK'!C51</f>
        <v>3148540</v>
      </c>
      <c r="K13" s="653">
        <f>SUM(E13:J13)</f>
        <v>204250257</v>
      </c>
    </row>
    <row r="14" spans="1:11" ht="18" customHeight="1" x14ac:dyDescent="0.2">
      <c r="A14" s="559" t="s">
        <v>478</v>
      </c>
      <c r="B14" s="852">
        <f>'27. sz. mell Kornisné Kp.'!C36+'27. sz. mell Kornisné Kp.'!C38</f>
        <v>574306654</v>
      </c>
      <c r="C14" s="854">
        <f>K14-B14</f>
        <v>868305471</v>
      </c>
      <c r="D14" s="663">
        <f>B14+C14</f>
        <v>1442612125</v>
      </c>
      <c r="E14" s="1056">
        <f>'27. sz. mell Kornisné Kp.'!C44</f>
        <v>791473239</v>
      </c>
      <c r="F14" s="1056">
        <f>'27. sz. mell Kornisné Kp.'!C45</f>
        <v>109289463</v>
      </c>
      <c r="G14" s="854">
        <f>'27. sz. mell Kornisné Kp.'!C46</f>
        <v>498673272</v>
      </c>
      <c r="H14" s="854">
        <f>'27. sz. mell Kornisné Kp.'!C48</f>
        <v>0</v>
      </c>
      <c r="I14" s="854">
        <f>'27. sz. mell Kornisné Kp.'!C47</f>
        <v>0</v>
      </c>
      <c r="J14" s="1056">
        <f>'27. sz. mell Kornisné Kp.'!C49</f>
        <v>43176151</v>
      </c>
      <c r="K14" s="653">
        <f>SUM(E14:J14)</f>
        <v>1442612125</v>
      </c>
    </row>
    <row r="15" spans="1:11" ht="18" customHeight="1" x14ac:dyDescent="0.2">
      <c r="A15" s="559" t="s">
        <v>468</v>
      </c>
      <c r="B15" s="852">
        <f>'31. sz. mell TIB  '!C36+'31. sz. mell TIB  '!C38</f>
        <v>2999001</v>
      </c>
      <c r="C15" s="854">
        <f>K15-B15</f>
        <v>179934110</v>
      </c>
      <c r="D15" s="663">
        <f>B15+C15</f>
        <v>182933111</v>
      </c>
      <c r="E15" s="971">
        <f>'31. sz. mell TIB  '!C44</f>
        <v>126179706</v>
      </c>
      <c r="F15" s="971">
        <f>'31. sz. mell TIB  '!C45</f>
        <v>16396076</v>
      </c>
      <c r="G15" s="971">
        <f>'31. sz. mell TIB  '!C46</f>
        <v>39446543</v>
      </c>
      <c r="H15" s="654">
        <f>'31. sz. mell TIB  '!C48</f>
        <v>0</v>
      </c>
      <c r="I15" s="654">
        <f>'31. sz. mell TIB  '!C47</f>
        <v>0</v>
      </c>
      <c r="J15" s="855">
        <f>'31. sz. mell TIB  '!C49</f>
        <v>910786</v>
      </c>
      <c r="K15" s="653">
        <f>SUM(E15:J15)</f>
        <v>182933111</v>
      </c>
    </row>
    <row r="16" spans="1:11" s="390" customFormat="1" ht="18" customHeight="1" thickBot="1" x14ac:dyDescent="0.25">
      <c r="A16" s="560" t="s">
        <v>363</v>
      </c>
      <c r="B16" s="645">
        <f>SUM(B11:B15)</f>
        <v>699955542</v>
      </c>
      <c r="C16" s="645">
        <f t="shared" ref="C16:J16" si="0">SUM(C11:C15)</f>
        <v>2265794234</v>
      </c>
      <c r="D16" s="645">
        <f t="shared" si="0"/>
        <v>2965749776</v>
      </c>
      <c r="E16" s="645">
        <f t="shared" si="0"/>
        <v>1508501822</v>
      </c>
      <c r="F16" s="645">
        <f t="shared" si="0"/>
        <v>210616894</v>
      </c>
      <c r="G16" s="645">
        <f t="shared" si="0"/>
        <v>1191206126</v>
      </c>
      <c r="H16" s="645">
        <f t="shared" si="0"/>
        <v>1925050</v>
      </c>
      <c r="I16" s="645">
        <f t="shared" si="0"/>
        <v>0</v>
      </c>
      <c r="J16" s="645">
        <f t="shared" si="0"/>
        <v>53499884</v>
      </c>
      <c r="K16" s="1118">
        <f>SUM(K11:K15)</f>
        <v>2965749776</v>
      </c>
    </row>
    <row r="17" spans="1:11" s="352" customFormat="1" ht="11.25" x14ac:dyDescent="0.2">
      <c r="A17" s="561"/>
      <c r="B17" s="561"/>
      <c r="C17" s="561"/>
      <c r="D17" s="562"/>
      <c r="E17" s="561"/>
      <c r="F17" s="561"/>
      <c r="G17" s="561"/>
      <c r="H17" s="561"/>
      <c r="I17" s="561"/>
      <c r="J17" s="561"/>
      <c r="K17" s="562"/>
    </row>
    <row r="18" spans="1:11" s="352" customFormat="1" ht="11.25" hidden="1" x14ac:dyDescent="0.2">
      <c r="A18" s="1119" t="s">
        <v>975</v>
      </c>
      <c r="B18" s="561">
        <f>'14. sz. mell. Önk.'!C90</f>
        <v>7220808668</v>
      </c>
      <c r="C18" s="561"/>
      <c r="D18" s="562"/>
      <c r="E18" s="561"/>
      <c r="F18" s="561"/>
      <c r="G18" s="561"/>
      <c r="H18" s="561"/>
      <c r="I18" s="561"/>
      <c r="J18" s="561"/>
      <c r="K18" s="561">
        <f>'14. sz. mell. Önk.'!C153</f>
        <v>4955014434</v>
      </c>
    </row>
    <row r="19" spans="1:11" hidden="1" x14ac:dyDescent="0.2">
      <c r="B19" s="561">
        <f>SUM(B16:B18)</f>
        <v>7920764210</v>
      </c>
      <c r="C19" s="563"/>
      <c r="D19" s="563"/>
      <c r="K19" s="561">
        <f>SUM(K16:K18)</f>
        <v>7920764210</v>
      </c>
    </row>
    <row r="20" spans="1:11" hidden="1" x14ac:dyDescent="0.2">
      <c r="B20" s="561">
        <f>'1. sz.mell. '!C94</f>
        <v>7920764210</v>
      </c>
      <c r="C20" s="563"/>
      <c r="K20" s="561">
        <f>'1. sz.mell. '!C160</f>
        <v>7920764210</v>
      </c>
    </row>
    <row r="21" spans="1:11" hidden="1" x14ac:dyDescent="0.2">
      <c r="B21" s="561">
        <f>B20-B19</f>
        <v>0</v>
      </c>
      <c r="K21" s="561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6"/>
  <sheetViews>
    <sheetView zoomScale="130" zoomScaleNormal="130" workbookViewId="0">
      <selection activeCell="A2" sqref="A2"/>
    </sheetView>
  </sheetViews>
  <sheetFormatPr defaultColWidth="10.6640625" defaultRowHeight="12.75" x14ac:dyDescent="0.2"/>
  <cols>
    <col min="1" max="1" width="66.33203125" style="394" bestFit="1" customWidth="1"/>
    <col min="2" max="2" width="22.6640625" style="394" customWidth="1"/>
    <col min="3" max="3" width="11.6640625" style="394" bestFit="1" customWidth="1"/>
    <col min="4" max="16384" width="10.6640625" style="394"/>
  </cols>
  <sheetData>
    <row r="1" spans="1:5" ht="15.75" x14ac:dyDescent="0.25">
      <c r="A1" s="1312" t="str">
        <f>CONCATENATE("25. melléklet"," ",ALAPADATOK!A7," ",ALAPADATOK!B7," ",ALAPADATOK!C7," ",ALAPADATOK!D7," ",ALAPADATOK!E7," ",ALAPADATOK!F7," ",ALAPADATOK!G7," ",ALAPADATOK!H7)</f>
        <v>25. melléklet a .. / 2023. ( …... ) önkormányzati rendelethez</v>
      </c>
      <c r="B1" s="1312"/>
      <c r="C1" s="285"/>
      <c r="D1" s="285"/>
      <c r="E1" s="285"/>
    </row>
    <row r="2" spans="1:5" ht="15.75" x14ac:dyDescent="0.25">
      <c r="A2" s="285"/>
      <c r="B2" s="286"/>
    </row>
    <row r="3" spans="1:5" ht="15.75" x14ac:dyDescent="0.25">
      <c r="A3" s="285"/>
      <c r="B3" s="333"/>
    </row>
    <row r="4" spans="1:5" ht="15.75" x14ac:dyDescent="0.25">
      <c r="A4" s="285"/>
      <c r="B4" s="334"/>
    </row>
    <row r="5" spans="1:5" ht="15.75" x14ac:dyDescent="0.25">
      <c r="A5" s="285"/>
      <c r="B5" s="334"/>
    </row>
    <row r="6" spans="1:5" ht="15.75" x14ac:dyDescent="0.25">
      <c r="A6" s="285"/>
      <c r="B6" s="335"/>
    </row>
    <row r="7" spans="1:5" ht="19.5" x14ac:dyDescent="0.2">
      <c r="A7" s="1313" t="s">
        <v>359</v>
      </c>
      <c r="B7" s="1313"/>
    </row>
    <row r="8" spans="1:5" ht="19.5" x14ac:dyDescent="0.35">
      <c r="A8" s="1314" t="s">
        <v>988</v>
      </c>
      <c r="B8" s="1314"/>
    </row>
    <row r="9" spans="1:5" ht="20.25" thickBot="1" x14ac:dyDescent="0.4">
      <c r="A9" s="926"/>
      <c r="B9" s="926"/>
    </row>
    <row r="10" spans="1:5" s="395" customFormat="1" ht="33" customHeight="1" thickBot="1" x14ac:dyDescent="0.25">
      <c r="A10" s="860" t="s">
        <v>57</v>
      </c>
      <c r="B10" s="953" t="s">
        <v>881</v>
      </c>
    </row>
    <row r="11" spans="1:5" ht="16.5" thickBot="1" x14ac:dyDescent="0.3">
      <c r="A11" s="1025" t="s">
        <v>934</v>
      </c>
      <c r="B11" s="1130">
        <f>10000000-1363819</f>
        <v>8636181</v>
      </c>
    </row>
    <row r="12" spans="1:5" ht="16.5" thickBot="1" x14ac:dyDescent="0.3">
      <c r="A12" s="1025" t="s">
        <v>360</v>
      </c>
      <c r="B12" s="1020">
        <f>SUM(B13:B22)</f>
        <v>105453095</v>
      </c>
    </row>
    <row r="13" spans="1:5" ht="15.75" x14ac:dyDescent="0.25">
      <c r="A13" s="1021" t="s">
        <v>562</v>
      </c>
      <c r="B13" s="1191">
        <v>10000000</v>
      </c>
      <c r="C13" s="337"/>
      <c r="D13" s="336"/>
    </row>
    <row r="14" spans="1:5" ht="15.75" x14ac:dyDescent="0.25">
      <c r="A14" s="1022" t="s">
        <v>563</v>
      </c>
      <c r="B14" s="1192">
        <v>1000000</v>
      </c>
      <c r="C14" s="337"/>
      <c r="D14" s="336"/>
    </row>
    <row r="15" spans="1:5" ht="47.25" x14ac:dyDescent="0.25">
      <c r="A15" s="1189" t="s">
        <v>1045</v>
      </c>
      <c r="B15" s="1192">
        <v>688185</v>
      </c>
      <c r="C15" s="337"/>
      <c r="D15" s="336"/>
    </row>
    <row r="16" spans="1:5" ht="15.75" x14ac:dyDescent="0.25">
      <c r="A16" s="1023" t="s">
        <v>1046</v>
      </c>
      <c r="B16" s="1192">
        <v>16270495</v>
      </c>
      <c r="C16" s="337"/>
      <c r="D16" s="336"/>
    </row>
    <row r="17" spans="1:4" ht="15.75" x14ac:dyDescent="0.25">
      <c r="A17" s="1023" t="s">
        <v>818</v>
      </c>
      <c r="B17" s="1192">
        <f>34829076-4640000</f>
        <v>30189076</v>
      </c>
      <c r="C17" s="337"/>
      <c r="D17" s="336"/>
    </row>
    <row r="18" spans="1:4" ht="15.75" x14ac:dyDescent="0.25">
      <c r="A18" s="1023" t="s">
        <v>817</v>
      </c>
      <c r="B18" s="1192">
        <v>764072</v>
      </c>
      <c r="C18" s="337"/>
      <c r="D18" s="336"/>
    </row>
    <row r="19" spans="1:4" ht="31.5" x14ac:dyDescent="0.25">
      <c r="A19" s="1190" t="s">
        <v>1047</v>
      </c>
      <c r="B19" s="1192">
        <v>19141267</v>
      </c>
      <c r="C19" s="337"/>
      <c r="D19" s="336"/>
    </row>
    <row r="20" spans="1:4" ht="15.75" x14ac:dyDescent="0.25">
      <c r="A20" s="1023" t="s">
        <v>955</v>
      </c>
      <c r="B20" s="1192">
        <v>400000</v>
      </c>
      <c r="C20" s="337"/>
      <c r="D20" s="336"/>
    </row>
    <row r="21" spans="1:4" ht="15.75" x14ac:dyDescent="0.25">
      <c r="A21" s="1023" t="s">
        <v>496</v>
      </c>
      <c r="B21" s="1192">
        <v>4500000</v>
      </c>
      <c r="C21" s="337"/>
      <c r="D21" s="336"/>
    </row>
    <row r="22" spans="1:4" ht="16.5" thickBot="1" x14ac:dyDescent="0.3">
      <c r="A22" s="1024" t="s">
        <v>690</v>
      </c>
      <c r="B22" s="1193">
        <v>22500000</v>
      </c>
      <c r="C22" s="337"/>
      <c r="D22" s="336"/>
    </row>
    <row r="23" spans="1:4" ht="16.5" thickBot="1" x14ac:dyDescent="0.3">
      <c r="A23" s="1025" t="s">
        <v>361</v>
      </c>
      <c r="B23" s="1194">
        <f>B11+B12</f>
        <v>114089276</v>
      </c>
    </row>
    <row r="25" spans="1:4" hidden="1" x14ac:dyDescent="0.2">
      <c r="A25" s="1120" t="s">
        <v>975</v>
      </c>
      <c r="B25" s="394">
        <f>'1. sz.mell. '!C117</f>
        <v>114089276</v>
      </c>
    </row>
    <row r="26" spans="1:4" hidden="1" x14ac:dyDescent="0.2">
      <c r="B26" s="1121">
        <f>B23-B25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K161"/>
  <sheetViews>
    <sheetView zoomScale="145" zoomScaleNormal="145" zoomScaleSheetLayoutView="115" workbookViewId="0">
      <selection activeCell="A2" sqref="A2"/>
    </sheetView>
  </sheetViews>
  <sheetFormatPr defaultColWidth="9.33203125" defaultRowHeight="15.75" x14ac:dyDescent="0.25"/>
  <cols>
    <col min="1" max="1" width="9" style="167" customWidth="1"/>
    <col min="2" max="2" width="67.1640625" style="167" bestFit="1" customWidth="1"/>
    <col min="3" max="3" width="16.5" style="624" customWidth="1"/>
    <col min="4" max="5" width="15.5" style="624" customWidth="1"/>
    <col min="6" max="6" width="14.33203125" style="167" hidden="1" customWidth="1"/>
    <col min="7" max="7" width="12.6640625" style="167" hidden="1" customWidth="1"/>
    <col min="8" max="8" width="14.33203125" style="167" hidden="1" customWidth="1"/>
    <col min="9" max="10" width="0" style="167" hidden="1" customWidth="1"/>
    <col min="11" max="11" width="14.33203125" style="167" hidden="1" customWidth="1"/>
    <col min="12" max="28" width="0" style="167" hidden="1" customWidth="1"/>
    <col min="29" max="16384" width="9.33203125" style="167"/>
  </cols>
  <sheetData>
    <row r="1" spans="1:10" x14ac:dyDescent="0.25">
      <c r="A1" s="1227" t="str">
        <f>CONCATENATE("26. melléklet"," ",ALAPADATOK!A7," ",ALAPADATOK!B7," ",ALAPADATOK!C7," ",ALAPADATOK!D7," ",ALAPADATOK!E7," ",ALAPADATOK!F7," ",ALAPADATOK!G7," ",ALAPADATOK!H7)</f>
        <v>26. melléklet a .. / 2023. ( …... ) önkormányzati rendelethez</v>
      </c>
      <c r="B1" s="1227"/>
      <c r="C1" s="1227"/>
      <c r="D1" s="1227"/>
      <c r="E1" s="1227"/>
    </row>
    <row r="2" spans="1:10" x14ac:dyDescent="0.25">
      <c r="E2" s="1045" t="s">
        <v>945</v>
      </c>
    </row>
    <row r="3" spans="1:10" ht="35.450000000000003" customHeight="1" x14ac:dyDescent="0.25">
      <c r="A3" s="1315" t="s">
        <v>989</v>
      </c>
      <c r="B3" s="1225"/>
      <c r="C3" s="1225"/>
      <c r="D3" s="1225"/>
      <c r="E3" s="1225"/>
      <c r="J3" s="167" t="s">
        <v>730</v>
      </c>
    </row>
    <row r="5" spans="1:10" ht="15.95" customHeight="1" thickBot="1" x14ac:dyDescent="0.3">
      <c r="A5" s="1229" t="s">
        <v>882</v>
      </c>
      <c r="B5" s="1229"/>
      <c r="C5" s="1229"/>
      <c r="D5" s="1229"/>
      <c r="E5" s="1229"/>
    </row>
    <row r="6" spans="1:10" ht="38.1" customHeight="1" thickBot="1" x14ac:dyDescent="0.3">
      <c r="A6" s="20" t="s">
        <v>63</v>
      </c>
      <c r="B6" s="380" t="s">
        <v>15</v>
      </c>
      <c r="C6" s="1030" t="s">
        <v>1001</v>
      </c>
      <c r="D6" s="786" t="s">
        <v>1002</v>
      </c>
      <c r="E6" s="791" t="s">
        <v>976</v>
      </c>
    </row>
    <row r="7" spans="1:10" s="178" customFormat="1" ht="12.2" customHeight="1" thickBot="1" x14ac:dyDescent="0.25">
      <c r="A7" s="25" t="s">
        <v>382</v>
      </c>
      <c r="B7" s="275" t="s">
        <v>383</v>
      </c>
      <c r="C7" s="1026" t="s">
        <v>384</v>
      </c>
      <c r="D7" s="1027" t="s">
        <v>434</v>
      </c>
      <c r="E7" s="1028" t="s">
        <v>435</v>
      </c>
    </row>
    <row r="8" spans="1:10" s="179" customFormat="1" ht="12.2" customHeight="1" thickBot="1" x14ac:dyDescent="0.25">
      <c r="A8" s="17" t="s">
        <v>16</v>
      </c>
      <c r="B8" s="362" t="s">
        <v>179</v>
      </c>
      <c r="C8" s="1029">
        <f>SUM(C9:C16)-C11</f>
        <v>1521550457</v>
      </c>
      <c r="D8" s="801">
        <f>SUM(D9:D16)-D11</f>
        <v>1797356954</v>
      </c>
      <c r="E8" s="110">
        <f>'1. sz.mell. '!C11</f>
        <v>2224660652</v>
      </c>
      <c r="F8" s="255">
        <f>+F9+F10+F11+F14+F15+F16</f>
        <v>1460810310</v>
      </c>
      <c r="G8" s="110">
        <f>+G9+G10+G11+G14+G15+G16</f>
        <v>0</v>
      </c>
      <c r="H8" s="110">
        <f>+H9+H10+H11+H14+H15+H16</f>
        <v>0</v>
      </c>
    </row>
    <row r="9" spans="1:10" s="179" customFormat="1" ht="12.2" customHeight="1" x14ac:dyDescent="0.2">
      <c r="A9" s="12" t="s">
        <v>85</v>
      </c>
      <c r="B9" s="266" t="s">
        <v>180</v>
      </c>
      <c r="C9" s="811">
        <v>296190577</v>
      </c>
      <c r="D9" s="802">
        <v>301236891</v>
      </c>
      <c r="E9" s="383">
        <f>'1. sz.mell. '!C12</f>
        <v>445216727</v>
      </c>
      <c r="F9" s="214">
        <v>211161846</v>
      </c>
      <c r="G9" s="214"/>
      <c r="H9" s="214"/>
    </row>
    <row r="10" spans="1:10" s="179" customFormat="1" ht="12.2" customHeight="1" x14ac:dyDescent="0.2">
      <c r="A10" s="11" t="s">
        <v>86</v>
      </c>
      <c r="B10" s="267" t="s">
        <v>181</v>
      </c>
      <c r="C10" s="812">
        <v>262755080</v>
      </c>
      <c r="D10" s="803">
        <v>292268671</v>
      </c>
      <c r="E10" s="274">
        <f>'1. sz.mell. '!C13</f>
        <v>325490831</v>
      </c>
      <c r="F10" s="114">
        <v>235351616</v>
      </c>
      <c r="G10" s="114"/>
      <c r="H10" s="114"/>
    </row>
    <row r="11" spans="1:10" s="179" customFormat="1" ht="12.2" customHeight="1" x14ac:dyDescent="0.2">
      <c r="A11" s="11" t="s">
        <v>87</v>
      </c>
      <c r="B11" s="267" t="s">
        <v>182</v>
      </c>
      <c r="C11" s="812">
        <f>SUM(C12:C13)</f>
        <v>828956137</v>
      </c>
      <c r="D11" s="803">
        <f>SUM(D12:D13)</f>
        <v>1069330764</v>
      </c>
      <c r="E11" s="274">
        <f>'1. sz.mell. '!C14</f>
        <v>1150437314</v>
      </c>
      <c r="F11" s="114">
        <f>132342947+82528441+152850000+191583306+50232560+61299400+1796961+73694436</f>
        <v>746328051</v>
      </c>
      <c r="G11" s="114"/>
      <c r="H11" s="114"/>
    </row>
    <row r="12" spans="1:10" s="179" customFormat="1" ht="24" customHeight="1" x14ac:dyDescent="0.2">
      <c r="A12" s="11" t="s">
        <v>700</v>
      </c>
      <c r="B12" s="267" t="s">
        <v>703</v>
      </c>
      <c r="C12" s="812">
        <v>640407443</v>
      </c>
      <c r="D12" s="803">
        <v>763537895</v>
      </c>
      <c r="E12" s="274">
        <f>'1. sz.mell. '!C15</f>
        <v>832683139</v>
      </c>
      <c r="F12" s="114"/>
      <c r="G12" s="114"/>
      <c r="H12" s="114"/>
    </row>
    <row r="13" spans="1:10" s="179" customFormat="1" ht="12.2" customHeight="1" x14ac:dyDescent="0.2">
      <c r="A13" s="11" t="s">
        <v>701</v>
      </c>
      <c r="B13" s="267" t="s">
        <v>704</v>
      </c>
      <c r="C13" s="812">
        <v>188548694</v>
      </c>
      <c r="D13" s="803">
        <v>305792869</v>
      </c>
      <c r="E13" s="274">
        <f>'1. sz.mell. '!C16</f>
        <v>317754175</v>
      </c>
      <c r="F13" s="114"/>
      <c r="G13" s="114"/>
      <c r="H13" s="114"/>
    </row>
    <row r="14" spans="1:10" s="179" customFormat="1" ht="12.2" customHeight="1" x14ac:dyDescent="0.2">
      <c r="A14" s="11" t="s">
        <v>88</v>
      </c>
      <c r="B14" s="267" t="s">
        <v>183</v>
      </c>
      <c r="C14" s="812">
        <v>42308416</v>
      </c>
      <c r="D14" s="803">
        <v>42342119</v>
      </c>
      <c r="E14" s="274">
        <f>'1. sz.mell. '!C17</f>
        <v>59235347</v>
      </c>
      <c r="F14" s="114">
        <f>4617241+15998620+12622000</f>
        <v>33237861</v>
      </c>
      <c r="G14" s="114"/>
      <c r="H14" s="114"/>
    </row>
    <row r="15" spans="1:10" s="179" customFormat="1" ht="12.2" customHeight="1" x14ac:dyDescent="0.2">
      <c r="A15" s="11" t="s">
        <v>111</v>
      </c>
      <c r="B15" s="363" t="s">
        <v>385</v>
      </c>
      <c r="C15" s="812">
        <v>89874183</v>
      </c>
      <c r="D15" s="803">
        <v>83810113</v>
      </c>
      <c r="E15" s="274">
        <f>'1. sz.mell. '!C18</f>
        <v>244280433</v>
      </c>
      <c r="F15" s="114">
        <f>29417493+205313443</f>
        <v>234730936</v>
      </c>
      <c r="G15" s="114"/>
      <c r="H15" s="114"/>
    </row>
    <row r="16" spans="1:10" s="179" customFormat="1" ht="12.2" customHeight="1" thickBot="1" x14ac:dyDescent="0.25">
      <c r="A16" s="13" t="s">
        <v>89</v>
      </c>
      <c r="B16" s="364" t="s">
        <v>386</v>
      </c>
      <c r="C16" s="813">
        <v>1466064</v>
      </c>
      <c r="D16" s="804">
        <v>8368396</v>
      </c>
      <c r="E16" s="384">
        <f>'1. sz.mell. '!C19</f>
        <v>0</v>
      </c>
      <c r="F16" s="99"/>
      <c r="G16" s="111"/>
      <c r="H16" s="111"/>
    </row>
    <row r="17" spans="1:8" s="179" customFormat="1" ht="12.2" customHeight="1" thickBot="1" x14ac:dyDescent="0.25">
      <c r="A17" s="17" t="s">
        <v>17</v>
      </c>
      <c r="B17" s="365" t="s">
        <v>184</v>
      </c>
      <c r="C17" s="705">
        <f>SUM(C18:C22)</f>
        <v>349477031</v>
      </c>
      <c r="D17" s="805">
        <f>SUM(D18:D22)</f>
        <v>459913341</v>
      </c>
      <c r="E17" s="110">
        <f>'1. sz.mell. '!C20</f>
        <v>360746486</v>
      </c>
      <c r="F17" s="255">
        <f>+F18+F19+F20+F21+F22</f>
        <v>203725813</v>
      </c>
      <c r="G17" s="110">
        <f>+G18+G19+G20+G21+G22</f>
        <v>0</v>
      </c>
      <c r="H17" s="110">
        <f>+H18+H19+H20+H21+H22</f>
        <v>22754943</v>
      </c>
    </row>
    <row r="18" spans="1:8" s="179" customFormat="1" ht="12.2" customHeight="1" x14ac:dyDescent="0.2">
      <c r="A18" s="12" t="s">
        <v>91</v>
      </c>
      <c r="B18" s="266" t="s">
        <v>185</v>
      </c>
      <c r="C18" s="811">
        <v>14122</v>
      </c>
      <c r="D18" s="802"/>
      <c r="E18" s="383">
        <f>'1. sz.mell. '!C21</f>
        <v>0</v>
      </c>
      <c r="F18" s="256"/>
      <c r="G18" s="112"/>
      <c r="H18" s="112"/>
    </row>
    <row r="19" spans="1:8" s="179" customFormat="1" ht="12.2" customHeight="1" x14ac:dyDescent="0.2">
      <c r="A19" s="11" t="s">
        <v>92</v>
      </c>
      <c r="B19" s="267" t="s">
        <v>186</v>
      </c>
      <c r="C19" s="812"/>
      <c r="D19" s="803"/>
      <c r="E19" s="274">
        <f>'1. sz.mell. '!C22</f>
        <v>0</v>
      </c>
      <c r="F19" s="99"/>
      <c r="G19" s="111"/>
      <c r="H19" s="111"/>
    </row>
    <row r="20" spans="1:8" s="179" customFormat="1" ht="12.2" customHeight="1" x14ac:dyDescent="0.2">
      <c r="A20" s="11" t="s">
        <v>93</v>
      </c>
      <c r="B20" s="267" t="s">
        <v>352</v>
      </c>
      <c r="C20" s="812"/>
      <c r="D20" s="803"/>
      <c r="E20" s="274">
        <f>'1. sz.mell. '!C23</f>
        <v>0</v>
      </c>
      <c r="F20" s="99"/>
      <c r="G20" s="111"/>
      <c r="H20" s="111"/>
    </row>
    <row r="21" spans="1:8" s="179" customFormat="1" ht="12.2" customHeight="1" x14ac:dyDescent="0.2">
      <c r="A21" s="11" t="s">
        <v>94</v>
      </c>
      <c r="B21" s="267" t="s">
        <v>353</v>
      </c>
      <c r="C21" s="812"/>
      <c r="D21" s="803"/>
      <c r="E21" s="274">
        <f>'1. sz.mell. '!C24</f>
        <v>0</v>
      </c>
      <c r="F21" s="99"/>
      <c r="G21" s="111"/>
      <c r="H21" s="111"/>
    </row>
    <row r="22" spans="1:8" s="179" customFormat="1" ht="12.2" customHeight="1" x14ac:dyDescent="0.2">
      <c r="A22" s="11" t="s">
        <v>95</v>
      </c>
      <c r="B22" s="267" t="s">
        <v>187</v>
      </c>
      <c r="C22" s="812">
        <v>349462909</v>
      </c>
      <c r="D22" s="803">
        <v>459913341</v>
      </c>
      <c r="E22" s="274">
        <f>'1. sz.mell. '!C25</f>
        <v>360746486</v>
      </c>
      <c r="F22" s="246">
        <f>102792540+24250000+3975280+5670000+67037993</f>
        <v>203725813</v>
      </c>
      <c r="G22" s="114"/>
      <c r="H22" s="114">
        <v>22754943</v>
      </c>
    </row>
    <row r="23" spans="1:8" s="179" customFormat="1" ht="12.2" customHeight="1" thickBot="1" x14ac:dyDescent="0.25">
      <c r="A23" s="13" t="s">
        <v>104</v>
      </c>
      <c r="B23" s="364" t="s">
        <v>188</v>
      </c>
      <c r="C23" s="813">
        <v>100718749</v>
      </c>
      <c r="D23" s="804">
        <v>79675558</v>
      </c>
      <c r="E23" s="384">
        <f>'1. sz.mell. '!C26</f>
        <v>112633555</v>
      </c>
      <c r="F23" s="249">
        <f>67037993</f>
        <v>67037993</v>
      </c>
      <c r="G23" s="170"/>
      <c r="H23" s="170">
        <v>754943</v>
      </c>
    </row>
    <row r="24" spans="1:8" s="179" customFormat="1" ht="12.2" customHeight="1" thickBot="1" x14ac:dyDescent="0.25">
      <c r="A24" s="17" t="s">
        <v>18</v>
      </c>
      <c r="B24" s="362" t="s">
        <v>189</v>
      </c>
      <c r="C24" s="705">
        <f>SUM(C25:C29)</f>
        <v>2057307126</v>
      </c>
      <c r="D24" s="805">
        <f>SUM(D25:D29)</f>
        <v>995525530</v>
      </c>
      <c r="E24" s="110">
        <f>'1. sz.mell. '!C27</f>
        <v>580378505</v>
      </c>
      <c r="F24" s="255">
        <f>+F25+F26+F27+F28+F29</f>
        <v>82409566</v>
      </c>
      <c r="G24" s="110">
        <f>+G25+G26+G27+G28+G29</f>
        <v>0</v>
      </c>
      <c r="H24" s="110">
        <f>+H25+H26+H27+H28+H29</f>
        <v>0</v>
      </c>
    </row>
    <row r="25" spans="1:8" s="179" customFormat="1" ht="12.2" customHeight="1" x14ac:dyDescent="0.2">
      <c r="A25" s="12" t="s">
        <v>74</v>
      </c>
      <c r="B25" s="266" t="s">
        <v>190</v>
      </c>
      <c r="C25" s="811">
        <v>1315000000</v>
      </c>
      <c r="D25" s="802">
        <v>8384460</v>
      </c>
      <c r="E25" s="383">
        <f>'1. sz.mell. '!C28</f>
        <v>0</v>
      </c>
      <c r="F25" s="655"/>
      <c r="G25" s="470"/>
      <c r="H25" s="470"/>
    </row>
    <row r="26" spans="1:8" s="179" customFormat="1" ht="12.2" customHeight="1" x14ac:dyDescent="0.2">
      <c r="A26" s="11" t="s">
        <v>75</v>
      </c>
      <c r="B26" s="267" t="s">
        <v>191</v>
      </c>
      <c r="C26" s="814"/>
      <c r="D26" s="806"/>
      <c r="E26" s="386">
        <f>'1. sz.mell. '!C29</f>
        <v>0</v>
      </c>
      <c r="F26" s="246"/>
      <c r="G26" s="114"/>
      <c r="H26" s="114"/>
    </row>
    <row r="27" spans="1:8" s="179" customFormat="1" ht="12.2" customHeight="1" x14ac:dyDescent="0.2">
      <c r="A27" s="11" t="s">
        <v>76</v>
      </c>
      <c r="B27" s="267" t="s">
        <v>354</v>
      </c>
      <c r="C27" s="812"/>
      <c r="D27" s="803"/>
      <c r="E27" s="274">
        <f>'1. sz.mell. '!C30</f>
        <v>0</v>
      </c>
      <c r="F27" s="246"/>
      <c r="G27" s="114"/>
      <c r="H27" s="114"/>
    </row>
    <row r="28" spans="1:8" s="179" customFormat="1" ht="12.2" customHeight="1" x14ac:dyDescent="0.2">
      <c r="A28" s="11" t="s">
        <v>77</v>
      </c>
      <c r="B28" s="267" t="s">
        <v>355</v>
      </c>
      <c r="C28" s="812"/>
      <c r="D28" s="803"/>
      <c r="E28" s="274">
        <f>'1. sz.mell. '!C31</f>
        <v>0</v>
      </c>
      <c r="F28" s="246"/>
      <c r="G28" s="114"/>
      <c r="H28" s="114"/>
    </row>
    <row r="29" spans="1:8" s="179" customFormat="1" ht="12.2" customHeight="1" x14ac:dyDescent="0.2">
      <c r="A29" s="11" t="s">
        <v>122</v>
      </c>
      <c r="B29" s="267" t="s">
        <v>192</v>
      </c>
      <c r="C29" s="812">
        <v>742307126</v>
      </c>
      <c r="D29" s="803">
        <v>987141070</v>
      </c>
      <c r="E29" s="274">
        <f>'1. sz.mell. '!C32</f>
        <v>580378505</v>
      </c>
      <c r="F29" s="246">
        <f>5596040+25377271+3487179+47949076</f>
        <v>82409566</v>
      </c>
      <c r="G29" s="114"/>
      <c r="H29" s="114"/>
    </row>
    <row r="30" spans="1:8" s="179" customFormat="1" ht="12.2" customHeight="1" thickBot="1" x14ac:dyDescent="0.25">
      <c r="A30" s="13" t="s">
        <v>123</v>
      </c>
      <c r="B30" s="268" t="s">
        <v>193</v>
      </c>
      <c r="C30" s="813">
        <v>71627578</v>
      </c>
      <c r="D30" s="804">
        <v>880796853</v>
      </c>
      <c r="E30" s="384">
        <f>'1. sz.mell. '!C33</f>
        <v>544231505</v>
      </c>
      <c r="F30" s="249">
        <f>5596040+25377271+3487179+47949076</f>
        <v>82409566</v>
      </c>
      <c r="G30" s="170"/>
      <c r="H30" s="170"/>
    </row>
    <row r="31" spans="1:8" s="179" customFormat="1" ht="12.2" customHeight="1" thickBot="1" x14ac:dyDescent="0.25">
      <c r="A31" s="17" t="s">
        <v>124</v>
      </c>
      <c r="B31" s="362" t="s">
        <v>194</v>
      </c>
      <c r="C31" s="705">
        <f>C32+C35+C36+C37+C38</f>
        <v>368475819</v>
      </c>
      <c r="D31" s="805">
        <f>D32+D35+D36+D37+D38</f>
        <v>474772264</v>
      </c>
      <c r="E31" s="110">
        <f>'1. sz.mell. '!C34</f>
        <v>639195000</v>
      </c>
      <c r="F31" s="257">
        <f>+F32+F36+F37+F38</f>
        <v>481500000</v>
      </c>
      <c r="G31" s="115">
        <f>+G32+G36+G37+G38</f>
        <v>0</v>
      </c>
      <c r="H31" s="115">
        <f>+H32+H36+H37+H38</f>
        <v>0</v>
      </c>
    </row>
    <row r="32" spans="1:8" s="179" customFormat="1" ht="12.2" customHeight="1" x14ac:dyDescent="0.2">
      <c r="A32" s="12" t="s">
        <v>195</v>
      </c>
      <c r="B32" s="266" t="s">
        <v>554</v>
      </c>
      <c r="C32" s="704">
        <f>SUM(C33:C34)</f>
        <v>354087632</v>
      </c>
      <c r="D32" s="807">
        <f>SUM(D33:D34)</f>
        <v>458365167</v>
      </c>
      <c r="E32" s="383">
        <f>'1. sz.mell. '!C35</f>
        <v>615395000</v>
      </c>
      <c r="F32" s="269">
        <f>SUM(F33:F34)</f>
        <v>430000000</v>
      </c>
      <c r="G32" s="269">
        <f>SUM(G33:G34)</f>
        <v>0</v>
      </c>
      <c r="H32" s="269">
        <f>SUM(H33:H34)</f>
        <v>0</v>
      </c>
    </row>
    <row r="33" spans="1:8" s="179" customFormat="1" ht="12.2" customHeight="1" x14ac:dyDescent="0.2">
      <c r="A33" s="11" t="s">
        <v>196</v>
      </c>
      <c r="B33" s="267" t="s">
        <v>201</v>
      </c>
      <c r="C33" s="812">
        <v>91977110</v>
      </c>
      <c r="D33" s="803">
        <v>89262173</v>
      </c>
      <c r="E33" s="274">
        <f>'1. sz.mell. '!C36</f>
        <v>109395000</v>
      </c>
      <c r="F33" s="99">
        <f>80000000+9000000</f>
        <v>89000000</v>
      </c>
      <c r="G33" s="111"/>
      <c r="H33" s="111"/>
    </row>
    <row r="34" spans="1:8" s="179" customFormat="1" ht="12.2" customHeight="1" x14ac:dyDescent="0.2">
      <c r="A34" s="11" t="s">
        <v>197</v>
      </c>
      <c r="B34" s="504" t="s">
        <v>553</v>
      </c>
      <c r="C34" s="812">
        <v>262110522</v>
      </c>
      <c r="D34" s="803">
        <v>369102994</v>
      </c>
      <c r="E34" s="273">
        <f>'1. sz.mell. '!C37</f>
        <v>506000000</v>
      </c>
      <c r="F34" s="99">
        <f>341000000</f>
        <v>341000000</v>
      </c>
      <c r="G34" s="111"/>
      <c r="H34" s="111"/>
    </row>
    <row r="35" spans="1:8" s="179" customFormat="1" ht="12.2" customHeight="1" x14ac:dyDescent="0.2">
      <c r="A35" s="11" t="s">
        <v>198</v>
      </c>
      <c r="B35" s="267" t="s">
        <v>469</v>
      </c>
      <c r="C35" s="812">
        <v>0</v>
      </c>
      <c r="D35" s="803">
        <v>813471</v>
      </c>
      <c r="E35" s="273">
        <f>'1. sz.mell. '!C38</f>
        <v>0</v>
      </c>
      <c r="F35" s="246"/>
      <c r="G35" s="114"/>
      <c r="H35" s="114"/>
    </row>
    <row r="36" spans="1:8" s="179" customFormat="1" ht="12.2" customHeight="1" x14ac:dyDescent="0.2">
      <c r="A36" s="11" t="s">
        <v>470</v>
      </c>
      <c r="B36" s="267" t="s">
        <v>202</v>
      </c>
      <c r="C36" s="812">
        <v>0</v>
      </c>
      <c r="D36" s="803">
        <v>0</v>
      </c>
      <c r="E36" s="273">
        <v>0</v>
      </c>
      <c r="F36" s="99">
        <f>35000000</f>
        <v>35000000</v>
      </c>
      <c r="G36" s="111"/>
      <c r="H36" s="111"/>
    </row>
    <row r="37" spans="1:8" s="179" customFormat="1" ht="12.2" customHeight="1" x14ac:dyDescent="0.2">
      <c r="A37" s="11" t="s">
        <v>200</v>
      </c>
      <c r="B37" s="267" t="s">
        <v>203</v>
      </c>
      <c r="C37" s="812">
        <v>774900</v>
      </c>
      <c r="D37" s="803">
        <v>592200</v>
      </c>
      <c r="E37" s="273">
        <f>'1. sz.mell. '!C39</f>
        <v>1000000</v>
      </c>
      <c r="F37" s="99"/>
      <c r="G37" s="111"/>
      <c r="H37" s="111"/>
    </row>
    <row r="38" spans="1:8" s="179" customFormat="1" ht="12.2" customHeight="1" thickBot="1" x14ac:dyDescent="0.25">
      <c r="A38" s="13" t="s">
        <v>471</v>
      </c>
      <c r="B38" s="268" t="s">
        <v>204</v>
      </c>
      <c r="C38" s="813">
        <v>13613287</v>
      </c>
      <c r="D38" s="804">
        <v>15001426</v>
      </c>
      <c r="E38" s="384">
        <f>'1. sz.mell. '!C40</f>
        <v>22800000</v>
      </c>
      <c r="F38" s="249">
        <f>6000000+4000000+2500000+500000+3500000</f>
        <v>16500000</v>
      </c>
      <c r="G38" s="170"/>
      <c r="H38" s="170"/>
    </row>
    <row r="39" spans="1:8" s="179" customFormat="1" ht="12.2" customHeight="1" thickBot="1" x14ac:dyDescent="0.25">
      <c r="A39" s="17" t="s">
        <v>20</v>
      </c>
      <c r="B39" s="362" t="s">
        <v>387</v>
      </c>
      <c r="C39" s="705">
        <f>SUM(C40:C50)</f>
        <v>289873617</v>
      </c>
      <c r="D39" s="805">
        <f>SUM(D40:D50)</f>
        <v>338206507</v>
      </c>
      <c r="E39" s="110">
        <f>'1. sz.mell. '!C41</f>
        <v>496802113</v>
      </c>
      <c r="F39" s="255">
        <f>SUM(F40:F50)</f>
        <v>64295778</v>
      </c>
      <c r="G39" s="110">
        <f>SUM(G40:G50)</f>
        <v>8150828</v>
      </c>
      <c r="H39" s="110">
        <f>SUM(H40:H50)</f>
        <v>266151972</v>
      </c>
    </row>
    <row r="40" spans="1:8" s="179" customFormat="1" ht="12.2" customHeight="1" x14ac:dyDescent="0.2">
      <c r="A40" s="12" t="s">
        <v>78</v>
      </c>
      <c r="B40" s="266" t="s">
        <v>207</v>
      </c>
      <c r="C40" s="811">
        <v>1619390</v>
      </c>
      <c r="D40" s="802">
        <v>1089764</v>
      </c>
      <c r="E40" s="383">
        <f>'1. sz.mell. '!C42</f>
        <v>0</v>
      </c>
      <c r="F40" s="655">
        <f>7385026+10000+10375680</f>
        <v>17770706</v>
      </c>
      <c r="G40" s="214"/>
      <c r="H40" s="214">
        <v>20000</v>
      </c>
    </row>
    <row r="41" spans="1:8" s="179" customFormat="1" ht="12.2" customHeight="1" x14ac:dyDescent="0.2">
      <c r="A41" s="11" t="s">
        <v>79</v>
      </c>
      <c r="B41" s="267" t="s">
        <v>208</v>
      </c>
      <c r="C41" s="812">
        <v>35683418</v>
      </c>
      <c r="D41" s="803">
        <v>44357165</v>
      </c>
      <c r="E41" s="274">
        <f>'1. sz.mell. '!C43</f>
        <v>56469214</v>
      </c>
      <c r="F41" s="246">
        <f>15901900+787402+500000</f>
        <v>17189302</v>
      </c>
      <c r="G41" s="114">
        <f>4000000+1241400+372638</f>
        <v>5614038</v>
      </c>
      <c r="H41" s="214">
        <f>32107480+8820000+616000+13688512</f>
        <v>55231992</v>
      </c>
    </row>
    <row r="42" spans="1:8" s="179" customFormat="1" ht="12.2" customHeight="1" x14ac:dyDescent="0.2">
      <c r="A42" s="11" t="s">
        <v>80</v>
      </c>
      <c r="B42" s="267" t="s">
        <v>209</v>
      </c>
      <c r="C42" s="812">
        <v>27216666</v>
      </c>
      <c r="D42" s="803">
        <v>36080974</v>
      </c>
      <c r="E42" s="274">
        <f>'1. sz.mell. '!C44</f>
        <v>61126394</v>
      </c>
      <c r="F42" s="246">
        <f>20000+6000000+700000+1000000+1109692</f>
        <v>8829692</v>
      </c>
      <c r="G42" s="114">
        <f>300000</f>
        <v>300000</v>
      </c>
      <c r="H42" s="214">
        <f>1586000+50000+4200000+12700000</f>
        <v>18536000</v>
      </c>
    </row>
    <row r="43" spans="1:8" s="179" customFormat="1" ht="12.2" customHeight="1" x14ac:dyDescent="0.2">
      <c r="A43" s="11" t="s">
        <v>126</v>
      </c>
      <c r="B43" s="267" t="s">
        <v>210</v>
      </c>
      <c r="C43" s="812">
        <v>6598332</v>
      </c>
      <c r="D43" s="803">
        <v>8517471</v>
      </c>
      <c r="E43" s="274">
        <f>'1. sz.mell. '!C45</f>
        <v>3700000</v>
      </c>
      <c r="F43" s="246">
        <f>440000+300000</f>
        <v>740000</v>
      </c>
      <c r="G43" s="114"/>
      <c r="H43" s="214"/>
    </row>
    <row r="44" spans="1:8" s="179" customFormat="1" ht="12.2" customHeight="1" x14ac:dyDescent="0.2">
      <c r="A44" s="11" t="s">
        <v>127</v>
      </c>
      <c r="B44" s="267" t="s">
        <v>211</v>
      </c>
      <c r="C44" s="812">
        <v>170792469</v>
      </c>
      <c r="D44" s="803">
        <v>194620247</v>
      </c>
      <c r="E44" s="274">
        <f>'1. sz.mell. '!C46</f>
        <v>266344271</v>
      </c>
      <c r="F44" s="246"/>
      <c r="G44" s="114"/>
      <c r="H44" s="214">
        <f>17535396+708995+862330+152500000</f>
        <v>171606721</v>
      </c>
    </row>
    <row r="45" spans="1:8" s="179" customFormat="1" ht="12.2" customHeight="1" x14ac:dyDescent="0.2">
      <c r="A45" s="11" t="s">
        <v>128</v>
      </c>
      <c r="B45" s="267" t="s">
        <v>212</v>
      </c>
      <c r="C45" s="812">
        <v>15619140</v>
      </c>
      <c r="D45" s="803">
        <v>21646908</v>
      </c>
      <c r="E45" s="274">
        <f>'1. sz.mell. '!C47</f>
        <v>45592274</v>
      </c>
      <c r="F45" s="246">
        <f>5400+1993957+12052638+212598+189000+2801434+333450+135000</f>
        <v>17723477</v>
      </c>
      <c r="G45" s="114">
        <f>1161000+335178+100612</f>
        <v>1596790</v>
      </c>
      <c r="H45" s="214">
        <f>4914377+191429+869400+1533149+4814904</f>
        <v>12323259</v>
      </c>
    </row>
    <row r="46" spans="1:8" s="179" customFormat="1" ht="12.2" customHeight="1" x14ac:dyDescent="0.2">
      <c r="A46" s="11" t="s">
        <v>129</v>
      </c>
      <c r="B46" s="267" t="s">
        <v>213</v>
      </c>
      <c r="C46" s="812">
        <v>8473000</v>
      </c>
      <c r="D46" s="803">
        <v>21258000</v>
      </c>
      <c r="E46" s="274">
        <f>'1. sz.mell. '!C48</f>
        <v>34436111</v>
      </c>
      <c r="F46" s="246"/>
      <c r="G46" s="114"/>
      <c r="H46" s="214">
        <f>7614000+650000+169000</f>
        <v>8433000</v>
      </c>
    </row>
    <row r="47" spans="1:8" s="179" customFormat="1" ht="12.2" customHeight="1" x14ac:dyDescent="0.2">
      <c r="A47" s="11" t="s">
        <v>130</v>
      </c>
      <c r="B47" s="267" t="s">
        <v>481</v>
      </c>
      <c r="C47" s="812">
        <v>5910</v>
      </c>
      <c r="D47" s="803">
        <v>19586</v>
      </c>
      <c r="E47" s="274">
        <f>'1. sz.mell. '!C49</f>
        <v>0</v>
      </c>
      <c r="F47" s="246"/>
      <c r="G47" s="114"/>
      <c r="H47" s="214"/>
    </row>
    <row r="48" spans="1:8" s="179" customFormat="1" ht="12.2" customHeight="1" x14ac:dyDescent="0.2">
      <c r="A48" s="11" t="s">
        <v>205</v>
      </c>
      <c r="B48" s="267" t="s">
        <v>215</v>
      </c>
      <c r="C48" s="812"/>
      <c r="D48" s="803"/>
      <c r="E48" s="274">
        <f>'1. sz.mell. '!C50</f>
        <v>0</v>
      </c>
      <c r="F48" s="246"/>
      <c r="G48" s="114"/>
      <c r="H48" s="214"/>
    </row>
    <row r="49" spans="1:8" s="179" customFormat="1" ht="12.2" customHeight="1" x14ac:dyDescent="0.2">
      <c r="A49" s="13" t="s">
        <v>206</v>
      </c>
      <c r="B49" s="268" t="s">
        <v>388</v>
      </c>
      <c r="C49" s="812">
        <v>17361516</v>
      </c>
      <c r="D49" s="803">
        <v>2459873</v>
      </c>
      <c r="E49" s="274">
        <f>'1. sz.mell. '!C51</f>
        <v>0</v>
      </c>
      <c r="F49" s="249">
        <f>500000</f>
        <v>500000</v>
      </c>
      <c r="G49" s="170"/>
      <c r="H49" s="214"/>
    </row>
    <row r="50" spans="1:8" s="179" customFormat="1" ht="12.2" customHeight="1" thickBot="1" x14ac:dyDescent="0.25">
      <c r="A50" s="13" t="s">
        <v>389</v>
      </c>
      <c r="B50" s="364" t="s">
        <v>216</v>
      </c>
      <c r="C50" s="813">
        <v>6503776</v>
      </c>
      <c r="D50" s="804">
        <v>8156519</v>
      </c>
      <c r="E50" s="384">
        <f>'1. sz.mell. '!C52</f>
        <v>29133849</v>
      </c>
      <c r="F50" s="249">
        <f>507601+335000+700000</f>
        <v>1542601</v>
      </c>
      <c r="G50" s="170">
        <f>640000</f>
        <v>640000</v>
      </c>
      <c r="H50" s="214">
        <v>1000</v>
      </c>
    </row>
    <row r="51" spans="1:8" s="179" customFormat="1" ht="12.2" customHeight="1" thickBot="1" x14ac:dyDescent="0.25">
      <c r="A51" s="17" t="s">
        <v>21</v>
      </c>
      <c r="B51" s="362" t="s">
        <v>217</v>
      </c>
      <c r="C51" s="705">
        <f>SUM(C52:C56)</f>
        <v>24015126</v>
      </c>
      <c r="D51" s="805">
        <f>SUM(D52:D56)</f>
        <v>16538892</v>
      </c>
      <c r="E51" s="110">
        <f>'1. sz.mell. '!C53</f>
        <v>60500000</v>
      </c>
      <c r="F51" s="255">
        <f>SUM(F52:F56)</f>
        <v>21787500</v>
      </c>
      <c r="G51" s="110">
        <f>SUM(G52:G56)</f>
        <v>300000</v>
      </c>
      <c r="H51" s="110">
        <f>SUM(H52:H56)</f>
        <v>0</v>
      </c>
    </row>
    <row r="52" spans="1:8" s="179" customFormat="1" ht="12.2" customHeight="1" x14ac:dyDescent="0.2">
      <c r="A52" s="12" t="s">
        <v>81</v>
      </c>
      <c r="B52" s="266" t="s">
        <v>221</v>
      </c>
      <c r="C52" s="815"/>
      <c r="D52" s="808"/>
      <c r="E52" s="385">
        <f>'1. sz.mell. '!C54</f>
        <v>0</v>
      </c>
      <c r="F52" s="655"/>
      <c r="G52" s="214"/>
      <c r="H52" s="214"/>
    </row>
    <row r="53" spans="1:8" s="179" customFormat="1" ht="12.2" customHeight="1" x14ac:dyDescent="0.2">
      <c r="A53" s="11" t="s">
        <v>82</v>
      </c>
      <c r="B53" s="267" t="s">
        <v>222</v>
      </c>
      <c r="C53" s="812">
        <v>23960843</v>
      </c>
      <c r="D53" s="803">
        <v>16527081</v>
      </c>
      <c r="E53" s="274">
        <f>'1. sz.mell. '!C55</f>
        <v>60500000</v>
      </c>
      <c r="F53" s="246">
        <f>21787500</f>
        <v>21787500</v>
      </c>
      <c r="G53" s="114"/>
      <c r="H53" s="114"/>
    </row>
    <row r="54" spans="1:8" s="179" customFormat="1" ht="12.2" customHeight="1" x14ac:dyDescent="0.2">
      <c r="A54" s="11" t="s">
        <v>218</v>
      </c>
      <c r="B54" s="267" t="s">
        <v>223</v>
      </c>
      <c r="C54" s="812">
        <v>54283</v>
      </c>
      <c r="D54" s="803">
        <v>11811</v>
      </c>
      <c r="E54" s="274">
        <f>'1. sz.mell. '!C56</f>
        <v>0</v>
      </c>
      <c r="F54" s="246"/>
      <c r="G54" s="114">
        <f>300000</f>
        <v>300000</v>
      </c>
      <c r="H54" s="114"/>
    </row>
    <row r="55" spans="1:8" s="179" customFormat="1" ht="12.2" customHeight="1" x14ac:dyDescent="0.2">
      <c r="A55" s="11" t="s">
        <v>219</v>
      </c>
      <c r="B55" s="267" t="s">
        <v>224</v>
      </c>
      <c r="C55" s="812"/>
      <c r="D55" s="803"/>
      <c r="E55" s="274">
        <f>'1. sz.mell. '!C57</f>
        <v>0</v>
      </c>
      <c r="F55" s="246"/>
      <c r="G55" s="114"/>
      <c r="H55" s="114"/>
    </row>
    <row r="56" spans="1:8" s="179" customFormat="1" ht="12.2" customHeight="1" thickBot="1" x14ac:dyDescent="0.25">
      <c r="A56" s="13" t="s">
        <v>220</v>
      </c>
      <c r="B56" s="364" t="s">
        <v>225</v>
      </c>
      <c r="C56" s="813">
        <v>0</v>
      </c>
      <c r="D56" s="804">
        <v>0</v>
      </c>
      <c r="E56" s="387">
        <f>'1. sz.mell. '!C58</f>
        <v>0</v>
      </c>
      <c r="F56" s="249"/>
      <c r="G56" s="170"/>
      <c r="H56" s="170"/>
    </row>
    <row r="57" spans="1:8" s="179" customFormat="1" ht="12.2" customHeight="1" thickBot="1" x14ac:dyDescent="0.25">
      <c r="A57" s="17" t="s">
        <v>131</v>
      </c>
      <c r="B57" s="362" t="s">
        <v>226</v>
      </c>
      <c r="C57" s="705">
        <f>SUM(C58:C60)</f>
        <v>14672429</v>
      </c>
      <c r="D57" s="805">
        <f>SUM(D58:D60)</f>
        <v>4094166</v>
      </c>
      <c r="E57" s="265">
        <f>'1. sz.mell. '!C59</f>
        <v>1200000</v>
      </c>
      <c r="F57" s="255">
        <f>SUM(F58:F60)</f>
        <v>1430000</v>
      </c>
      <c r="G57" s="110">
        <f>SUM(G58:G60)</f>
        <v>0</v>
      </c>
      <c r="H57" s="110">
        <f>SUM(H58:H60)</f>
        <v>0</v>
      </c>
    </row>
    <row r="58" spans="1:8" s="179" customFormat="1" ht="12.2" customHeight="1" x14ac:dyDescent="0.2">
      <c r="A58" s="12" t="s">
        <v>83</v>
      </c>
      <c r="B58" s="266" t="s">
        <v>227</v>
      </c>
      <c r="C58" s="1198">
        <v>323648</v>
      </c>
      <c r="D58" s="1031">
        <v>881275</v>
      </c>
      <c r="E58" s="388">
        <f>'1. sz.mell. '!C60</f>
        <v>1000000</v>
      </c>
      <c r="F58" s="256"/>
      <c r="G58" s="112"/>
      <c r="H58" s="112"/>
    </row>
    <row r="59" spans="1:8" s="179" customFormat="1" ht="12.2" customHeight="1" x14ac:dyDescent="0.2">
      <c r="A59" s="11" t="s">
        <v>84</v>
      </c>
      <c r="B59" s="267" t="s">
        <v>356</v>
      </c>
      <c r="C59" s="812">
        <v>431905</v>
      </c>
      <c r="D59" s="803">
        <v>542808</v>
      </c>
      <c r="E59" s="274">
        <f>'1. sz.mell. '!C61</f>
        <v>200000</v>
      </c>
      <c r="F59" s="246">
        <f>480000</f>
        <v>480000</v>
      </c>
      <c r="G59" s="114"/>
      <c r="H59" s="114"/>
    </row>
    <row r="60" spans="1:8" s="179" customFormat="1" ht="12.2" customHeight="1" x14ac:dyDescent="0.2">
      <c r="A60" s="11" t="s">
        <v>230</v>
      </c>
      <c r="B60" s="267" t="s">
        <v>228</v>
      </c>
      <c r="C60" s="812">
        <v>13916876</v>
      </c>
      <c r="D60" s="803">
        <v>2670083</v>
      </c>
      <c r="E60" s="274">
        <f>'1. sz.mell. '!C62</f>
        <v>0</v>
      </c>
      <c r="F60" s="246">
        <f>950000</f>
        <v>950000</v>
      </c>
      <c r="G60" s="114"/>
      <c r="H60" s="114"/>
    </row>
    <row r="61" spans="1:8" s="179" customFormat="1" ht="12.2" customHeight="1" thickBot="1" x14ac:dyDescent="0.25">
      <c r="A61" s="13" t="s">
        <v>231</v>
      </c>
      <c r="B61" s="364" t="s">
        <v>229</v>
      </c>
      <c r="C61" s="813"/>
      <c r="D61" s="804"/>
      <c r="E61" s="384">
        <f>'1. sz.mell. '!C63</f>
        <v>0</v>
      </c>
      <c r="F61" s="100"/>
      <c r="G61" s="113"/>
      <c r="H61" s="113"/>
    </row>
    <row r="62" spans="1:8" s="179" customFormat="1" ht="12.2" customHeight="1" thickBot="1" x14ac:dyDescent="0.25">
      <c r="A62" s="17" t="s">
        <v>23</v>
      </c>
      <c r="B62" s="365" t="s">
        <v>232</v>
      </c>
      <c r="C62" s="705">
        <f>SUM(C63:C65)</f>
        <v>250000</v>
      </c>
      <c r="D62" s="805">
        <f>SUM(D63:D65)</f>
        <v>12300788</v>
      </c>
      <c r="E62" s="110">
        <f>'1. sz.mell. '!C64</f>
        <v>0</v>
      </c>
      <c r="F62" s="255">
        <f>SUM(F63:F65)</f>
        <v>0</v>
      </c>
      <c r="G62" s="110">
        <f>SUM(G63:G65)</f>
        <v>0</v>
      </c>
      <c r="H62" s="110">
        <f>SUM(H63:H65)</f>
        <v>0</v>
      </c>
    </row>
    <row r="63" spans="1:8" s="179" customFormat="1" ht="12.2" customHeight="1" x14ac:dyDescent="0.2">
      <c r="A63" s="12" t="s">
        <v>132</v>
      </c>
      <c r="B63" s="266" t="s">
        <v>234</v>
      </c>
      <c r="C63" s="815"/>
      <c r="D63" s="808"/>
      <c r="E63" s="385">
        <f>'1. sz.mell. '!C65</f>
        <v>0</v>
      </c>
      <c r="F63" s="246"/>
      <c r="G63" s="114"/>
      <c r="H63" s="114"/>
    </row>
    <row r="64" spans="1:8" s="179" customFormat="1" ht="12.2" customHeight="1" x14ac:dyDescent="0.2">
      <c r="A64" s="11" t="s">
        <v>133</v>
      </c>
      <c r="B64" s="267" t="s">
        <v>357</v>
      </c>
      <c r="C64" s="814"/>
      <c r="D64" s="806"/>
      <c r="E64" s="386">
        <f>'1. sz.mell. '!C66</f>
        <v>0</v>
      </c>
      <c r="F64" s="246"/>
      <c r="G64" s="114"/>
      <c r="H64" s="114"/>
    </row>
    <row r="65" spans="1:8" s="179" customFormat="1" ht="12.2" customHeight="1" x14ac:dyDescent="0.2">
      <c r="A65" s="11" t="s">
        <v>158</v>
      </c>
      <c r="B65" s="267" t="s">
        <v>235</v>
      </c>
      <c r="C65" s="812">
        <v>250000</v>
      </c>
      <c r="D65" s="803">
        <v>12300788</v>
      </c>
      <c r="E65" s="386">
        <f>'1. sz.mell. '!C67</f>
        <v>0</v>
      </c>
      <c r="F65" s="246"/>
      <c r="G65" s="114"/>
      <c r="H65" s="114"/>
    </row>
    <row r="66" spans="1:8" s="179" customFormat="1" ht="12.2" customHeight="1" thickBot="1" x14ac:dyDescent="0.25">
      <c r="A66" s="13" t="s">
        <v>233</v>
      </c>
      <c r="B66" s="364" t="s">
        <v>236</v>
      </c>
      <c r="C66" s="813">
        <v>0</v>
      </c>
      <c r="D66" s="804">
        <v>0</v>
      </c>
      <c r="E66" s="387">
        <f>'1. sz.mell. '!C68</f>
        <v>0</v>
      </c>
      <c r="F66" s="246"/>
      <c r="G66" s="114"/>
      <c r="H66" s="114"/>
    </row>
    <row r="67" spans="1:8" s="179" customFormat="1" ht="12.2" customHeight="1" thickBot="1" x14ac:dyDescent="0.25">
      <c r="A67" s="233" t="s">
        <v>390</v>
      </c>
      <c r="B67" s="362" t="s">
        <v>237</v>
      </c>
      <c r="C67" s="500">
        <f>C8+C17+C24+C31+C39+C51+C57+C62</f>
        <v>4625621605</v>
      </c>
      <c r="D67" s="498">
        <f>D8+D17+D24+D31+D39+D51+D57+D62</f>
        <v>4098708442</v>
      </c>
      <c r="E67" s="110">
        <f>'1. sz.mell. '!C69</f>
        <v>4363482756</v>
      </c>
      <c r="F67" s="257">
        <f>+F8+F17+F24+F31+F39+F51+F57+F62</f>
        <v>2315958967</v>
      </c>
      <c r="G67" s="115">
        <f>+G8+G17+G24+G31+G39+G51+G57+G62</f>
        <v>8450828</v>
      </c>
      <c r="H67" s="115">
        <f>+H8+H17+H24+H31+H39+H51+H57+H62</f>
        <v>288906915</v>
      </c>
    </row>
    <row r="68" spans="1:8" s="179" customFormat="1" ht="12.2" customHeight="1" thickBot="1" x14ac:dyDescent="0.25">
      <c r="A68" s="234" t="s">
        <v>238</v>
      </c>
      <c r="B68" s="365" t="s">
        <v>482</v>
      </c>
      <c r="C68" s="500">
        <f>SUM(C69:C71)</f>
        <v>1015000568</v>
      </c>
      <c r="D68" s="498">
        <f>SUM(D69:D71)</f>
        <v>1041364813</v>
      </c>
      <c r="E68" s="110">
        <f>'1. sz.mell. '!C70</f>
        <v>1254058824</v>
      </c>
      <c r="F68" s="255">
        <f>SUM(F69:F71)</f>
        <v>169269106</v>
      </c>
      <c r="G68" s="110">
        <f>SUM(G69:G71)</f>
        <v>0</v>
      </c>
      <c r="H68" s="110">
        <f>SUM(H69:H71)</f>
        <v>0</v>
      </c>
    </row>
    <row r="69" spans="1:8" s="179" customFormat="1" ht="12.2" customHeight="1" x14ac:dyDescent="0.2">
      <c r="A69" s="12" t="s">
        <v>270</v>
      </c>
      <c r="B69" s="266" t="s">
        <v>240</v>
      </c>
      <c r="C69" s="811">
        <v>11502781</v>
      </c>
      <c r="D69" s="802">
        <v>0</v>
      </c>
      <c r="E69" s="383">
        <f>'1. sz.mell. '!C71</f>
        <v>154058824</v>
      </c>
      <c r="F69" s="246">
        <f>69269106</f>
        <v>69269106</v>
      </c>
      <c r="G69" s="114"/>
      <c r="H69" s="114"/>
    </row>
    <row r="70" spans="1:8" s="179" customFormat="1" ht="12.2" customHeight="1" x14ac:dyDescent="0.2">
      <c r="A70" s="11" t="s">
        <v>279</v>
      </c>
      <c r="B70" s="267" t="s">
        <v>241</v>
      </c>
      <c r="C70" s="812">
        <v>1003497787</v>
      </c>
      <c r="D70" s="803">
        <v>1041364813</v>
      </c>
      <c r="E70" s="274">
        <f>'1. sz.mell. '!C72</f>
        <v>1100000000</v>
      </c>
      <c r="F70" s="246">
        <v>100000000</v>
      </c>
      <c r="G70" s="114"/>
      <c r="H70" s="114"/>
    </row>
    <row r="71" spans="1:8" s="179" customFormat="1" ht="12.2" customHeight="1" thickBot="1" x14ac:dyDescent="0.25">
      <c r="A71" s="13" t="s">
        <v>280</v>
      </c>
      <c r="B71" s="366" t="s">
        <v>391</v>
      </c>
      <c r="C71" s="816"/>
      <c r="D71" s="809"/>
      <c r="E71" s="387">
        <f>'1. sz.mell. '!C73</f>
        <v>0</v>
      </c>
      <c r="F71" s="246"/>
      <c r="G71" s="114"/>
      <c r="H71" s="114"/>
    </row>
    <row r="72" spans="1:8" s="179" customFormat="1" ht="12.2" customHeight="1" thickBot="1" x14ac:dyDescent="0.25">
      <c r="A72" s="234" t="s">
        <v>243</v>
      </c>
      <c r="B72" s="365" t="s">
        <v>244</v>
      </c>
      <c r="C72" s="503">
        <f>SUM(C73:C76)</f>
        <v>0</v>
      </c>
      <c r="D72" s="810">
        <f>SUM(D73:D76)</f>
        <v>0</v>
      </c>
      <c r="E72" s="110">
        <f>'1. sz.mell. '!C74</f>
        <v>0</v>
      </c>
      <c r="F72" s="255">
        <f>SUM(F73:F76)</f>
        <v>0</v>
      </c>
      <c r="G72" s="110">
        <f>SUM(G73:G76)</f>
        <v>0</v>
      </c>
      <c r="H72" s="110">
        <f>SUM(H73:H76)</f>
        <v>0</v>
      </c>
    </row>
    <row r="73" spans="1:8" s="179" customFormat="1" ht="12.2" customHeight="1" x14ac:dyDescent="0.2">
      <c r="A73" s="12" t="s">
        <v>112</v>
      </c>
      <c r="B73" s="266" t="s">
        <v>245</v>
      </c>
      <c r="C73" s="815"/>
      <c r="D73" s="808"/>
      <c r="E73" s="385">
        <f>'1. sz.mell. '!C75</f>
        <v>0</v>
      </c>
      <c r="F73" s="246"/>
      <c r="G73" s="114"/>
      <c r="H73" s="114"/>
    </row>
    <row r="74" spans="1:8" s="179" customFormat="1" ht="17.45" customHeight="1" x14ac:dyDescent="0.2">
      <c r="A74" s="11" t="s">
        <v>113</v>
      </c>
      <c r="B74" s="267" t="s">
        <v>246</v>
      </c>
      <c r="C74" s="814"/>
      <c r="D74" s="806"/>
      <c r="E74" s="386">
        <f>'1. sz.mell. '!C76</f>
        <v>0</v>
      </c>
      <c r="F74" s="246"/>
      <c r="G74" s="114"/>
      <c r="H74" s="114"/>
    </row>
    <row r="75" spans="1:8" s="179" customFormat="1" ht="12.2" customHeight="1" x14ac:dyDescent="0.2">
      <c r="A75" s="11" t="s">
        <v>271</v>
      </c>
      <c r="B75" s="267" t="s">
        <v>247</v>
      </c>
      <c r="C75" s="814"/>
      <c r="D75" s="806"/>
      <c r="E75" s="386">
        <f>'1. sz.mell. '!C77</f>
        <v>0</v>
      </c>
      <c r="F75" s="246"/>
      <c r="G75" s="114"/>
      <c r="H75" s="114"/>
    </row>
    <row r="76" spans="1:8" s="179" customFormat="1" ht="12.2" customHeight="1" thickBot="1" x14ac:dyDescent="0.25">
      <c r="A76" s="13" t="s">
        <v>272</v>
      </c>
      <c r="B76" s="364" t="s">
        <v>248</v>
      </c>
      <c r="C76" s="816"/>
      <c r="D76" s="809"/>
      <c r="E76" s="387">
        <f>'1. sz.mell. '!C78</f>
        <v>0</v>
      </c>
      <c r="F76" s="246"/>
      <c r="G76" s="114"/>
      <c r="H76" s="114"/>
    </row>
    <row r="77" spans="1:8" s="179" customFormat="1" ht="12.2" customHeight="1" thickBot="1" x14ac:dyDescent="0.25">
      <c r="A77" s="234" t="s">
        <v>249</v>
      </c>
      <c r="B77" s="365" t="s">
        <v>250</v>
      </c>
      <c r="C77" s="500">
        <f>SUM(C78:C79)</f>
        <v>855568870</v>
      </c>
      <c r="D77" s="498">
        <f>SUM(D78:D79)</f>
        <v>2438161695</v>
      </c>
      <c r="E77" s="110">
        <f>'1. sz.mell. '!C79</f>
        <v>2241380024</v>
      </c>
      <c r="F77" s="255">
        <f>SUM(F78:F79)</f>
        <v>346583469</v>
      </c>
      <c r="G77" s="110">
        <f>SUM(G78:G79)</f>
        <v>829764</v>
      </c>
      <c r="H77" s="110">
        <f>SUM(H78:H79)</f>
        <v>17254367</v>
      </c>
    </row>
    <row r="78" spans="1:8" s="179" customFormat="1" ht="12.2" customHeight="1" x14ac:dyDescent="0.2">
      <c r="A78" s="12" t="s">
        <v>273</v>
      </c>
      <c r="B78" s="266" t="s">
        <v>251</v>
      </c>
      <c r="C78" s="811">
        <v>855568870</v>
      </c>
      <c r="D78" s="802">
        <v>2438161695</v>
      </c>
      <c r="E78" s="383">
        <f>'1. sz.mell. '!C80</f>
        <v>2241380024</v>
      </c>
      <c r="F78" s="246">
        <f>346583469</f>
        <v>346583469</v>
      </c>
      <c r="G78" s="114">
        <f>829764</f>
        <v>829764</v>
      </c>
      <c r="H78" s="114">
        <f>1550858+372804+435258+1054835+13840612</f>
        <v>17254367</v>
      </c>
    </row>
    <row r="79" spans="1:8" s="179" customFormat="1" ht="12.2" customHeight="1" thickBot="1" x14ac:dyDescent="0.25">
      <c r="A79" s="13" t="s">
        <v>274</v>
      </c>
      <c r="B79" s="364" t="s">
        <v>252</v>
      </c>
      <c r="C79" s="816"/>
      <c r="D79" s="809"/>
      <c r="E79" s="387">
        <f>'1. sz.mell. '!C81</f>
        <v>0</v>
      </c>
      <c r="F79" s="246"/>
      <c r="G79" s="114"/>
      <c r="H79" s="114"/>
    </row>
    <row r="80" spans="1:8" s="179" customFormat="1" ht="12.2" customHeight="1" thickBot="1" x14ac:dyDescent="0.25">
      <c r="A80" s="234" t="s">
        <v>253</v>
      </c>
      <c r="B80" s="365" t="s">
        <v>254</v>
      </c>
      <c r="C80" s="501">
        <f>SUM(C81:C83)</f>
        <v>55076107</v>
      </c>
      <c r="D80" s="499">
        <f>SUM(D81:D83)</f>
        <v>61842606</v>
      </c>
      <c r="E80" s="110">
        <f>'1. sz.mell. '!C82</f>
        <v>61842606</v>
      </c>
      <c r="F80" s="255">
        <f>SUM(F81:F83)</f>
        <v>0</v>
      </c>
      <c r="G80" s="110">
        <f>SUM(G81:G83)</f>
        <v>0</v>
      </c>
      <c r="H80" s="110">
        <f>SUM(H81:H83)</f>
        <v>0</v>
      </c>
    </row>
    <row r="81" spans="1:8" s="179" customFormat="1" ht="12.2" customHeight="1" x14ac:dyDescent="0.2">
      <c r="A81" s="12" t="s">
        <v>275</v>
      </c>
      <c r="B81" s="266" t="s">
        <v>255</v>
      </c>
      <c r="C81" s="811">
        <v>55076107</v>
      </c>
      <c r="D81" s="802">
        <v>61842606</v>
      </c>
      <c r="E81" s="385">
        <f>'1. sz.mell. '!C83</f>
        <v>61842606</v>
      </c>
      <c r="F81" s="246"/>
      <c r="G81" s="114"/>
      <c r="H81" s="114"/>
    </row>
    <row r="82" spans="1:8" s="179" customFormat="1" ht="12.2" customHeight="1" x14ac:dyDescent="0.2">
      <c r="A82" s="11" t="s">
        <v>276</v>
      </c>
      <c r="B82" s="267" t="s">
        <v>256</v>
      </c>
      <c r="C82" s="814"/>
      <c r="D82" s="806"/>
      <c r="E82" s="386">
        <f>'1. sz.mell. '!C84</f>
        <v>0</v>
      </c>
      <c r="F82" s="246"/>
      <c r="G82" s="114"/>
      <c r="H82" s="114"/>
    </row>
    <row r="83" spans="1:8" s="179" customFormat="1" ht="12.2" customHeight="1" thickBot="1" x14ac:dyDescent="0.25">
      <c r="A83" s="13" t="s">
        <v>277</v>
      </c>
      <c r="B83" s="364" t="s">
        <v>257</v>
      </c>
      <c r="C83" s="816"/>
      <c r="D83" s="809"/>
      <c r="E83" s="387">
        <f>'1. sz.mell. '!C85</f>
        <v>0</v>
      </c>
      <c r="F83" s="246"/>
      <c r="G83" s="114"/>
      <c r="H83" s="114"/>
    </row>
    <row r="84" spans="1:8" s="179" customFormat="1" ht="12.2" customHeight="1" thickBot="1" x14ac:dyDescent="0.25">
      <c r="A84" s="234" t="s">
        <v>258</v>
      </c>
      <c r="B84" s="365" t="s">
        <v>278</v>
      </c>
      <c r="C84" s="503">
        <f>SUM(C85:C88)</f>
        <v>0</v>
      </c>
      <c r="D84" s="810">
        <f>SUM(D85:D88)</f>
        <v>0</v>
      </c>
      <c r="E84" s="110">
        <f>'1. sz.mell. '!C86</f>
        <v>0</v>
      </c>
      <c r="F84" s="255">
        <f>SUM(F85:F88)</f>
        <v>0</v>
      </c>
      <c r="G84" s="110">
        <f>SUM(G85:G88)</f>
        <v>0</v>
      </c>
      <c r="H84" s="110">
        <f>SUM(H85:H88)</f>
        <v>0</v>
      </c>
    </row>
    <row r="85" spans="1:8" s="179" customFormat="1" ht="12.2" customHeight="1" x14ac:dyDescent="0.2">
      <c r="A85" s="184" t="s">
        <v>259</v>
      </c>
      <c r="B85" s="266" t="s">
        <v>260</v>
      </c>
      <c r="C85" s="815"/>
      <c r="D85" s="808"/>
      <c r="E85" s="385">
        <f>'1. sz.mell. '!C87</f>
        <v>0</v>
      </c>
      <c r="F85" s="246"/>
      <c r="G85" s="114"/>
      <c r="H85" s="114"/>
    </row>
    <row r="86" spans="1:8" s="179" customFormat="1" ht="12.2" customHeight="1" x14ac:dyDescent="0.2">
      <c r="A86" s="185" t="s">
        <v>261</v>
      </c>
      <c r="B86" s="267" t="s">
        <v>262</v>
      </c>
      <c r="C86" s="814"/>
      <c r="D86" s="806"/>
      <c r="E86" s="386">
        <f>'1. sz.mell. '!C88</f>
        <v>0</v>
      </c>
      <c r="F86" s="246"/>
      <c r="G86" s="114"/>
      <c r="H86" s="114"/>
    </row>
    <row r="87" spans="1:8" s="179" customFormat="1" ht="12.2" customHeight="1" x14ac:dyDescent="0.2">
      <c r="A87" s="185" t="s">
        <v>263</v>
      </c>
      <c r="B87" s="267" t="s">
        <v>264</v>
      </c>
      <c r="C87" s="814"/>
      <c r="D87" s="806"/>
      <c r="E87" s="386">
        <f>'1. sz.mell. '!C89</f>
        <v>0</v>
      </c>
      <c r="F87" s="246"/>
      <c r="G87" s="114"/>
      <c r="H87" s="114"/>
    </row>
    <row r="88" spans="1:8" s="179" customFormat="1" ht="12.2" customHeight="1" thickBot="1" x14ac:dyDescent="0.25">
      <c r="A88" s="186" t="s">
        <v>265</v>
      </c>
      <c r="B88" s="364" t="s">
        <v>266</v>
      </c>
      <c r="C88" s="816"/>
      <c r="D88" s="809"/>
      <c r="E88" s="387">
        <f>'1. sz.mell. '!C90</f>
        <v>0</v>
      </c>
      <c r="F88" s="246"/>
      <c r="G88" s="114"/>
      <c r="H88" s="114"/>
    </row>
    <row r="89" spans="1:8" s="179" customFormat="1" ht="12.2" customHeight="1" thickBot="1" x14ac:dyDescent="0.25">
      <c r="A89" s="234" t="s">
        <v>267</v>
      </c>
      <c r="B89" s="365" t="s">
        <v>392</v>
      </c>
      <c r="C89" s="500"/>
      <c r="D89" s="498"/>
      <c r="E89" s="110">
        <f>'1. sz.mell. '!C91</f>
        <v>0</v>
      </c>
      <c r="F89" s="258"/>
      <c r="G89" s="215"/>
      <c r="H89" s="215"/>
    </row>
    <row r="90" spans="1:8" s="179" customFormat="1" ht="12.2" customHeight="1" thickBot="1" x14ac:dyDescent="0.25">
      <c r="A90" s="234" t="s">
        <v>269</v>
      </c>
      <c r="B90" s="365" t="s">
        <v>268</v>
      </c>
      <c r="C90" s="500"/>
      <c r="D90" s="498"/>
      <c r="E90" s="110">
        <f>'1. sz.mell. '!C92</f>
        <v>0</v>
      </c>
      <c r="F90" s="258"/>
      <c r="G90" s="215"/>
      <c r="H90" s="215"/>
    </row>
    <row r="91" spans="1:8" s="179" customFormat="1" ht="12.2" customHeight="1" thickBot="1" x14ac:dyDescent="0.25">
      <c r="A91" s="234" t="s">
        <v>281</v>
      </c>
      <c r="B91" s="367" t="s">
        <v>393</v>
      </c>
      <c r="C91" s="500">
        <f>C90+C89+C84+C80+C77+C72+C68</f>
        <v>1925645545</v>
      </c>
      <c r="D91" s="498">
        <f>D90+D89+D84+D80+D77+D72+D68</f>
        <v>3541369114</v>
      </c>
      <c r="E91" s="110">
        <f>'1. sz.mell. '!C93</f>
        <v>3557281454</v>
      </c>
      <c r="F91" s="257">
        <f>+F68+F72+F77+F80+F84+F90+F89</f>
        <v>515852575</v>
      </c>
      <c r="G91" s="115">
        <f>+G68+G72+G77+G80+G84+G90+G89</f>
        <v>829764</v>
      </c>
      <c r="H91" s="115">
        <f>+H68+H72+H77+H80+H84+H90+H89</f>
        <v>17254367</v>
      </c>
    </row>
    <row r="92" spans="1:8" s="179" customFormat="1" ht="12.2" customHeight="1" thickBot="1" x14ac:dyDescent="0.25">
      <c r="A92" s="236" t="s">
        <v>394</v>
      </c>
      <c r="B92" s="368" t="s">
        <v>395</v>
      </c>
      <c r="C92" s="500">
        <f>C91+C67</f>
        <v>6551267150</v>
      </c>
      <c r="D92" s="498">
        <f>D91+D67</f>
        <v>7640077556</v>
      </c>
      <c r="E92" s="110">
        <f>'1. sz.mell. '!C94</f>
        <v>7920764210</v>
      </c>
      <c r="F92" s="257">
        <f>+F67+F91</f>
        <v>2831811542</v>
      </c>
      <c r="G92" s="115">
        <f>+G67+G91</f>
        <v>9280592</v>
      </c>
      <c r="H92" s="115">
        <f>+H67+H91</f>
        <v>306161282</v>
      </c>
    </row>
    <row r="93" spans="1:8" s="179" customFormat="1" ht="12.2" customHeight="1" thickBot="1" x14ac:dyDescent="0.25">
      <c r="A93" s="1229" t="s">
        <v>44</v>
      </c>
      <c r="B93" s="1229"/>
      <c r="C93" s="1229"/>
      <c r="D93" s="1229"/>
      <c r="E93" s="1229"/>
    </row>
    <row r="94" spans="1:8" s="179" customFormat="1" ht="36.75" customHeight="1" thickBot="1" x14ac:dyDescent="0.25">
      <c r="A94" s="20" t="s">
        <v>14</v>
      </c>
      <c r="B94" s="380" t="s">
        <v>45</v>
      </c>
      <c r="C94" s="1030" t="str">
        <f t="shared" ref="C94:E94" si="0">C6</f>
        <v>2021. évi tény</v>
      </c>
      <c r="D94" s="786" t="str">
        <f t="shared" si="0"/>
        <v>2022. évi várható adat</v>
      </c>
      <c r="E94" s="791" t="str">
        <f t="shared" si="0"/>
        <v>2023. évi előirányzat</v>
      </c>
    </row>
    <row r="95" spans="1:8" s="179" customFormat="1" ht="12.2" customHeight="1" thickBot="1" x14ac:dyDescent="0.25">
      <c r="A95" s="25" t="s">
        <v>382</v>
      </c>
      <c r="B95" s="275" t="s">
        <v>383</v>
      </c>
      <c r="C95" s="500" t="s">
        <v>384</v>
      </c>
      <c r="D95" s="502" t="s">
        <v>434</v>
      </c>
      <c r="E95" s="497" t="s">
        <v>435</v>
      </c>
    </row>
    <row r="96" spans="1:8" s="179" customFormat="1" ht="15" customHeight="1" thickBot="1" x14ac:dyDescent="0.25">
      <c r="A96" s="19" t="s">
        <v>16</v>
      </c>
      <c r="B96" s="369" t="s">
        <v>433</v>
      </c>
      <c r="C96" s="785">
        <f>SUM(C97:C101,C114)</f>
        <v>2386975064</v>
      </c>
      <c r="D96" s="785">
        <f>SUM(D97:D101,D114)</f>
        <v>3042642129</v>
      </c>
      <c r="E96" s="793">
        <f>'1. sz.mell. '!C99</f>
        <v>3933907389</v>
      </c>
      <c r="F96" s="261">
        <f>+F97+F98+F99+F100+F101+F114</f>
        <v>729611526</v>
      </c>
      <c r="G96" s="109">
        <f>+G97+G98+G99+G100+G101+G114</f>
        <v>223670940</v>
      </c>
      <c r="H96" s="265">
        <f>H97+H98+H99+H100+H101+H114</f>
        <v>1606947760</v>
      </c>
    </row>
    <row r="97" spans="1:8" s="179" customFormat="1" ht="12.95" customHeight="1" x14ac:dyDescent="0.2">
      <c r="A97" s="14" t="s">
        <v>85</v>
      </c>
      <c r="B97" s="370" t="s">
        <v>46</v>
      </c>
      <c r="C97" s="1195">
        <v>1161174126</v>
      </c>
      <c r="D97" s="1196">
        <v>1361101805</v>
      </c>
      <c r="E97" s="1197">
        <f>'1. sz.mell. '!C100</f>
        <v>1581958868</v>
      </c>
      <c r="F97" s="656">
        <f>23173251+2787126+1407675+14384916+61829+2528076+5742073</f>
        <v>50084946</v>
      </c>
      <c r="G97" s="251">
        <f>147375885+935085+4069918</f>
        <v>152380888</v>
      </c>
      <c r="H97" s="251">
        <f>60512486+64039486+48091292+208655734+471445483</f>
        <v>852744481</v>
      </c>
    </row>
    <row r="98" spans="1:8" ht="16.5" customHeight="1" x14ac:dyDescent="0.25">
      <c r="A98" s="11" t="s">
        <v>86</v>
      </c>
      <c r="B98" s="371" t="s">
        <v>134</v>
      </c>
      <c r="C98" s="817">
        <v>193253575</v>
      </c>
      <c r="D98" s="795">
        <v>196892466</v>
      </c>
      <c r="E98" s="796">
        <f>'1. sz.mell. '!C101</f>
        <v>222495470</v>
      </c>
      <c r="F98" s="246">
        <f>4364055+1409889+7817+2684650+14227+10944+444000+1007723</f>
        <v>9943305</v>
      </c>
      <c r="G98" s="114">
        <f>30406649+133681+815187</f>
        <v>31355517</v>
      </c>
      <c r="H98" s="114">
        <f>13261042+12834203+9499320+44850807+98130166</f>
        <v>178575538</v>
      </c>
    </row>
    <row r="99" spans="1:8" x14ac:dyDescent="0.25">
      <c r="A99" s="11" t="s">
        <v>87</v>
      </c>
      <c r="B99" s="371" t="s">
        <v>110</v>
      </c>
      <c r="C99" s="817">
        <v>781923489</v>
      </c>
      <c r="D99" s="795">
        <v>1258285725</v>
      </c>
      <c r="E99" s="796">
        <f>'1. sz.mell. '!C102</f>
        <v>1769446280</v>
      </c>
      <c r="F99" s="24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G99" s="170">
        <f>38780508+150000+369027+635000</f>
        <v>39934535</v>
      </c>
      <c r="H99" s="114">
        <f>229985778+15749737+50789082+80145873+198957271</f>
        <v>575627741</v>
      </c>
    </row>
    <row r="100" spans="1:8" s="178" customFormat="1" ht="12.2" customHeight="1" x14ac:dyDescent="0.2">
      <c r="A100" s="11" t="s">
        <v>88</v>
      </c>
      <c r="B100" s="374" t="s">
        <v>135</v>
      </c>
      <c r="C100" s="817">
        <v>37424380</v>
      </c>
      <c r="D100" s="795">
        <v>37877423</v>
      </c>
      <c r="E100" s="796">
        <v>37424380</v>
      </c>
      <c r="F100" s="249">
        <f>24250000+48100000+3500000</f>
        <v>75850000</v>
      </c>
      <c r="G100" s="170"/>
      <c r="H100" s="170"/>
    </row>
    <row r="101" spans="1:8" ht="12.2" customHeight="1" x14ac:dyDescent="0.25">
      <c r="A101" s="11" t="s">
        <v>99</v>
      </c>
      <c r="B101" s="16" t="s">
        <v>136</v>
      </c>
      <c r="C101" s="783">
        <f>SUM(C102:C113)</f>
        <v>213199494</v>
      </c>
      <c r="D101" s="783">
        <f>SUM(D102:D113)</f>
        <v>188484710</v>
      </c>
      <c r="E101" s="783">
        <f>'1. sz.mell. '!C104</f>
        <v>200917499</v>
      </c>
      <c r="F101" s="249">
        <f>SUM(F102:F113)</f>
        <v>219979003</v>
      </c>
      <c r="G101" s="249">
        <f>SUM(G102:G113)</f>
        <v>0</v>
      </c>
      <c r="H101" s="170"/>
    </row>
    <row r="102" spans="1:8" ht="12.2" customHeight="1" x14ac:dyDescent="0.25">
      <c r="A102" s="11" t="s">
        <v>89</v>
      </c>
      <c r="B102" s="371" t="s">
        <v>396</v>
      </c>
      <c r="C102" s="817">
        <v>17102997</v>
      </c>
      <c r="D102" s="795">
        <v>5936986</v>
      </c>
      <c r="E102" s="796">
        <f>'1. sz.mell. '!C105</f>
        <v>0</v>
      </c>
      <c r="F102" s="249">
        <v>100000</v>
      </c>
      <c r="G102" s="170"/>
      <c r="H102" s="170"/>
    </row>
    <row r="103" spans="1:8" ht="12.2" customHeight="1" x14ac:dyDescent="0.25">
      <c r="A103" s="11" t="s">
        <v>90</v>
      </c>
      <c r="B103" s="373" t="s">
        <v>397</v>
      </c>
      <c r="C103" s="817">
        <v>24566831</v>
      </c>
      <c r="D103" s="795">
        <v>5091319</v>
      </c>
      <c r="E103" s="796">
        <f>'1. sz.mell. '!C106</f>
        <v>19789124</v>
      </c>
      <c r="F103" s="249"/>
      <c r="G103" s="170"/>
      <c r="H103" s="170"/>
    </row>
    <row r="104" spans="1:8" ht="12.2" customHeight="1" x14ac:dyDescent="0.25">
      <c r="A104" s="11" t="s">
        <v>100</v>
      </c>
      <c r="B104" s="373" t="s">
        <v>398</v>
      </c>
      <c r="C104" s="817"/>
      <c r="D104" s="795"/>
      <c r="E104" s="796">
        <f>'1. sz.mell. '!C107</f>
        <v>0</v>
      </c>
      <c r="F104" s="249"/>
      <c r="G104" s="170"/>
      <c r="H104" s="170"/>
    </row>
    <row r="105" spans="1:8" ht="12.2" customHeight="1" x14ac:dyDescent="0.25">
      <c r="A105" s="11" t="s">
        <v>101</v>
      </c>
      <c r="B105" s="382" t="s">
        <v>284</v>
      </c>
      <c r="C105" s="817"/>
      <c r="D105" s="795"/>
      <c r="E105" s="796">
        <f>'1. sz.mell. '!C108</f>
        <v>0</v>
      </c>
      <c r="F105" s="249"/>
      <c r="G105" s="170"/>
      <c r="H105" s="170"/>
    </row>
    <row r="106" spans="1:8" ht="12.2" customHeight="1" x14ac:dyDescent="0.25">
      <c r="A106" s="11" t="s">
        <v>102</v>
      </c>
      <c r="B106" s="379" t="s">
        <v>285</v>
      </c>
      <c r="C106" s="817"/>
      <c r="D106" s="795"/>
      <c r="E106" s="796">
        <f>'1. sz.mell. '!C109</f>
        <v>0</v>
      </c>
      <c r="F106" s="249"/>
      <c r="G106" s="170"/>
      <c r="H106" s="170"/>
    </row>
    <row r="107" spans="1:8" ht="12.2" customHeight="1" x14ac:dyDescent="0.25">
      <c r="A107" s="11" t="s">
        <v>103</v>
      </c>
      <c r="B107" s="379" t="s">
        <v>286</v>
      </c>
      <c r="C107" s="817"/>
      <c r="D107" s="795"/>
      <c r="E107" s="796">
        <f>'1. sz.mell. '!C110</f>
        <v>0</v>
      </c>
      <c r="F107" s="249"/>
      <c r="G107" s="170"/>
      <c r="H107" s="170"/>
    </row>
    <row r="108" spans="1:8" ht="12.2" customHeight="1" x14ac:dyDescent="0.25">
      <c r="A108" s="11" t="s">
        <v>105</v>
      </c>
      <c r="B108" s="382" t="s">
        <v>287</v>
      </c>
      <c r="C108" s="817">
        <v>574972</v>
      </c>
      <c r="D108" s="795">
        <v>683837</v>
      </c>
      <c r="E108" s="796">
        <f>'1. sz.mell. '!C111</f>
        <v>2556776</v>
      </c>
      <c r="F108" s="249">
        <f>523000</f>
        <v>523000</v>
      </c>
      <c r="G108" s="170"/>
      <c r="H108" s="170"/>
    </row>
    <row r="109" spans="1:8" ht="12.2" customHeight="1" x14ac:dyDescent="0.25">
      <c r="A109" s="11" t="s">
        <v>137</v>
      </c>
      <c r="B109" s="382" t="s">
        <v>288</v>
      </c>
      <c r="C109" s="817"/>
      <c r="D109" s="795"/>
      <c r="E109" s="796">
        <f>'1. sz.mell. '!C112</f>
        <v>0</v>
      </c>
      <c r="F109" s="249"/>
      <c r="G109" s="170"/>
      <c r="H109" s="170"/>
    </row>
    <row r="110" spans="1:8" ht="12.2" customHeight="1" x14ac:dyDescent="0.25">
      <c r="A110" s="11" t="s">
        <v>282</v>
      </c>
      <c r="B110" s="379" t="s">
        <v>289</v>
      </c>
      <c r="C110" s="817"/>
      <c r="D110" s="795"/>
      <c r="E110" s="796">
        <f>'1. sz.mell. '!C113</f>
        <v>0</v>
      </c>
      <c r="F110" s="249"/>
      <c r="G110" s="170"/>
      <c r="H110" s="170"/>
    </row>
    <row r="111" spans="1:8" ht="12.2" customHeight="1" x14ac:dyDescent="0.25">
      <c r="A111" s="10" t="s">
        <v>283</v>
      </c>
      <c r="B111" s="373" t="s">
        <v>290</v>
      </c>
      <c r="C111" s="817"/>
      <c r="D111" s="795"/>
      <c r="E111" s="796">
        <f>'1. sz.mell. '!C114</f>
        <v>0</v>
      </c>
      <c r="F111" s="249"/>
      <c r="G111" s="170"/>
      <c r="H111" s="170"/>
    </row>
    <row r="112" spans="1:8" ht="12.2" customHeight="1" x14ac:dyDescent="0.25">
      <c r="A112" s="11" t="s">
        <v>399</v>
      </c>
      <c r="B112" s="373" t="s">
        <v>291</v>
      </c>
      <c r="C112" s="817"/>
      <c r="D112" s="795"/>
      <c r="E112" s="796">
        <f>'1. sz.mell. '!C115</f>
        <v>0</v>
      </c>
      <c r="F112" s="249"/>
      <c r="G112" s="170"/>
      <c r="H112" s="170"/>
    </row>
    <row r="113" spans="1:8" ht="12.2" customHeight="1" x14ac:dyDescent="0.25">
      <c r="A113" s="13" t="s">
        <v>400</v>
      </c>
      <c r="B113" s="373" t="s">
        <v>292</v>
      </c>
      <c r="C113" s="817">
        <v>170954694</v>
      </c>
      <c r="D113" s="795">
        <v>176772568</v>
      </c>
      <c r="E113" s="796">
        <v>213199494</v>
      </c>
      <c r="F113" s="246">
        <f>1000000+47869145+6604733+15489215+46984511+23326783+69312000+7332000+1437616</f>
        <v>219356003</v>
      </c>
      <c r="G113" s="114"/>
      <c r="H113" s="170"/>
    </row>
    <row r="114" spans="1:8" ht="12.2" customHeight="1" x14ac:dyDescent="0.25">
      <c r="A114" s="11" t="s">
        <v>401</v>
      </c>
      <c r="B114" s="374" t="s">
        <v>47</v>
      </c>
      <c r="C114" s="817"/>
      <c r="D114" s="795"/>
      <c r="E114" s="796">
        <f>'1. sz.mell. '!C117</f>
        <v>114089276</v>
      </c>
      <c r="F114" s="246">
        <f>SUM(F115:F116)</f>
        <v>78390965</v>
      </c>
      <c r="G114" s="246">
        <f>SUM(G115:G116)</f>
        <v>0</v>
      </c>
      <c r="H114" s="114"/>
    </row>
    <row r="115" spans="1:8" ht="12.2" customHeight="1" x14ac:dyDescent="0.25">
      <c r="A115" s="11" t="s">
        <v>402</v>
      </c>
      <c r="B115" s="371" t="s">
        <v>403</v>
      </c>
      <c r="C115" s="817"/>
      <c r="D115" s="795"/>
      <c r="E115" s="796">
        <f>'1. sz.mell. '!C118</f>
        <v>8636181</v>
      </c>
      <c r="F115" s="249">
        <v>15000000</v>
      </c>
      <c r="G115" s="170"/>
      <c r="H115" s="114"/>
    </row>
    <row r="116" spans="1:8" ht="12.2" customHeight="1" thickBot="1" x14ac:dyDescent="0.3">
      <c r="A116" s="15" t="s">
        <v>404</v>
      </c>
      <c r="B116" s="375" t="s">
        <v>405</v>
      </c>
      <c r="C116" s="818"/>
      <c r="D116" s="792"/>
      <c r="E116" s="796">
        <f>'1. sz.mell. '!C119</f>
        <v>105453095</v>
      </c>
      <c r="F116" s="270">
        <f>63390965</f>
        <v>63390965</v>
      </c>
      <c r="G116" s="254"/>
      <c r="H116" s="254"/>
    </row>
    <row r="117" spans="1:8" ht="12.2" customHeight="1" thickBot="1" x14ac:dyDescent="0.3">
      <c r="A117" s="238" t="s">
        <v>17</v>
      </c>
      <c r="B117" s="355" t="s">
        <v>293</v>
      </c>
      <c r="C117" s="785">
        <f>C118+C120+C122</f>
        <v>564129676</v>
      </c>
      <c r="D117" s="785">
        <f>D118+D120+D122</f>
        <v>1236899398</v>
      </c>
      <c r="E117" s="794">
        <f>'1. sz.mell. '!C120</f>
        <v>2803095529</v>
      </c>
      <c r="F117" s="255">
        <f>+F118+F120+F122</f>
        <v>404630354</v>
      </c>
      <c r="G117" s="110">
        <f>+G118+G120+G122</f>
        <v>3585917</v>
      </c>
      <c r="H117" s="240">
        <f>+H118+H120+H122</f>
        <v>19950087</v>
      </c>
    </row>
    <row r="118" spans="1:8" ht="12.2" customHeight="1" x14ac:dyDescent="0.25">
      <c r="A118" s="12" t="s">
        <v>91</v>
      </c>
      <c r="B118" s="371" t="s">
        <v>157</v>
      </c>
      <c r="C118" s="819">
        <v>274821481</v>
      </c>
      <c r="D118" s="787">
        <v>169132900</v>
      </c>
      <c r="E118" s="796">
        <f>'1. sz.mell. '!C121</f>
        <v>980738840</v>
      </c>
      <c r="F118" s="655">
        <f>229989520+300000+13809000+835610+12076323+1270000+359410+4508500+2505001+5000+6704583</f>
        <v>272362947</v>
      </c>
      <c r="G118" s="214">
        <f>3355917+230000</f>
        <v>3585917</v>
      </c>
      <c r="H118" s="214">
        <f>506050+641350+1986214+1926590+13924683</f>
        <v>18984887</v>
      </c>
    </row>
    <row r="119" spans="1:8" x14ac:dyDescent="0.25">
      <c r="A119" s="12" t="s">
        <v>92</v>
      </c>
      <c r="B119" s="372" t="s">
        <v>297</v>
      </c>
      <c r="C119" s="817"/>
      <c r="D119" s="795">
        <v>89812446</v>
      </c>
      <c r="E119" s="796">
        <f>'1. sz.mell. '!C122</f>
        <v>467202478</v>
      </c>
      <c r="F119" s="655">
        <f>156693000+42191010+12076323+6704583</f>
        <v>217664916</v>
      </c>
      <c r="G119" s="214"/>
      <c r="H119" s="214">
        <v>717651</v>
      </c>
    </row>
    <row r="120" spans="1:8" ht="12.2" customHeight="1" x14ac:dyDescent="0.25">
      <c r="A120" s="12" t="s">
        <v>93</v>
      </c>
      <c r="B120" s="372" t="s">
        <v>138</v>
      </c>
      <c r="C120" s="817">
        <v>286496384</v>
      </c>
      <c r="D120" s="795">
        <v>1065865090</v>
      </c>
      <c r="E120" s="796">
        <f>'1. sz.mell. '!C123</f>
        <v>1817750243</v>
      </c>
      <c r="F120" s="246">
        <f>9517731+51474577+42450993+1905000</f>
        <v>105348301</v>
      </c>
      <c r="G120" s="114"/>
      <c r="H120" s="114">
        <v>965200</v>
      </c>
    </row>
    <row r="121" spans="1:8" ht="12.2" customHeight="1" x14ac:dyDescent="0.25">
      <c r="A121" s="12" t="s">
        <v>94</v>
      </c>
      <c r="B121" s="372" t="s">
        <v>298</v>
      </c>
      <c r="C121" s="817"/>
      <c r="D121" s="795">
        <v>171245198</v>
      </c>
      <c r="E121" s="796">
        <f>'1. sz.mell. '!C124</f>
        <v>1200783442</v>
      </c>
      <c r="F121" s="246">
        <f>28614577+42450993-1206500</f>
        <v>69859070</v>
      </c>
      <c r="G121" s="471"/>
      <c r="H121" s="246"/>
    </row>
    <row r="122" spans="1:8" ht="12.2" customHeight="1" x14ac:dyDescent="0.25">
      <c r="A122" s="12" t="s">
        <v>95</v>
      </c>
      <c r="B122" s="364" t="s">
        <v>159</v>
      </c>
      <c r="C122" s="817">
        <f>SUM(C123:C130)</f>
        <v>2811811</v>
      </c>
      <c r="D122" s="817">
        <f>SUM(D123:D130)</f>
        <v>1901408</v>
      </c>
      <c r="E122" s="796">
        <f>'1. sz.mell. '!C125</f>
        <v>4606442</v>
      </c>
      <c r="F122" s="246">
        <f>SUM(F123:F130)</f>
        <v>26919106</v>
      </c>
      <c r="G122" s="246">
        <f>SUM(G123:G130)</f>
        <v>0</v>
      </c>
      <c r="H122" s="246"/>
    </row>
    <row r="123" spans="1:8" ht="12.2" customHeight="1" x14ac:dyDescent="0.25">
      <c r="A123" s="12" t="s">
        <v>104</v>
      </c>
      <c r="B123" s="363" t="s">
        <v>358</v>
      </c>
      <c r="C123" s="817"/>
      <c r="D123" s="795"/>
      <c r="E123" s="796">
        <f>'1. sz.mell. '!C126</f>
        <v>0</v>
      </c>
      <c r="F123" s="99"/>
      <c r="G123" s="99"/>
      <c r="H123" s="246"/>
    </row>
    <row r="124" spans="1:8" ht="12.2" customHeight="1" x14ac:dyDescent="0.25">
      <c r="A124" s="12" t="s">
        <v>106</v>
      </c>
      <c r="B124" s="378" t="s">
        <v>303</v>
      </c>
      <c r="C124" s="817"/>
      <c r="D124" s="795"/>
      <c r="E124" s="796">
        <f>'1. sz.mell. '!C127</f>
        <v>0</v>
      </c>
      <c r="F124" s="99"/>
      <c r="G124" s="99"/>
      <c r="H124" s="246"/>
    </row>
    <row r="125" spans="1:8" ht="12.2" customHeight="1" x14ac:dyDescent="0.25">
      <c r="A125" s="12" t="s">
        <v>139</v>
      </c>
      <c r="B125" s="379" t="s">
        <v>286</v>
      </c>
      <c r="C125" s="817"/>
      <c r="D125" s="795"/>
      <c r="E125" s="796">
        <f>'1. sz.mell. '!C128</f>
        <v>0</v>
      </c>
      <c r="F125" s="99"/>
      <c r="G125" s="99"/>
      <c r="H125" s="246"/>
    </row>
    <row r="126" spans="1:8" ht="12.2" customHeight="1" x14ac:dyDescent="0.25">
      <c r="A126" s="12" t="s">
        <v>140</v>
      </c>
      <c r="B126" s="379" t="s">
        <v>302</v>
      </c>
      <c r="C126" s="817"/>
      <c r="D126" s="795">
        <v>1454176</v>
      </c>
      <c r="E126" s="796">
        <f>'1. sz.mell. '!C129</f>
        <v>0</v>
      </c>
      <c r="F126" s="99"/>
      <c r="G126" s="99"/>
      <c r="H126" s="246"/>
    </row>
    <row r="127" spans="1:8" ht="12.2" customHeight="1" x14ac:dyDescent="0.25">
      <c r="A127" s="12" t="s">
        <v>141</v>
      </c>
      <c r="B127" s="379" t="s">
        <v>301</v>
      </c>
      <c r="C127" s="817"/>
      <c r="D127" s="795"/>
      <c r="E127" s="796">
        <f>'1. sz.mell. '!C130</f>
        <v>0</v>
      </c>
      <c r="F127" s="99"/>
      <c r="G127" s="99"/>
      <c r="H127" s="246"/>
    </row>
    <row r="128" spans="1:8" ht="12.2" customHeight="1" x14ac:dyDescent="0.25">
      <c r="A128" s="12" t="s">
        <v>294</v>
      </c>
      <c r="B128" s="379" t="s">
        <v>289</v>
      </c>
      <c r="C128" s="817"/>
      <c r="D128" s="795"/>
      <c r="E128" s="796">
        <f>'1. sz.mell. '!C131</f>
        <v>0</v>
      </c>
      <c r="F128" s="99"/>
      <c r="G128" s="99"/>
      <c r="H128" s="246"/>
    </row>
    <row r="129" spans="1:8" ht="12.2" customHeight="1" x14ac:dyDescent="0.25">
      <c r="A129" s="12" t="s">
        <v>295</v>
      </c>
      <c r="B129" s="379" t="s">
        <v>300</v>
      </c>
      <c r="C129" s="817"/>
      <c r="D129" s="795"/>
      <c r="E129" s="796">
        <f>'1. sz.mell. '!C132</f>
        <v>0</v>
      </c>
      <c r="F129" s="99"/>
      <c r="G129" s="99"/>
      <c r="H129" s="246"/>
    </row>
    <row r="130" spans="1:8" ht="12.2" customHeight="1" thickBot="1" x14ac:dyDescent="0.3">
      <c r="A130" s="10" t="s">
        <v>296</v>
      </c>
      <c r="B130" s="379" t="s">
        <v>299</v>
      </c>
      <c r="C130" s="818">
        <v>2811811</v>
      </c>
      <c r="D130" s="792">
        <v>447232</v>
      </c>
      <c r="E130" s="796">
        <f>'1. sz.mell. '!C133</f>
        <v>4606442</v>
      </c>
      <c r="F130" s="249">
        <f>650000+26269106</f>
        <v>26919106</v>
      </c>
      <c r="G130" s="249"/>
      <c r="H130" s="249"/>
    </row>
    <row r="131" spans="1:8" ht="12.2" customHeight="1" thickBot="1" x14ac:dyDescent="0.3">
      <c r="A131" s="17" t="s">
        <v>18</v>
      </c>
      <c r="B131" s="356" t="s">
        <v>406</v>
      </c>
      <c r="C131" s="785">
        <f>C117+C96</f>
        <v>2951104740</v>
      </c>
      <c r="D131" s="785">
        <f>D117+D96</f>
        <v>4279541527</v>
      </c>
      <c r="E131" s="794">
        <f>'1. sz.mell. '!C134</f>
        <v>6737002918</v>
      </c>
      <c r="F131" s="255">
        <f>+F96+F117</f>
        <v>1134241880</v>
      </c>
      <c r="G131" s="110">
        <f>+G96+G117</f>
        <v>227256857</v>
      </c>
      <c r="H131" s="110">
        <f>+H96+H117</f>
        <v>1626897847</v>
      </c>
    </row>
    <row r="132" spans="1:8" ht="12.2" customHeight="1" thickBot="1" x14ac:dyDescent="0.3">
      <c r="A132" s="17" t="s">
        <v>19</v>
      </c>
      <c r="B132" s="356" t="s">
        <v>407</v>
      </c>
      <c r="C132" s="785">
        <f>SUM(C133:C135)</f>
        <v>1028491534</v>
      </c>
      <c r="D132" s="785">
        <f>SUM(D133:D135)</f>
        <v>1064093109</v>
      </c>
      <c r="E132" s="794">
        <f>'1. sz.mell. '!C135</f>
        <v>1121918686</v>
      </c>
      <c r="F132" s="255">
        <f>+F133+F134+F135</f>
        <v>116952500</v>
      </c>
      <c r="G132" s="110">
        <f>+G133+G134+G135</f>
        <v>0</v>
      </c>
      <c r="H132" s="110">
        <f>+H133+H134+H135</f>
        <v>0</v>
      </c>
    </row>
    <row r="133" spans="1:8" ht="12.2" customHeight="1" x14ac:dyDescent="0.25">
      <c r="A133" s="12" t="s">
        <v>195</v>
      </c>
      <c r="B133" s="372" t="s">
        <v>408</v>
      </c>
      <c r="C133" s="820">
        <v>24993747</v>
      </c>
      <c r="D133" s="788">
        <v>22728296</v>
      </c>
      <c r="E133" s="796">
        <f>'1. sz.mell. '!C136</f>
        <v>21918686</v>
      </c>
      <c r="F133" s="246">
        <f>11674500+5278000</f>
        <v>16952500</v>
      </c>
      <c r="G133" s="246"/>
      <c r="H133" s="246"/>
    </row>
    <row r="134" spans="1:8" ht="12.2" customHeight="1" x14ac:dyDescent="0.25">
      <c r="A134" s="12" t="s">
        <v>198</v>
      </c>
      <c r="B134" s="372" t="s">
        <v>409</v>
      </c>
      <c r="C134" s="821">
        <v>1003497787</v>
      </c>
      <c r="D134" s="789">
        <v>1041364813</v>
      </c>
      <c r="E134" s="796">
        <f>'1. sz.mell. '!C137</f>
        <v>1100000000</v>
      </c>
      <c r="F134" s="99">
        <v>100000000</v>
      </c>
      <c r="G134" s="99"/>
      <c r="H134" s="99"/>
    </row>
    <row r="135" spans="1:8" ht="12.2" customHeight="1" thickBot="1" x14ac:dyDescent="0.3">
      <c r="A135" s="10" t="s">
        <v>199</v>
      </c>
      <c r="B135" s="372" t="s">
        <v>410</v>
      </c>
      <c r="C135" s="822"/>
      <c r="D135" s="782"/>
      <c r="E135" s="784">
        <f>'1. sz.mell. '!C138</f>
        <v>0</v>
      </c>
      <c r="F135" s="99"/>
      <c r="G135" s="99"/>
      <c r="H135" s="99"/>
    </row>
    <row r="136" spans="1:8" ht="12.2" customHeight="1" thickBot="1" x14ac:dyDescent="0.3">
      <c r="A136" s="17" t="s">
        <v>20</v>
      </c>
      <c r="B136" s="356" t="s">
        <v>411</v>
      </c>
      <c r="C136" s="790">
        <f>SUM(C137:C142)</f>
        <v>0</v>
      </c>
      <c r="D136" s="790">
        <f>SUM(D137:D142)</f>
        <v>0</v>
      </c>
      <c r="E136" s="790">
        <f>'1. sz.mell. '!C139</f>
        <v>0</v>
      </c>
      <c r="F136" s="255">
        <f>+F137+F138+F139+F140+F141+F142</f>
        <v>0</v>
      </c>
      <c r="G136" s="110">
        <f>+G137+G138+G139+G140+G141+G142</f>
        <v>0</v>
      </c>
      <c r="H136" s="110">
        <f>SUM(H137:H142)</f>
        <v>0</v>
      </c>
    </row>
    <row r="137" spans="1:8" ht="12.2" customHeight="1" x14ac:dyDescent="0.25">
      <c r="A137" s="12" t="s">
        <v>78</v>
      </c>
      <c r="B137" s="376" t="s">
        <v>412</v>
      </c>
      <c r="C137" s="820"/>
      <c r="D137" s="788"/>
      <c r="E137" s="796">
        <f>'1. sz.mell. '!C140</f>
        <v>0</v>
      </c>
      <c r="F137" s="99"/>
      <c r="G137" s="99"/>
      <c r="H137" s="99"/>
    </row>
    <row r="138" spans="1:8" ht="12.2" customHeight="1" x14ac:dyDescent="0.25">
      <c r="A138" s="12" t="s">
        <v>79</v>
      </c>
      <c r="B138" s="376" t="s">
        <v>413</v>
      </c>
      <c r="C138" s="821"/>
      <c r="D138" s="789"/>
      <c r="E138" s="796">
        <f>'1. sz.mell. '!C141</f>
        <v>0</v>
      </c>
      <c r="F138" s="99"/>
      <c r="G138" s="99"/>
      <c r="H138" s="99"/>
    </row>
    <row r="139" spans="1:8" ht="12.2" customHeight="1" x14ac:dyDescent="0.25">
      <c r="A139" s="12" t="s">
        <v>80</v>
      </c>
      <c r="B139" s="376" t="s">
        <v>414</v>
      </c>
      <c r="C139" s="821"/>
      <c r="D139" s="789"/>
      <c r="E139" s="796">
        <f>'1. sz.mell. '!C142</f>
        <v>0</v>
      </c>
      <c r="F139" s="99"/>
      <c r="G139" s="99"/>
      <c r="H139" s="99"/>
    </row>
    <row r="140" spans="1:8" ht="12.2" customHeight="1" x14ac:dyDescent="0.25">
      <c r="A140" s="12" t="s">
        <v>126</v>
      </c>
      <c r="B140" s="376" t="s">
        <v>415</v>
      </c>
      <c r="C140" s="821"/>
      <c r="D140" s="789"/>
      <c r="E140" s="796">
        <f>'1. sz.mell. '!C143</f>
        <v>0</v>
      </c>
      <c r="F140" s="99"/>
      <c r="G140" s="99"/>
      <c r="H140" s="99"/>
    </row>
    <row r="141" spans="1:8" ht="12.2" customHeight="1" x14ac:dyDescent="0.25">
      <c r="A141" s="12" t="s">
        <v>127</v>
      </c>
      <c r="B141" s="376" t="s">
        <v>416</v>
      </c>
      <c r="C141" s="821"/>
      <c r="D141" s="789"/>
      <c r="E141" s="796">
        <f>'1. sz.mell. '!C144</f>
        <v>0</v>
      </c>
      <c r="F141" s="99"/>
      <c r="G141" s="99"/>
      <c r="H141" s="99"/>
    </row>
    <row r="142" spans="1:8" ht="12.2" customHeight="1" thickBot="1" x14ac:dyDescent="0.3">
      <c r="A142" s="10" t="s">
        <v>128</v>
      </c>
      <c r="B142" s="376" t="s">
        <v>417</v>
      </c>
      <c r="C142" s="822"/>
      <c r="D142" s="782"/>
      <c r="E142" s="784">
        <f>'1. sz.mell. '!C145</f>
        <v>0</v>
      </c>
      <c r="F142" s="99"/>
      <c r="G142" s="99"/>
      <c r="H142" s="99"/>
    </row>
    <row r="143" spans="1:8" ht="12.2" customHeight="1" thickBot="1" x14ac:dyDescent="0.3">
      <c r="A143" s="17" t="s">
        <v>21</v>
      </c>
      <c r="B143" s="356" t="s">
        <v>418</v>
      </c>
      <c r="C143" s="785">
        <f t="shared" ref="C143" si="1">SUM(C144:C147)</f>
        <v>48966750</v>
      </c>
      <c r="D143" s="785">
        <f t="shared" ref="D143:H143" si="2">SUM(D144:D147)</f>
        <v>55076107</v>
      </c>
      <c r="E143" s="785">
        <f>'1. sz.mell. '!C146</f>
        <v>61842606</v>
      </c>
      <c r="F143" s="498">
        <f t="shared" si="2"/>
        <v>41904332</v>
      </c>
      <c r="G143" s="500">
        <f t="shared" si="2"/>
        <v>0</v>
      </c>
      <c r="H143" s="500">
        <f t="shared" si="2"/>
        <v>0</v>
      </c>
    </row>
    <row r="144" spans="1:8" ht="12.2" customHeight="1" x14ac:dyDescent="0.25">
      <c r="A144" s="12" t="s">
        <v>81</v>
      </c>
      <c r="B144" s="376" t="s">
        <v>304</v>
      </c>
      <c r="C144" s="820"/>
      <c r="D144" s="788"/>
      <c r="E144" s="797">
        <f>'1. sz.mell. '!C147</f>
        <v>0</v>
      </c>
      <c r="F144" s="99"/>
      <c r="G144" s="99"/>
      <c r="H144" s="99"/>
    </row>
    <row r="145" spans="1:8" ht="12.2" customHeight="1" x14ac:dyDescent="0.25">
      <c r="A145" s="12" t="s">
        <v>82</v>
      </c>
      <c r="B145" s="376" t="s">
        <v>305</v>
      </c>
      <c r="C145" s="821">
        <v>48966750</v>
      </c>
      <c r="D145" s="789">
        <v>55076107</v>
      </c>
      <c r="E145" s="796">
        <f>'1. sz.mell. '!C148</f>
        <v>61842606</v>
      </c>
      <c r="F145" s="99">
        <f>41904332</f>
        <v>41904332</v>
      </c>
      <c r="G145" s="99"/>
      <c r="H145" s="99"/>
    </row>
    <row r="146" spans="1:8" ht="12.2" customHeight="1" x14ac:dyDescent="0.25">
      <c r="A146" s="12" t="s">
        <v>218</v>
      </c>
      <c r="B146" s="376" t="s">
        <v>419</v>
      </c>
      <c r="C146" s="821"/>
      <c r="D146" s="789"/>
      <c r="E146" s="797">
        <f>'1. sz.mell. '!C149</f>
        <v>0</v>
      </c>
      <c r="F146" s="99"/>
      <c r="G146" s="99"/>
      <c r="H146" s="99"/>
    </row>
    <row r="147" spans="1:8" ht="12.2" customHeight="1" thickBot="1" x14ac:dyDescent="0.3">
      <c r="A147" s="10" t="s">
        <v>219</v>
      </c>
      <c r="B147" s="377" t="s">
        <v>323</v>
      </c>
      <c r="C147" s="822"/>
      <c r="D147" s="782"/>
      <c r="E147" s="798">
        <f>'1. sz.mell. '!C150</f>
        <v>0</v>
      </c>
      <c r="F147" s="99"/>
      <c r="G147" s="99"/>
      <c r="H147" s="99"/>
    </row>
    <row r="148" spans="1:8" ht="12.2" customHeight="1" thickBot="1" x14ac:dyDescent="0.3">
      <c r="A148" s="17" t="s">
        <v>22</v>
      </c>
      <c r="B148" s="356" t="s">
        <v>420</v>
      </c>
      <c r="C148" s="799">
        <f>SUM(C149:C153)</f>
        <v>0</v>
      </c>
      <c r="D148" s="799">
        <f>SUM(D149:D153)</f>
        <v>0</v>
      </c>
      <c r="E148" s="799">
        <f>'1. sz.mell. '!C151</f>
        <v>0</v>
      </c>
      <c r="F148" s="262">
        <f>+F149+F150+F151+F152+F153</f>
        <v>0</v>
      </c>
      <c r="G148" s="118">
        <f>+G149+G150+G151+G152+G153</f>
        <v>0</v>
      </c>
      <c r="H148" s="118">
        <f>SUM(H149:H153)</f>
        <v>0</v>
      </c>
    </row>
    <row r="149" spans="1:8" ht="12.2" customHeight="1" x14ac:dyDescent="0.25">
      <c r="A149" s="12" t="s">
        <v>83</v>
      </c>
      <c r="B149" s="376" t="s">
        <v>421</v>
      </c>
      <c r="C149" s="820"/>
      <c r="D149" s="788"/>
      <c r="E149" s="797">
        <f>'1. sz.mell. '!C152</f>
        <v>0</v>
      </c>
      <c r="F149" s="99"/>
      <c r="G149" s="99"/>
      <c r="H149" s="99"/>
    </row>
    <row r="150" spans="1:8" ht="12.2" customHeight="1" x14ac:dyDescent="0.25">
      <c r="A150" s="12" t="s">
        <v>84</v>
      </c>
      <c r="B150" s="376" t="s">
        <v>422</v>
      </c>
      <c r="C150" s="821"/>
      <c r="D150" s="789"/>
      <c r="E150" s="797">
        <f>'1. sz.mell. '!C153</f>
        <v>0</v>
      </c>
      <c r="F150" s="99"/>
      <c r="G150" s="99"/>
      <c r="H150" s="99"/>
    </row>
    <row r="151" spans="1:8" ht="12.2" customHeight="1" x14ac:dyDescent="0.25">
      <c r="A151" s="12" t="s">
        <v>230</v>
      </c>
      <c r="B151" s="376" t="s">
        <v>423</v>
      </c>
      <c r="C151" s="821"/>
      <c r="D151" s="789"/>
      <c r="E151" s="797">
        <f>'1. sz.mell. '!C154</f>
        <v>0</v>
      </c>
      <c r="F151" s="99"/>
      <c r="G151" s="99"/>
      <c r="H151" s="99"/>
    </row>
    <row r="152" spans="1:8" ht="12.2" customHeight="1" x14ac:dyDescent="0.25">
      <c r="A152" s="12" t="s">
        <v>231</v>
      </c>
      <c r="B152" s="376" t="s">
        <v>424</v>
      </c>
      <c r="C152" s="821"/>
      <c r="D152" s="789"/>
      <c r="E152" s="797">
        <f>'1. sz.mell. '!C155</f>
        <v>0</v>
      </c>
      <c r="F152" s="99"/>
      <c r="G152" s="99"/>
      <c r="H152" s="99"/>
    </row>
    <row r="153" spans="1:8" ht="12.2" customHeight="1" thickBot="1" x14ac:dyDescent="0.3">
      <c r="A153" s="12" t="s">
        <v>425</v>
      </c>
      <c r="B153" s="376" t="s">
        <v>426</v>
      </c>
      <c r="C153" s="822"/>
      <c r="D153" s="782"/>
      <c r="E153" s="798">
        <f>'1. sz.mell. '!C156</f>
        <v>0</v>
      </c>
      <c r="F153" s="100"/>
      <c r="G153" s="100"/>
      <c r="H153" s="99"/>
    </row>
    <row r="154" spans="1:8" ht="12.2" customHeight="1" thickBot="1" x14ac:dyDescent="0.3">
      <c r="A154" s="17" t="s">
        <v>23</v>
      </c>
      <c r="B154" s="356" t="s">
        <v>427</v>
      </c>
      <c r="C154" s="790"/>
      <c r="D154" s="800"/>
      <c r="E154" s="794">
        <f>'1. sz.mell. '!C157</f>
        <v>0</v>
      </c>
      <c r="F154" s="262"/>
      <c r="G154" s="118"/>
      <c r="H154" s="241"/>
    </row>
    <row r="155" spans="1:8" ht="12.2" customHeight="1" thickBot="1" x14ac:dyDescent="0.3">
      <c r="A155" s="17" t="s">
        <v>24</v>
      </c>
      <c r="B155" s="356" t="s">
        <v>428</v>
      </c>
      <c r="C155" s="790"/>
      <c r="D155" s="800"/>
      <c r="E155" s="794">
        <f>'1. sz.mell. '!C158</f>
        <v>0</v>
      </c>
      <c r="F155" s="262"/>
      <c r="G155" s="118"/>
      <c r="H155" s="241"/>
    </row>
    <row r="156" spans="1:8" ht="15" customHeight="1" thickBot="1" x14ac:dyDescent="0.3">
      <c r="A156" s="17" t="s">
        <v>25</v>
      </c>
      <c r="B156" s="356" t="s">
        <v>429</v>
      </c>
      <c r="C156" s="785">
        <f>C132+C136+C143+C148+C154+C155</f>
        <v>1077458284</v>
      </c>
      <c r="D156" s="785">
        <f>D132+D136+D143+D148+D154+D155</f>
        <v>1119169216</v>
      </c>
      <c r="E156" s="794">
        <f>'1. sz.mell. '!C159</f>
        <v>1183761292</v>
      </c>
      <c r="F156" s="263">
        <f>+F132+F136+F143+F148+F154+F155</f>
        <v>158856832</v>
      </c>
      <c r="G156" s="189">
        <f>+G132+G136+G143+G148+G154+G155</f>
        <v>0</v>
      </c>
      <c r="H156" s="189">
        <f>+H132+H136+H143+H148+H154+H155</f>
        <v>0</v>
      </c>
    </row>
    <row r="157" spans="1:8" s="179" customFormat="1" ht="12.95" customHeight="1" thickBot="1" x14ac:dyDescent="0.25">
      <c r="A157" s="108" t="s">
        <v>26</v>
      </c>
      <c r="B157" s="359" t="s">
        <v>430</v>
      </c>
      <c r="C157" s="785">
        <f>C156+C131</f>
        <v>4028563024</v>
      </c>
      <c r="D157" s="785">
        <f>D156+D131</f>
        <v>5398710743</v>
      </c>
      <c r="E157" s="794">
        <f>'1. sz.mell. '!C160</f>
        <v>7920764210</v>
      </c>
      <c r="F157" s="263">
        <f>+F131+F156</f>
        <v>1293098712</v>
      </c>
      <c r="G157" s="189">
        <f>+G131+G156</f>
        <v>227256857</v>
      </c>
      <c r="H157" s="189">
        <f>+H131+H156</f>
        <v>1626897847</v>
      </c>
    </row>
    <row r="161" ht="16.5" customHeight="1" x14ac:dyDescent="0.25"/>
  </sheetData>
  <mergeCells count="4">
    <mergeCell ref="A1:E1"/>
    <mergeCell ref="A3:E3"/>
    <mergeCell ref="A5:E5"/>
    <mergeCell ref="A93:E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6"/>
  <sheetViews>
    <sheetView topLeftCell="A10" zoomScale="130" zoomScaleNormal="130" workbookViewId="0">
      <selection activeCell="E4" sqref="E4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1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318" t="str">
        <f>CONCATENATE("37. melléklet ",ALAPADATOK!A7," ",ALAPADATOK!B7," ",ALAPADATOK!C7," ",ALAPADATOK!D7," ",ALAPADATOK!E7," ",ALAPADATOK!F7," ",ALAPADATOK!G7," ",ALAPADATOK!H7)</f>
        <v>37. melléklet a .. / 2023. ( …... ) önkormányzati rendelethez</v>
      </c>
      <c r="B1" s="1318"/>
      <c r="C1" s="1318"/>
      <c r="D1" s="1318"/>
      <c r="E1" s="1318"/>
      <c r="F1" s="1318"/>
      <c r="G1" s="1318"/>
      <c r="H1" s="1318"/>
      <c r="I1" s="1318"/>
    </row>
    <row r="2" spans="1:9" x14ac:dyDescent="0.2">
      <c r="G2" s="1318" t="s">
        <v>944</v>
      </c>
      <c r="H2" s="1318"/>
      <c r="I2" s="1318"/>
    </row>
    <row r="3" spans="1:9" ht="27.75" customHeight="1" x14ac:dyDescent="0.2">
      <c r="A3" s="1319" t="s">
        <v>7</v>
      </c>
      <c r="B3" s="1319"/>
      <c r="C3" s="1319"/>
      <c r="D3" s="1319"/>
      <c r="E3" s="1319"/>
      <c r="F3" s="1319"/>
      <c r="G3" s="1319"/>
      <c r="H3" s="1319"/>
      <c r="I3" s="1319"/>
    </row>
    <row r="4" spans="1:9" ht="20.25" customHeight="1" thickBot="1" x14ac:dyDescent="0.3">
      <c r="B4" s="218"/>
      <c r="I4" s="219" t="s">
        <v>491</v>
      </c>
    </row>
    <row r="5" spans="1:9" s="220" customFormat="1" ht="22.7" customHeight="1" x14ac:dyDescent="0.2">
      <c r="A5" s="1320" t="s">
        <v>63</v>
      </c>
      <c r="B5" s="1322" t="s">
        <v>71</v>
      </c>
      <c r="C5" s="1320" t="s">
        <v>72</v>
      </c>
      <c r="D5" s="1320" t="s">
        <v>990</v>
      </c>
      <c r="E5" s="1324" t="s">
        <v>62</v>
      </c>
      <c r="F5" s="1325"/>
      <c r="G5" s="1325"/>
      <c r="H5" s="1326"/>
      <c r="I5" s="1322" t="s">
        <v>48</v>
      </c>
    </row>
    <row r="6" spans="1:9" s="221" customFormat="1" ht="17.45" customHeight="1" thickBot="1" x14ac:dyDescent="0.25">
      <c r="A6" s="1321"/>
      <c r="B6" s="1323"/>
      <c r="C6" s="1323"/>
      <c r="D6" s="1321"/>
      <c r="E6" s="664">
        <v>2023</v>
      </c>
      <c r="F6" s="664">
        <v>2024</v>
      </c>
      <c r="G6" s="664">
        <v>2025</v>
      </c>
      <c r="H6" s="665" t="s">
        <v>1003</v>
      </c>
      <c r="I6" s="1323"/>
    </row>
    <row r="7" spans="1:9" s="222" customFormat="1" ht="18" customHeight="1" thickBot="1" x14ac:dyDescent="0.25">
      <c r="A7" s="666">
        <v>1</v>
      </c>
      <c r="B7" s="667">
        <v>2</v>
      </c>
      <c r="C7" s="668">
        <v>3</v>
      </c>
      <c r="D7" s="669">
        <v>4</v>
      </c>
      <c r="E7" s="666">
        <v>5</v>
      </c>
      <c r="F7" s="670">
        <v>6</v>
      </c>
      <c r="G7" s="670">
        <v>7</v>
      </c>
      <c r="H7" s="671">
        <v>8</v>
      </c>
      <c r="I7" s="672" t="s">
        <v>73</v>
      </c>
    </row>
    <row r="8" spans="1:9" ht="24.75" customHeight="1" thickBot="1" x14ac:dyDescent="0.25">
      <c r="A8" s="673" t="s">
        <v>16</v>
      </c>
      <c r="B8" s="674" t="s">
        <v>691</v>
      </c>
      <c r="C8" s="1033">
        <v>0</v>
      </c>
      <c r="D8" s="675">
        <v>0</v>
      </c>
      <c r="E8" s="675">
        <v>0</v>
      </c>
      <c r="F8" s="675">
        <v>0</v>
      </c>
      <c r="G8" s="675">
        <v>0</v>
      </c>
      <c r="H8" s="675">
        <v>0</v>
      </c>
      <c r="I8" s="676">
        <v>0</v>
      </c>
    </row>
    <row r="9" spans="1:9" ht="24.75" customHeight="1" thickBot="1" x14ac:dyDescent="0.25">
      <c r="A9" s="677" t="s">
        <v>17</v>
      </c>
      <c r="B9" s="678" t="s">
        <v>991</v>
      </c>
      <c r="C9" s="679">
        <v>2023</v>
      </c>
      <c r="D9" s="680">
        <v>0</v>
      </c>
      <c r="E9" s="680">
        <v>0</v>
      </c>
      <c r="F9" s="680">
        <v>0</v>
      </c>
      <c r="G9" s="680">
        <v>0</v>
      </c>
      <c r="H9" s="680">
        <v>0</v>
      </c>
      <c r="I9" s="676">
        <v>0</v>
      </c>
    </row>
    <row r="10" spans="1:9" ht="24" customHeight="1" thickBot="1" x14ac:dyDescent="0.25">
      <c r="A10" s="681" t="s">
        <v>18</v>
      </c>
      <c r="B10" s="682" t="s">
        <v>8</v>
      </c>
      <c r="C10" s="683"/>
      <c r="D10" s="684"/>
      <c r="E10" s="684"/>
      <c r="F10" s="684"/>
      <c r="G10" s="684"/>
      <c r="H10" s="685"/>
      <c r="I10" s="686"/>
    </row>
    <row r="11" spans="1:9" ht="22.5" x14ac:dyDescent="0.2">
      <c r="A11" s="687" t="s">
        <v>19</v>
      </c>
      <c r="B11" s="626" t="s">
        <v>492</v>
      </c>
      <c r="C11" s="688">
        <v>2016</v>
      </c>
      <c r="D11" s="689">
        <f>5888000+1472000</f>
        <v>7360000</v>
      </c>
      <c r="E11" s="690">
        <v>1472000</v>
      </c>
      <c r="F11" s="690">
        <v>1471000</v>
      </c>
      <c r="G11" s="690">
        <v>0</v>
      </c>
      <c r="H11" s="691">
        <v>0</v>
      </c>
      <c r="I11" s="692">
        <f t="shared" ref="I11:I18" si="0">SUM(D11:H11)</f>
        <v>10303000</v>
      </c>
    </row>
    <row r="12" spans="1:9" x14ac:dyDescent="0.2">
      <c r="A12" s="687" t="s">
        <v>20</v>
      </c>
      <c r="B12" s="626" t="s">
        <v>692</v>
      </c>
      <c r="C12" s="688">
        <v>2017</v>
      </c>
      <c r="D12" s="689">
        <f>14820000+4940000</f>
        <v>19760000</v>
      </c>
      <c r="E12" s="689">
        <v>4940000</v>
      </c>
      <c r="F12" s="689">
        <v>4940000</v>
      </c>
      <c r="G12" s="689">
        <v>4940000</v>
      </c>
      <c r="H12" s="689">
        <f>11461155-4940000</f>
        <v>6521155</v>
      </c>
      <c r="I12" s="692">
        <f t="shared" si="0"/>
        <v>41101155</v>
      </c>
    </row>
    <row r="13" spans="1:9" x14ac:dyDescent="0.2">
      <c r="A13" s="687" t="s">
        <v>21</v>
      </c>
      <c r="B13" s="626" t="s">
        <v>500</v>
      </c>
      <c r="C13" s="688">
        <v>2018</v>
      </c>
      <c r="D13" s="689">
        <v>5503512</v>
      </c>
      <c r="E13" s="689">
        <v>1834504</v>
      </c>
      <c r="F13" s="689">
        <v>1704746</v>
      </c>
      <c r="G13" s="690">
        <v>0</v>
      </c>
      <c r="H13" s="689">
        <v>0</v>
      </c>
      <c r="I13" s="692">
        <f>SUM(D13:H13)</f>
        <v>9042762</v>
      </c>
    </row>
    <row r="14" spans="1:9" x14ac:dyDescent="0.2">
      <c r="A14" s="687" t="s">
        <v>22</v>
      </c>
      <c r="B14" s="626" t="s">
        <v>498</v>
      </c>
      <c r="C14" s="688">
        <v>2018</v>
      </c>
      <c r="D14" s="627">
        <f>2857500+1270000</f>
        <v>4127500</v>
      </c>
      <c r="E14" s="690">
        <v>741242</v>
      </c>
      <c r="F14" s="690">
        <v>0</v>
      </c>
      <c r="G14" s="690">
        <v>0</v>
      </c>
      <c r="H14" s="689">
        <v>0</v>
      </c>
      <c r="I14" s="692">
        <f t="shared" si="0"/>
        <v>4868742</v>
      </c>
    </row>
    <row r="15" spans="1:9" ht="22.5" x14ac:dyDescent="0.2">
      <c r="A15" s="687" t="s">
        <v>23</v>
      </c>
      <c r="B15" s="626" t="s">
        <v>499</v>
      </c>
      <c r="C15" s="688">
        <v>2018</v>
      </c>
      <c r="D15" s="627">
        <f>4170000+1668000</f>
        <v>5838000</v>
      </c>
      <c r="E15" s="690">
        <v>1668000</v>
      </c>
      <c r="F15" s="690">
        <v>1668000</v>
      </c>
      <c r="G15" s="690">
        <v>721526</v>
      </c>
      <c r="H15" s="689">
        <v>0</v>
      </c>
      <c r="I15" s="692">
        <f t="shared" si="0"/>
        <v>9895526</v>
      </c>
    </row>
    <row r="16" spans="1:9" x14ac:dyDescent="0.2">
      <c r="A16" s="687" t="s">
        <v>24</v>
      </c>
      <c r="B16" s="693" t="s">
        <v>574</v>
      </c>
      <c r="C16" s="694">
        <v>2018</v>
      </c>
      <c r="D16" s="695">
        <f>5555200+2777600</f>
        <v>8332800</v>
      </c>
      <c r="E16" s="695">
        <v>2777600</v>
      </c>
      <c r="F16" s="695">
        <v>2777600</v>
      </c>
      <c r="G16" s="695">
        <v>2777600</v>
      </c>
      <c r="H16" s="695">
        <f>11112000-2777600</f>
        <v>8334400</v>
      </c>
      <c r="I16" s="692">
        <f t="shared" si="0"/>
        <v>25000000</v>
      </c>
    </row>
    <row r="17" spans="1:10" ht="22.5" x14ac:dyDescent="0.2">
      <c r="A17" s="687" t="s">
        <v>25</v>
      </c>
      <c r="B17" s="699" t="s">
        <v>576</v>
      </c>
      <c r="C17" s="688">
        <v>2019</v>
      </c>
      <c r="D17" s="689">
        <f>4500000+3600000</f>
        <v>8100000</v>
      </c>
      <c r="E17" s="689">
        <v>3600000</v>
      </c>
      <c r="F17" s="689">
        <v>3600000</v>
      </c>
      <c r="G17" s="689">
        <v>2009597</v>
      </c>
      <c r="H17" s="689">
        <v>0</v>
      </c>
      <c r="I17" s="700">
        <f>SUM(D17:H17)</f>
        <v>17309597</v>
      </c>
    </row>
    <row r="18" spans="1:10" x14ac:dyDescent="0.2">
      <c r="A18" s="687" t="s">
        <v>26</v>
      </c>
      <c r="B18" s="696" t="s">
        <v>575</v>
      </c>
      <c r="C18" s="697">
        <v>2019</v>
      </c>
      <c r="D18" s="698">
        <f>1524000+1016000</f>
        <v>2540000</v>
      </c>
      <c r="E18" s="698">
        <v>1016000</v>
      </c>
      <c r="F18" s="698">
        <v>453644</v>
      </c>
      <c r="G18" s="698">
        <v>0</v>
      </c>
      <c r="H18" s="698">
        <v>0</v>
      </c>
      <c r="I18" s="692">
        <f t="shared" si="0"/>
        <v>4009644</v>
      </c>
    </row>
    <row r="19" spans="1:10" x14ac:dyDescent="0.2">
      <c r="A19" s="687" t="s">
        <v>27</v>
      </c>
      <c r="B19" s="823" t="s">
        <v>819</v>
      </c>
      <c r="C19" s="688">
        <v>2020</v>
      </c>
      <c r="D19" s="689">
        <v>2300740</v>
      </c>
      <c r="E19" s="689">
        <v>2300740</v>
      </c>
      <c r="F19" s="689">
        <v>2300740</v>
      </c>
      <c r="G19" s="689">
        <v>2300740</v>
      </c>
      <c r="H19" s="689">
        <v>2299821</v>
      </c>
      <c r="I19" s="700">
        <f>SUM(D19:H19)</f>
        <v>11502781</v>
      </c>
      <c r="J19" s="223"/>
    </row>
    <row r="20" spans="1:10" x14ac:dyDescent="0.2">
      <c r="A20" s="687" t="s">
        <v>28</v>
      </c>
      <c r="B20" s="823" t="s">
        <v>831</v>
      </c>
      <c r="C20" s="688">
        <v>2021</v>
      </c>
      <c r="D20" s="689">
        <v>0</v>
      </c>
      <c r="E20" s="689">
        <v>1568600</v>
      </c>
      <c r="F20" s="689">
        <v>1568600</v>
      </c>
      <c r="G20" s="689">
        <v>1568600</v>
      </c>
      <c r="H20" s="689">
        <v>2352954</v>
      </c>
      <c r="I20" s="700">
        <f>SUM(D20:H20)</f>
        <v>7058754</v>
      </c>
    </row>
    <row r="21" spans="1:10" ht="23.25" thickBot="1" x14ac:dyDescent="0.25">
      <c r="A21" s="1034" t="s">
        <v>29</v>
      </c>
      <c r="B21" s="1032" t="s">
        <v>899</v>
      </c>
      <c r="C21" s="697">
        <v>2021</v>
      </c>
      <c r="D21" s="698">
        <v>0</v>
      </c>
      <c r="E21" s="698">
        <v>0</v>
      </c>
      <c r="F21" s="698">
        <v>12250000</v>
      </c>
      <c r="G21" s="698">
        <v>12250000</v>
      </c>
      <c r="H21" s="698">
        <f>122500000+12250000-12250000</f>
        <v>122500000</v>
      </c>
      <c r="I21" s="1131">
        <f>SUM(D21:H21)</f>
        <v>147000000</v>
      </c>
    </row>
    <row r="22" spans="1:10" ht="13.5" thickBot="1" x14ac:dyDescent="0.25">
      <c r="A22" s="1316" t="s">
        <v>49</v>
      </c>
      <c r="B22" s="1317"/>
      <c r="C22" s="701"/>
      <c r="D22" s="686">
        <f t="shared" ref="D22:I22" si="1">SUM(D11:D21)</f>
        <v>63862552</v>
      </c>
      <c r="E22" s="686">
        <f t="shared" si="1"/>
        <v>21918686</v>
      </c>
      <c r="F22" s="686">
        <f t="shared" si="1"/>
        <v>32734330</v>
      </c>
      <c r="G22" s="686">
        <f t="shared" si="1"/>
        <v>26568063</v>
      </c>
      <c r="H22" s="686">
        <f t="shared" si="1"/>
        <v>142008330</v>
      </c>
      <c r="I22" s="686">
        <f t="shared" si="1"/>
        <v>287091961</v>
      </c>
    </row>
    <row r="23" spans="1:10" ht="15" x14ac:dyDescent="0.25">
      <c r="B23" s="528" t="s">
        <v>820</v>
      </c>
      <c r="C23" s="528"/>
      <c r="D23" s="528"/>
      <c r="E23" s="528"/>
      <c r="F23" s="528"/>
      <c r="G23" s="528"/>
      <c r="H23" s="528"/>
    </row>
    <row r="25" spans="1:10" ht="15.75" x14ac:dyDescent="0.2">
      <c r="B25" s="381"/>
    </row>
    <row r="26" spans="1:10" ht="15.75" x14ac:dyDescent="0.2">
      <c r="B26" s="527"/>
      <c r="C26" s="529"/>
      <c r="D26" s="224"/>
      <c r="E26" s="224"/>
      <c r="F26" s="224"/>
      <c r="G26" s="224"/>
      <c r="H26" s="224"/>
    </row>
    <row r="27" spans="1:10" x14ac:dyDescent="0.2">
      <c r="B27" s="224"/>
      <c r="C27" s="530"/>
    </row>
    <row r="28" spans="1:10" x14ac:dyDescent="0.2">
      <c r="B28" s="224"/>
      <c r="C28" s="530"/>
    </row>
    <row r="29" spans="1:10" x14ac:dyDescent="0.2">
      <c r="B29" s="224"/>
      <c r="C29" s="531"/>
    </row>
    <row r="30" spans="1:10" x14ac:dyDescent="0.2">
      <c r="B30" s="713"/>
      <c r="C30" s="530"/>
    </row>
    <row r="31" spans="1:10" x14ac:dyDescent="0.2">
      <c r="B31" s="224"/>
      <c r="C31" s="530"/>
    </row>
    <row r="32" spans="1:10" x14ac:dyDescent="0.2">
      <c r="B32" s="224"/>
      <c r="C32" s="530"/>
    </row>
    <row r="33" spans="2:4" x14ac:dyDescent="0.2">
      <c r="B33" s="224"/>
      <c r="C33" s="530"/>
    </row>
    <row r="34" spans="2:4" x14ac:dyDescent="0.2">
      <c r="B34" s="224"/>
      <c r="C34" s="530"/>
    </row>
    <row r="35" spans="2:4" x14ac:dyDescent="0.2">
      <c r="B35" s="224"/>
      <c r="C35" s="530"/>
    </row>
    <row r="36" spans="2:4" ht="17.45" customHeight="1" x14ac:dyDescent="0.2">
      <c r="B36" s="225"/>
      <c r="C36" s="531"/>
    </row>
    <row r="37" spans="2:4" x14ac:dyDescent="0.2">
      <c r="B37" s="224"/>
    </row>
    <row r="38" spans="2:4" x14ac:dyDescent="0.2">
      <c r="B38" s="226"/>
      <c r="C38" s="531"/>
    </row>
    <row r="39" spans="2:4" x14ac:dyDescent="0.2">
      <c r="C39" s="530"/>
      <c r="D39" s="69"/>
    </row>
    <row r="40" spans="2:4" x14ac:dyDescent="0.2">
      <c r="C40" s="530"/>
      <c r="D40" s="69"/>
    </row>
    <row r="41" spans="2:4" x14ac:dyDescent="0.2">
      <c r="C41" s="530"/>
      <c r="D41" s="69"/>
    </row>
    <row r="43" spans="2:4" x14ac:dyDescent="0.2">
      <c r="B43" s="226"/>
      <c r="C43" s="531"/>
    </row>
    <row r="44" spans="2:4" x14ac:dyDescent="0.2">
      <c r="D44" s="69"/>
    </row>
    <row r="45" spans="2:4" x14ac:dyDescent="0.2">
      <c r="D45" s="69"/>
    </row>
    <row r="46" spans="2:4" x14ac:dyDescent="0.2">
      <c r="D46" s="69"/>
    </row>
  </sheetData>
  <mergeCells count="10">
    <mergeCell ref="A22:B22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O167"/>
  <sheetViews>
    <sheetView zoomScaleSheetLayoutView="100" workbookViewId="0">
      <selection activeCell="B9" sqref="B9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280" customWidth="1"/>
    <col min="4" max="4" width="19.33203125" style="167" hidden="1" customWidth="1"/>
    <col min="5" max="8" width="15.83203125" style="167" hidden="1" customWidth="1"/>
    <col min="9" max="10" width="15.33203125" style="167" hidden="1" customWidth="1"/>
    <col min="11" max="13" width="9.33203125" style="167" customWidth="1"/>
    <col min="14" max="16384" width="9.33203125" style="167"/>
  </cols>
  <sheetData>
    <row r="1" spans="1:10" x14ac:dyDescent="0.25">
      <c r="A1" s="1227" t="str">
        <f>CONCATENATE("3. melléklet"," ",ALAPADATOK!A7," ",ALAPADATOK!B7," ",ALAPADATOK!C7," ",ALAPADATOK!D7," ",ALAPADATOK!E7," ",ALAPADATOK!F7," ",ALAPADATOK!G7," ",ALAPADATOK!H7)</f>
        <v>3. melléklet a .. / 2023. ( …... ) önkormányzati rendelethez</v>
      </c>
      <c r="B1" s="1227"/>
      <c r="C1" s="1227"/>
    </row>
    <row r="2" spans="1:10" x14ac:dyDescent="0.25">
      <c r="A2" s="591"/>
      <c r="B2" s="591"/>
      <c r="C2" s="591"/>
    </row>
    <row r="3" spans="1:10" x14ac:dyDescent="0.25">
      <c r="A3" s="1226" t="str">
        <f>CONCATENATE(ALAPADATOK!A3)</f>
        <v>Tiszavasvári Város Önkormányzat</v>
      </c>
      <c r="B3" s="1226"/>
      <c r="C3" s="1226"/>
    </row>
    <row r="4" spans="1:10" x14ac:dyDescent="0.25">
      <c r="A4" s="1225" t="str">
        <f>CONCATENATE(ALAPADATOK!D7," ÉVI KÖLTSÉGVETÉS")</f>
        <v>2023. ÉVI KÖLTSÉGVETÉS</v>
      </c>
      <c r="B4" s="1225"/>
      <c r="C4" s="1225"/>
    </row>
    <row r="5" spans="1:10" x14ac:dyDescent="0.25">
      <c r="A5" s="1225" t="s">
        <v>665</v>
      </c>
      <c r="B5" s="1225"/>
      <c r="C5" s="1225"/>
    </row>
    <row r="7" spans="1:10" ht="15.95" customHeight="1" x14ac:dyDescent="0.25">
      <c r="A7" s="1229" t="s">
        <v>13</v>
      </c>
      <c r="B7" s="1229"/>
      <c r="C7" s="1229"/>
    </row>
    <row r="8" spans="1:10" ht="15.95" customHeight="1" thickBot="1" x14ac:dyDescent="0.3">
      <c r="A8" s="1231"/>
      <c r="B8" s="1231"/>
      <c r="C8" s="119" t="s">
        <v>483</v>
      </c>
    </row>
    <row r="9" spans="1:10" ht="38.1" customHeight="1" thickBot="1" x14ac:dyDescent="0.3">
      <c r="A9" s="20" t="s">
        <v>63</v>
      </c>
      <c r="B9" s="21" t="s">
        <v>15</v>
      </c>
      <c r="C9" s="29" t="s">
        <v>976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378" t="s">
        <v>1051</v>
      </c>
    </row>
    <row r="10" spans="1:10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10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SUM(D11:J11)</f>
        <v>443677534</v>
      </c>
      <c r="D11" s="255">
        <f t="shared" ref="D11:J11" si="1">+D12+D13+D14+D17+D18+D19</f>
        <v>406592534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ref="I11" si="2">+I12+I13+I14+I17+I18+I19</f>
        <v>0</v>
      </c>
      <c r="J11" s="110">
        <v>37085000</v>
      </c>
    </row>
    <row r="12" spans="1:10" s="179" customFormat="1" ht="12.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  <c r="J12" s="214">
        <v>0</v>
      </c>
    </row>
    <row r="13" spans="1:10" s="179" customFormat="1" ht="12.2" customHeight="1" x14ac:dyDescent="0.2">
      <c r="A13" s="11" t="s">
        <v>86</v>
      </c>
      <c r="B13" s="181" t="s">
        <v>181</v>
      </c>
      <c r="C13" s="277">
        <f t="shared" si="0"/>
        <v>0</v>
      </c>
      <c r="D13" s="114"/>
      <c r="E13" s="114"/>
      <c r="F13" s="114"/>
      <c r="G13" s="114"/>
      <c r="H13" s="114"/>
      <c r="I13" s="114"/>
      <c r="J13" s="114">
        <v>0</v>
      </c>
    </row>
    <row r="14" spans="1:10" s="179" customFormat="1" ht="12.2" customHeight="1" x14ac:dyDescent="0.2">
      <c r="A14" s="11" t="s">
        <v>87</v>
      </c>
      <c r="B14" s="181" t="s">
        <v>702</v>
      </c>
      <c r="C14" s="274">
        <f t="shared" si="0"/>
        <v>443677534</v>
      </c>
      <c r="D14" s="114">
        <f t="shared" ref="D14:J14" si="3">SUM(D15:D16)</f>
        <v>406592534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ref="I14" si="4">SUM(I15:I16)</f>
        <v>0</v>
      </c>
      <c r="J14" s="114">
        <v>37085000</v>
      </c>
    </row>
    <row r="15" spans="1:10" s="179" customFormat="1" ht="12.2" customHeight="1" x14ac:dyDescent="0.2">
      <c r="A15" s="11" t="s">
        <v>700</v>
      </c>
      <c r="B15" s="181" t="s">
        <v>703</v>
      </c>
      <c r="C15" s="274">
        <f t="shared" si="0"/>
        <v>443677534</v>
      </c>
      <c r="D15" s="114">
        <v>406592534</v>
      </c>
      <c r="E15" s="114"/>
      <c r="F15" s="114"/>
      <c r="G15" s="114"/>
      <c r="H15" s="114"/>
      <c r="I15" s="114"/>
      <c r="J15" s="114">
        <v>37085000</v>
      </c>
    </row>
    <row r="16" spans="1:10" s="179" customFormat="1" ht="12.2" customHeight="1" x14ac:dyDescent="0.2">
      <c r="A16" s="11" t="s">
        <v>701</v>
      </c>
      <c r="B16" s="181" t="s">
        <v>704</v>
      </c>
      <c r="C16" s="277">
        <f t="shared" si="0"/>
        <v>0</v>
      </c>
      <c r="D16" s="114"/>
      <c r="E16" s="114"/>
      <c r="F16" s="114"/>
      <c r="G16" s="114"/>
      <c r="H16" s="114"/>
      <c r="I16" s="114"/>
      <c r="J16" s="114">
        <v>0</v>
      </c>
    </row>
    <row r="17" spans="1:10" s="179" customFormat="1" ht="12.2" customHeight="1" x14ac:dyDescent="0.2">
      <c r="A17" s="11" t="s">
        <v>88</v>
      </c>
      <c r="B17" s="181" t="s">
        <v>183</v>
      </c>
      <c r="C17" s="277">
        <f t="shared" si="0"/>
        <v>0</v>
      </c>
      <c r="D17" s="114"/>
      <c r="E17" s="114"/>
      <c r="F17" s="114"/>
      <c r="G17" s="114"/>
      <c r="H17" s="114"/>
      <c r="I17" s="114"/>
      <c r="J17" s="114">
        <v>0</v>
      </c>
    </row>
    <row r="18" spans="1:10" s="179" customFormat="1" ht="12.2" customHeight="1" x14ac:dyDescent="0.2">
      <c r="A18" s="11" t="s">
        <v>111</v>
      </c>
      <c r="B18" s="106" t="s">
        <v>385</v>
      </c>
      <c r="C18" s="277">
        <f t="shared" si="0"/>
        <v>0</v>
      </c>
      <c r="D18" s="114"/>
      <c r="E18" s="114"/>
      <c r="F18" s="114"/>
      <c r="G18" s="114"/>
      <c r="H18" s="114"/>
      <c r="I18" s="114"/>
      <c r="J18" s="114">
        <v>0</v>
      </c>
    </row>
    <row r="19" spans="1:10" s="179" customFormat="1" ht="12.2" customHeight="1" thickBot="1" x14ac:dyDescent="0.25">
      <c r="A19" s="13" t="s">
        <v>89</v>
      </c>
      <c r="B19" s="107" t="s">
        <v>386</v>
      </c>
      <c r="C19" s="278">
        <f t="shared" si="0"/>
        <v>0</v>
      </c>
      <c r="D19" s="99"/>
      <c r="E19" s="111"/>
      <c r="F19" s="111"/>
      <c r="G19" s="111"/>
      <c r="H19" s="111"/>
      <c r="I19" s="111"/>
      <c r="J19" s="111">
        <v>0</v>
      </c>
    </row>
    <row r="20" spans="1:10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217598718</v>
      </c>
      <c r="D20" s="255">
        <f t="shared" ref="D20:J20" si="5">+D21+D22+D23+D24+D25</f>
        <v>0</v>
      </c>
      <c r="E20" s="110">
        <f t="shared" si="5"/>
        <v>0</v>
      </c>
      <c r="F20" s="110">
        <f t="shared" si="5"/>
        <v>0</v>
      </c>
      <c r="G20" s="110">
        <f t="shared" si="5"/>
        <v>0</v>
      </c>
      <c r="H20" s="110">
        <f t="shared" si="5"/>
        <v>0</v>
      </c>
      <c r="I20" s="110">
        <f t="shared" ref="I20" si="6">+I21+I22+I23+I24+I25</f>
        <v>191865913</v>
      </c>
      <c r="J20" s="110">
        <v>25732805</v>
      </c>
    </row>
    <row r="21" spans="1:10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112"/>
      <c r="G21" s="112"/>
      <c r="H21" s="112"/>
      <c r="I21" s="112"/>
      <c r="J21" s="112">
        <v>0</v>
      </c>
    </row>
    <row r="22" spans="1:10" s="179" customFormat="1" ht="12.2" customHeight="1" x14ac:dyDescent="0.2">
      <c r="A22" s="11" t="s">
        <v>92</v>
      </c>
      <c r="B22" s="181" t="s">
        <v>186</v>
      </c>
      <c r="C22" s="277">
        <f t="shared" si="0"/>
        <v>0</v>
      </c>
      <c r="D22" s="99"/>
      <c r="E22" s="111"/>
      <c r="F22" s="111"/>
      <c r="G22" s="111"/>
      <c r="H22" s="111"/>
      <c r="I22" s="111"/>
      <c r="J22" s="111">
        <v>0</v>
      </c>
    </row>
    <row r="23" spans="1:10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1"/>
      <c r="G23" s="111"/>
      <c r="H23" s="111"/>
      <c r="I23" s="111"/>
      <c r="J23" s="111">
        <v>0</v>
      </c>
    </row>
    <row r="24" spans="1:10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1"/>
      <c r="G24" s="111"/>
      <c r="H24" s="111"/>
      <c r="I24" s="111"/>
      <c r="J24" s="111">
        <v>0</v>
      </c>
    </row>
    <row r="25" spans="1:10" s="179" customFormat="1" ht="12.2" customHeight="1" x14ac:dyDescent="0.2">
      <c r="A25" s="11" t="s">
        <v>95</v>
      </c>
      <c r="B25" s="181" t="s">
        <v>187</v>
      </c>
      <c r="C25" s="274">
        <f t="shared" si="0"/>
        <v>217598718</v>
      </c>
      <c r="D25" s="246"/>
      <c r="E25" s="114"/>
      <c r="F25" s="114"/>
      <c r="G25" s="114"/>
      <c r="H25" s="114"/>
      <c r="I25" s="114">
        <v>191865913</v>
      </c>
      <c r="J25" s="114">
        <v>25732805</v>
      </c>
    </row>
    <row r="26" spans="1:10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25732805</v>
      </c>
      <c r="D26" s="249"/>
      <c r="E26" s="170"/>
      <c r="F26" s="170"/>
      <c r="G26" s="170"/>
      <c r="H26" s="170"/>
      <c r="I26" s="170"/>
      <c r="J26" s="170">
        <v>25732805</v>
      </c>
    </row>
    <row r="27" spans="1:10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37347000</v>
      </c>
      <c r="D27" s="255">
        <f t="shared" ref="D27:J27" si="7">+D28+D29+D30+D31+D32</f>
        <v>0</v>
      </c>
      <c r="E27" s="110">
        <f t="shared" si="7"/>
        <v>0</v>
      </c>
      <c r="F27" s="110">
        <f t="shared" si="7"/>
        <v>0</v>
      </c>
      <c r="G27" s="110">
        <f t="shared" si="7"/>
        <v>0</v>
      </c>
      <c r="H27" s="110">
        <f t="shared" si="7"/>
        <v>0</v>
      </c>
      <c r="I27" s="110">
        <f t="shared" ref="I27" si="8">+I28+I29+I30+I31+I32</f>
        <v>36147000</v>
      </c>
      <c r="J27" s="110">
        <v>1200000</v>
      </c>
    </row>
    <row r="28" spans="1:10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470"/>
      <c r="G28" s="470"/>
      <c r="H28" s="470"/>
      <c r="I28" s="470"/>
      <c r="J28" s="470">
        <v>0</v>
      </c>
    </row>
    <row r="29" spans="1:10" s="179" customFormat="1" ht="12.2" customHeight="1" x14ac:dyDescent="0.2">
      <c r="A29" s="11" t="s">
        <v>75</v>
      </c>
      <c r="B29" s="181" t="s">
        <v>191</v>
      </c>
      <c r="C29" s="277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</row>
    <row r="30" spans="1:10" s="179" customFormat="1" ht="12.2" customHeight="1" x14ac:dyDescent="0.2">
      <c r="A30" s="11" t="s">
        <v>76</v>
      </c>
      <c r="B30" s="181" t="s">
        <v>354</v>
      </c>
      <c r="C30" s="277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</row>
    <row r="31" spans="1:10" s="179" customFormat="1" ht="12.2" customHeight="1" x14ac:dyDescent="0.2">
      <c r="A31" s="11" t="s">
        <v>77</v>
      </c>
      <c r="B31" s="181" t="s">
        <v>355</v>
      </c>
      <c r="C31" s="277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</row>
    <row r="32" spans="1:10" s="179" customFormat="1" ht="12.2" customHeight="1" x14ac:dyDescent="0.2">
      <c r="A32" s="11" t="s">
        <v>122</v>
      </c>
      <c r="B32" s="181" t="s">
        <v>192</v>
      </c>
      <c r="C32" s="274">
        <f t="shared" si="0"/>
        <v>37347000</v>
      </c>
      <c r="D32" s="246"/>
      <c r="E32" s="114"/>
      <c r="F32" s="114"/>
      <c r="G32" s="114"/>
      <c r="H32" s="114"/>
      <c r="I32" s="114">
        <v>36147000</v>
      </c>
      <c r="J32" s="114">
        <v>1200000</v>
      </c>
    </row>
    <row r="33" spans="1:15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1200000</v>
      </c>
      <c r="D33" s="249"/>
      <c r="E33" s="170"/>
      <c r="F33" s="170"/>
      <c r="G33" s="170"/>
      <c r="H33" s="170"/>
      <c r="I33" s="170"/>
      <c r="J33" s="170">
        <v>1200000</v>
      </c>
    </row>
    <row r="34" spans="1:15" s="179" customFormat="1" ht="12.2" customHeight="1" thickBot="1" x14ac:dyDescent="0.25">
      <c r="A34" s="17" t="s">
        <v>124</v>
      </c>
      <c r="B34" s="18" t="s">
        <v>194</v>
      </c>
      <c r="C34" s="279">
        <f t="shared" si="0"/>
        <v>0</v>
      </c>
      <c r="D34" s="257">
        <f t="shared" ref="D34:J34" si="9">+D35++D39+D40</f>
        <v>0</v>
      </c>
      <c r="E34" s="257">
        <f t="shared" si="9"/>
        <v>0</v>
      </c>
      <c r="F34" s="257">
        <f t="shared" si="9"/>
        <v>0</v>
      </c>
      <c r="G34" s="257">
        <f t="shared" si="9"/>
        <v>0</v>
      </c>
      <c r="H34" s="257">
        <f t="shared" si="9"/>
        <v>0</v>
      </c>
      <c r="I34" s="257">
        <f t="shared" ref="I34" si="10">+I35++I39+I40</f>
        <v>0</v>
      </c>
      <c r="J34" s="257">
        <v>0</v>
      </c>
      <c r="O34" s="714"/>
    </row>
    <row r="35" spans="1:15" s="179" customFormat="1" ht="12.2" customHeight="1" x14ac:dyDescent="0.2">
      <c r="A35" s="12" t="s">
        <v>195</v>
      </c>
      <c r="B35" s="180" t="s">
        <v>554</v>
      </c>
      <c r="C35" s="176">
        <f t="shared" si="0"/>
        <v>0</v>
      </c>
      <c r="D35" s="269">
        <f t="shared" ref="D35:J35" si="11">SUM(D36:D37)</f>
        <v>0</v>
      </c>
      <c r="E35" s="269">
        <f t="shared" si="11"/>
        <v>0</v>
      </c>
      <c r="F35" s="269">
        <f t="shared" si="11"/>
        <v>0</v>
      </c>
      <c r="G35" s="269">
        <f t="shared" si="11"/>
        <v>0</v>
      </c>
      <c r="H35" s="269">
        <f t="shared" si="11"/>
        <v>0</v>
      </c>
      <c r="I35" s="269">
        <f t="shared" ref="I35" si="12">SUM(I36:I37)</f>
        <v>0</v>
      </c>
      <c r="J35" s="269">
        <v>0</v>
      </c>
    </row>
    <row r="36" spans="1:15" s="179" customFormat="1" ht="12.2" customHeight="1" x14ac:dyDescent="0.2">
      <c r="A36" s="11" t="s">
        <v>196</v>
      </c>
      <c r="B36" s="181" t="s">
        <v>201</v>
      </c>
      <c r="C36" s="277">
        <f t="shared" si="0"/>
        <v>0</v>
      </c>
      <c r="D36" s="99"/>
      <c r="E36" s="111"/>
      <c r="F36" s="111"/>
      <c r="G36" s="111"/>
      <c r="H36" s="111"/>
      <c r="I36" s="111"/>
      <c r="J36" s="111">
        <v>0</v>
      </c>
    </row>
    <row r="37" spans="1:15" s="179" customFormat="1" ht="12.2" customHeight="1" x14ac:dyDescent="0.2">
      <c r="A37" s="11" t="s">
        <v>197</v>
      </c>
      <c r="B37" s="232" t="s">
        <v>553</v>
      </c>
      <c r="C37" s="277">
        <f t="shared" si="0"/>
        <v>0</v>
      </c>
      <c r="D37" s="99"/>
      <c r="E37" s="111"/>
      <c r="F37" s="111"/>
      <c r="G37" s="111"/>
      <c r="H37" s="111"/>
      <c r="I37" s="111"/>
      <c r="J37" s="111">
        <v>0</v>
      </c>
    </row>
    <row r="38" spans="1:15" s="179" customFormat="1" ht="12.2" customHeight="1" x14ac:dyDescent="0.2">
      <c r="A38" s="11" t="s">
        <v>198</v>
      </c>
      <c r="B38" s="181" t="s">
        <v>469</v>
      </c>
      <c r="C38" s="277">
        <f t="shared" si="0"/>
        <v>0</v>
      </c>
      <c r="D38" s="246"/>
      <c r="E38" s="114"/>
      <c r="F38" s="114"/>
      <c r="G38" s="114"/>
      <c r="H38" s="114"/>
      <c r="I38" s="114"/>
      <c r="J38" s="114">
        <v>0</v>
      </c>
    </row>
    <row r="39" spans="1:15" s="179" customFormat="1" ht="12.2" customHeight="1" x14ac:dyDescent="0.2">
      <c r="A39" s="11" t="s">
        <v>200</v>
      </c>
      <c r="B39" s="181" t="s">
        <v>203</v>
      </c>
      <c r="C39" s="277">
        <f t="shared" si="0"/>
        <v>0</v>
      </c>
      <c r="D39" s="99"/>
      <c r="E39" s="111"/>
      <c r="F39" s="111"/>
      <c r="G39" s="111"/>
      <c r="H39" s="111"/>
      <c r="I39" s="111"/>
      <c r="J39" s="111">
        <v>0</v>
      </c>
    </row>
    <row r="40" spans="1:15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0</v>
      </c>
      <c r="D40" s="249"/>
      <c r="E40" s="170"/>
      <c r="F40" s="170"/>
      <c r="G40" s="170"/>
      <c r="H40" s="170"/>
      <c r="I40" s="170"/>
      <c r="J40" s="170">
        <v>0</v>
      </c>
    </row>
    <row r="41" spans="1:15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252134816</v>
      </c>
      <c r="D41" s="255">
        <f t="shared" ref="D41:J41" si="13">SUM(D42:D52)</f>
        <v>5416000</v>
      </c>
      <c r="E41" s="110">
        <f t="shared" si="13"/>
        <v>0</v>
      </c>
      <c r="F41" s="110">
        <f t="shared" si="13"/>
        <v>0</v>
      </c>
      <c r="G41" s="110">
        <f t="shared" si="13"/>
        <v>1400000</v>
      </c>
      <c r="H41" s="110">
        <f t="shared" si="13"/>
        <v>0</v>
      </c>
      <c r="I41" s="110">
        <f t="shared" ref="I41" si="14">SUM(I42:I52)</f>
        <v>245318816</v>
      </c>
      <c r="J41" s="110">
        <v>0</v>
      </c>
    </row>
    <row r="42" spans="1:15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</row>
    <row r="43" spans="1:15" s="179" customFormat="1" ht="12.2" customHeight="1" x14ac:dyDescent="0.2">
      <c r="A43" s="11" t="s">
        <v>79</v>
      </c>
      <c r="B43" s="181" t="s">
        <v>208</v>
      </c>
      <c r="C43" s="274">
        <f t="shared" si="0"/>
        <v>5737164</v>
      </c>
      <c r="D43" s="246">
        <v>1974803</v>
      </c>
      <c r="E43" s="114"/>
      <c r="F43" s="214"/>
      <c r="G43" s="214">
        <v>1102361</v>
      </c>
      <c r="H43" s="214"/>
      <c r="I43" s="214">
        <v>2660000</v>
      </c>
      <c r="J43" s="214">
        <v>0</v>
      </c>
    </row>
    <row r="44" spans="1:15" s="179" customFormat="1" ht="12.2" customHeight="1" x14ac:dyDescent="0.2">
      <c r="A44" s="11" t="s">
        <v>80</v>
      </c>
      <c r="B44" s="181" t="s">
        <v>209</v>
      </c>
      <c r="C44" s="277">
        <f t="shared" si="0"/>
        <v>10200000</v>
      </c>
      <c r="D44" s="246"/>
      <c r="E44" s="114"/>
      <c r="F44" s="214"/>
      <c r="G44" s="214"/>
      <c r="H44" s="214"/>
      <c r="I44" s="214">
        <v>10200000</v>
      </c>
      <c r="J44" s="214">
        <v>0</v>
      </c>
    </row>
    <row r="45" spans="1:15" s="179" customFormat="1" ht="12.2" customHeight="1" x14ac:dyDescent="0.2">
      <c r="A45" s="11" t="s">
        <v>126</v>
      </c>
      <c r="B45" s="181" t="s">
        <v>210</v>
      </c>
      <c r="C45" s="277">
        <f t="shared" si="0"/>
        <v>0</v>
      </c>
      <c r="D45" s="246"/>
      <c r="E45" s="114"/>
      <c r="F45" s="214"/>
      <c r="G45" s="214"/>
      <c r="H45" s="214"/>
      <c r="I45" s="214"/>
      <c r="J45" s="214">
        <v>0</v>
      </c>
    </row>
    <row r="46" spans="1:15" s="179" customFormat="1" ht="12.2" customHeight="1" x14ac:dyDescent="0.2">
      <c r="A46" s="11" t="s">
        <v>127</v>
      </c>
      <c r="B46" s="181" t="s">
        <v>211</v>
      </c>
      <c r="C46" s="274">
        <f t="shared" si="0"/>
        <v>231540816</v>
      </c>
      <c r="D46" s="246"/>
      <c r="E46" s="114"/>
      <c r="F46" s="214"/>
      <c r="G46" s="214"/>
      <c r="H46" s="214"/>
      <c r="I46" s="214">
        <v>231540816</v>
      </c>
      <c r="J46" s="214">
        <v>0</v>
      </c>
    </row>
    <row r="47" spans="1:15" s="179" customFormat="1" ht="12.2" customHeight="1" x14ac:dyDescent="0.2">
      <c r="A47" s="11" t="s">
        <v>128</v>
      </c>
      <c r="B47" s="181" t="s">
        <v>212</v>
      </c>
      <c r="C47" s="274">
        <f t="shared" si="0"/>
        <v>1748836</v>
      </c>
      <c r="D47" s="246">
        <v>533197</v>
      </c>
      <c r="E47" s="114"/>
      <c r="F47" s="214"/>
      <c r="G47" s="214">
        <v>297639</v>
      </c>
      <c r="H47" s="214"/>
      <c r="I47" s="214">
        <v>918000</v>
      </c>
      <c r="J47" s="214">
        <v>0</v>
      </c>
    </row>
    <row r="48" spans="1:15" s="179" customFormat="1" ht="12.2" customHeight="1" x14ac:dyDescent="0.2">
      <c r="A48" s="11" t="s">
        <v>129</v>
      </c>
      <c r="B48" s="181" t="s">
        <v>213</v>
      </c>
      <c r="C48" s="274">
        <f t="shared" si="0"/>
        <v>2808000</v>
      </c>
      <c r="D48" s="246">
        <v>2808000</v>
      </c>
      <c r="E48" s="114"/>
      <c r="F48" s="214"/>
      <c r="G48" s="214"/>
      <c r="H48" s="214"/>
      <c r="I48" s="214"/>
      <c r="J48" s="214">
        <v>0</v>
      </c>
    </row>
    <row r="49" spans="1:10" s="179" customFormat="1" ht="12.2" customHeight="1" x14ac:dyDescent="0.2">
      <c r="A49" s="11" t="s">
        <v>130</v>
      </c>
      <c r="B49" s="181" t="s">
        <v>474</v>
      </c>
      <c r="C49" s="277">
        <f t="shared" si="0"/>
        <v>0</v>
      </c>
      <c r="D49" s="246"/>
      <c r="E49" s="114"/>
      <c r="F49" s="214"/>
      <c r="G49" s="214"/>
      <c r="H49" s="214"/>
      <c r="I49" s="214"/>
      <c r="J49" s="214">
        <v>0</v>
      </c>
    </row>
    <row r="50" spans="1:10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  <c r="J50" s="214">
        <v>0</v>
      </c>
    </row>
    <row r="51" spans="1:10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  <c r="J51" s="214">
        <v>0</v>
      </c>
    </row>
    <row r="52" spans="1:10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100000</v>
      </c>
      <c r="D52" s="249">
        <v>100000</v>
      </c>
      <c r="E52" s="170"/>
      <c r="F52" s="214"/>
      <c r="G52" s="214"/>
      <c r="H52" s="214"/>
      <c r="I52" s="214"/>
      <c r="J52" s="214">
        <v>0</v>
      </c>
    </row>
    <row r="53" spans="1:10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5">
        <f t="shared" ref="D53:J53" si="15">SUM(D54:D58)</f>
        <v>0</v>
      </c>
      <c r="E53" s="110">
        <f t="shared" si="15"/>
        <v>0</v>
      </c>
      <c r="F53" s="110">
        <f t="shared" si="15"/>
        <v>0</v>
      </c>
      <c r="G53" s="110">
        <f t="shared" si="15"/>
        <v>0</v>
      </c>
      <c r="H53" s="110">
        <f t="shared" si="15"/>
        <v>0</v>
      </c>
      <c r="I53" s="110">
        <f t="shared" ref="I53" si="16">SUM(I54:I58)</f>
        <v>0</v>
      </c>
      <c r="J53" s="110">
        <v>0</v>
      </c>
    </row>
    <row r="54" spans="1:10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  <c r="J54" s="214">
        <v>0</v>
      </c>
    </row>
    <row r="55" spans="1:10" s="179" customFormat="1" ht="12.2" customHeight="1" x14ac:dyDescent="0.2">
      <c r="A55" s="11" t="s">
        <v>82</v>
      </c>
      <c r="B55" s="181" t="s">
        <v>222</v>
      </c>
      <c r="C55" s="277">
        <f t="shared" si="0"/>
        <v>0</v>
      </c>
      <c r="D55" s="246"/>
      <c r="E55" s="114"/>
      <c r="F55" s="114"/>
      <c r="G55" s="114"/>
      <c r="H55" s="114"/>
      <c r="I55" s="114"/>
      <c r="J55" s="114">
        <v>0</v>
      </c>
    </row>
    <row r="56" spans="1:10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  <c r="J56" s="114">
        <v>0</v>
      </c>
    </row>
    <row r="57" spans="1:10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  <c r="J57" s="114">
        <v>0</v>
      </c>
    </row>
    <row r="58" spans="1:10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  <c r="J58" s="170">
        <v>0</v>
      </c>
    </row>
    <row r="59" spans="1:10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200000</v>
      </c>
      <c r="D59" s="255">
        <f t="shared" ref="D59:J59" si="17">SUM(D60:D62)</f>
        <v>200000</v>
      </c>
      <c r="E59" s="110">
        <f t="shared" si="17"/>
        <v>0</v>
      </c>
      <c r="F59" s="110">
        <f t="shared" si="17"/>
        <v>0</v>
      </c>
      <c r="G59" s="110">
        <f t="shared" si="17"/>
        <v>0</v>
      </c>
      <c r="H59" s="110">
        <f t="shared" si="17"/>
        <v>0</v>
      </c>
      <c r="I59" s="110">
        <f t="shared" ref="I59" si="18">SUM(I60:I62)</f>
        <v>0</v>
      </c>
      <c r="J59" s="110">
        <v>0</v>
      </c>
    </row>
    <row r="60" spans="1:10" s="179" customFormat="1" ht="12.2" customHeight="1" x14ac:dyDescent="0.2">
      <c r="A60" s="12" t="s">
        <v>83</v>
      </c>
      <c r="B60" s="180" t="s">
        <v>227</v>
      </c>
      <c r="C60" s="176">
        <f t="shared" si="0"/>
        <v>0</v>
      </c>
      <c r="D60" s="256"/>
      <c r="E60" s="112"/>
      <c r="F60" s="112"/>
      <c r="G60" s="112"/>
      <c r="H60" s="112"/>
      <c r="I60" s="112"/>
      <c r="J60" s="112">
        <v>0</v>
      </c>
    </row>
    <row r="61" spans="1:10" s="179" customFormat="1" ht="12.2" customHeight="1" x14ac:dyDescent="0.2">
      <c r="A61" s="11" t="s">
        <v>84</v>
      </c>
      <c r="B61" s="181" t="s">
        <v>356</v>
      </c>
      <c r="C61" s="277">
        <f t="shared" si="0"/>
        <v>200000</v>
      </c>
      <c r="D61" s="246">
        <v>200000</v>
      </c>
      <c r="E61" s="114"/>
      <c r="F61" s="114"/>
      <c r="G61" s="114"/>
      <c r="H61" s="114"/>
      <c r="I61" s="114"/>
      <c r="J61" s="114">
        <v>0</v>
      </c>
    </row>
    <row r="62" spans="1:10" s="179" customFormat="1" ht="12.2" customHeight="1" x14ac:dyDescent="0.2">
      <c r="A62" s="11" t="s">
        <v>230</v>
      </c>
      <c r="B62" s="181" t="s">
        <v>228</v>
      </c>
      <c r="C62" s="274">
        <f t="shared" si="0"/>
        <v>0</v>
      </c>
      <c r="D62" s="246"/>
      <c r="E62" s="114"/>
      <c r="F62" s="114"/>
      <c r="G62" s="114"/>
      <c r="H62" s="114"/>
      <c r="I62" s="114"/>
      <c r="J62" s="114">
        <v>0</v>
      </c>
    </row>
    <row r="63" spans="1:10" s="179" customFormat="1" ht="12.2" customHeight="1" thickBot="1" x14ac:dyDescent="0.25">
      <c r="A63" s="13" t="s">
        <v>231</v>
      </c>
      <c r="B63" s="107" t="s">
        <v>229</v>
      </c>
      <c r="C63" s="278">
        <f t="shared" si="0"/>
        <v>0</v>
      </c>
      <c r="D63" s="100"/>
      <c r="E63" s="113"/>
      <c r="F63" s="113"/>
      <c r="G63" s="113"/>
      <c r="H63" s="113"/>
      <c r="I63" s="113"/>
      <c r="J63" s="113">
        <v>0</v>
      </c>
    </row>
    <row r="64" spans="1:10" s="179" customFormat="1" ht="12.2" customHeight="1" thickBot="1" x14ac:dyDescent="0.25">
      <c r="A64" s="17" t="s">
        <v>23</v>
      </c>
      <c r="B64" s="105" t="s">
        <v>232</v>
      </c>
      <c r="C64" s="110">
        <f t="shared" si="0"/>
        <v>0</v>
      </c>
      <c r="D64" s="255">
        <f t="shared" ref="D64:J64" si="19">SUM(D65:D67)</f>
        <v>0</v>
      </c>
      <c r="E64" s="110">
        <f t="shared" si="19"/>
        <v>0</v>
      </c>
      <c r="F64" s="110">
        <f t="shared" si="19"/>
        <v>0</v>
      </c>
      <c r="G64" s="110">
        <f t="shared" si="19"/>
        <v>0</v>
      </c>
      <c r="H64" s="110">
        <f t="shared" si="19"/>
        <v>0</v>
      </c>
      <c r="I64" s="110">
        <f t="shared" ref="I64" si="20">SUM(I65:I67)</f>
        <v>0</v>
      </c>
      <c r="J64" s="110">
        <v>0</v>
      </c>
    </row>
    <row r="65" spans="1:10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  <c r="J65" s="114">
        <v>0</v>
      </c>
    </row>
    <row r="66" spans="1:10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  <c r="J66" s="114">
        <v>0</v>
      </c>
    </row>
    <row r="67" spans="1:10" s="179" customFormat="1" ht="12.2" customHeight="1" x14ac:dyDescent="0.2">
      <c r="A67" s="11" t="s">
        <v>158</v>
      </c>
      <c r="B67" s="181" t="s">
        <v>235</v>
      </c>
      <c r="C67" s="644">
        <f t="shared" si="0"/>
        <v>0</v>
      </c>
      <c r="D67" s="246"/>
      <c r="E67" s="114"/>
      <c r="F67" s="114"/>
      <c r="G67" s="114"/>
      <c r="H67" s="114"/>
      <c r="I67" s="114"/>
      <c r="J67" s="114">
        <v>0</v>
      </c>
    </row>
    <row r="68" spans="1:10" s="179" customFormat="1" ht="12.2" customHeight="1" thickBot="1" x14ac:dyDescent="0.25">
      <c r="A68" s="13" t="s">
        <v>233</v>
      </c>
      <c r="B68" s="107" t="s">
        <v>236</v>
      </c>
      <c r="C68" s="647">
        <f t="shared" si="0"/>
        <v>0</v>
      </c>
      <c r="D68" s="246"/>
      <c r="E68" s="114"/>
      <c r="F68" s="114"/>
      <c r="G68" s="114"/>
      <c r="H68" s="114"/>
      <c r="I68" s="114"/>
      <c r="J68" s="114">
        <v>0</v>
      </c>
    </row>
    <row r="69" spans="1:10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950958068</v>
      </c>
      <c r="D69" s="257">
        <f t="shared" ref="D69:J69" si="21">+D11+D20+D27+D34+D41+D53+D59+D64</f>
        <v>412208534</v>
      </c>
      <c r="E69" s="115">
        <f t="shared" si="21"/>
        <v>0</v>
      </c>
      <c r="F69" s="115">
        <f t="shared" si="21"/>
        <v>0</v>
      </c>
      <c r="G69" s="115">
        <f t="shared" si="21"/>
        <v>1400000</v>
      </c>
      <c r="H69" s="115">
        <f t="shared" si="21"/>
        <v>0</v>
      </c>
      <c r="I69" s="115">
        <f t="shared" ref="I69" si="22">+I11+I20+I27+I34+I41+I53+I59+I64</f>
        <v>473331729</v>
      </c>
      <c r="J69" s="115">
        <v>64017805</v>
      </c>
    </row>
    <row r="70" spans="1:10" s="179" customFormat="1" ht="12.2" customHeight="1" thickBot="1" x14ac:dyDescent="0.25">
      <c r="A70" s="234" t="s">
        <v>238</v>
      </c>
      <c r="B70" s="105" t="s">
        <v>239</v>
      </c>
      <c r="C70" s="110">
        <f t="shared" si="0"/>
        <v>0</v>
      </c>
      <c r="D70" s="255">
        <f t="shared" ref="D70:J70" si="23">SUM(D71:D73)</f>
        <v>0</v>
      </c>
      <c r="E70" s="110">
        <f t="shared" si="23"/>
        <v>0</v>
      </c>
      <c r="F70" s="110">
        <f t="shared" si="23"/>
        <v>0</v>
      </c>
      <c r="G70" s="110">
        <f t="shared" si="23"/>
        <v>0</v>
      </c>
      <c r="H70" s="110">
        <f t="shared" si="23"/>
        <v>0</v>
      </c>
      <c r="I70" s="110">
        <f t="shared" ref="I70" si="24">SUM(I71:I73)</f>
        <v>0</v>
      </c>
      <c r="J70" s="110">
        <v>0</v>
      </c>
    </row>
    <row r="71" spans="1:10" s="179" customFormat="1" ht="12.2" customHeight="1" x14ac:dyDescent="0.2">
      <c r="A71" s="12" t="s">
        <v>270</v>
      </c>
      <c r="B71" s="180" t="s">
        <v>240</v>
      </c>
      <c r="C71" s="176">
        <f t="shared" si="0"/>
        <v>0</v>
      </c>
      <c r="D71" s="246"/>
      <c r="E71" s="114"/>
      <c r="F71" s="114"/>
      <c r="G71" s="114"/>
      <c r="H71" s="114"/>
      <c r="I71" s="114"/>
      <c r="J71" s="114">
        <v>0</v>
      </c>
    </row>
    <row r="72" spans="1:10" s="179" customFormat="1" ht="12.2" customHeight="1" x14ac:dyDescent="0.2">
      <c r="A72" s="11" t="s">
        <v>279</v>
      </c>
      <c r="B72" s="181" t="s">
        <v>241</v>
      </c>
      <c r="C72" s="277">
        <f t="shared" si="0"/>
        <v>0</v>
      </c>
      <c r="D72" s="246"/>
      <c r="E72" s="114"/>
      <c r="F72" s="114"/>
      <c r="G72" s="114"/>
      <c r="H72" s="114"/>
      <c r="I72" s="114"/>
      <c r="J72" s="114">
        <v>0</v>
      </c>
    </row>
    <row r="73" spans="1:10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  <c r="J73" s="114">
        <v>0</v>
      </c>
    </row>
    <row r="74" spans="1:10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J74" si="25">SUM(D75:D78)</f>
        <v>0</v>
      </c>
      <c r="E74" s="110">
        <f t="shared" si="25"/>
        <v>0</v>
      </c>
      <c r="F74" s="110">
        <f t="shared" si="25"/>
        <v>0</v>
      </c>
      <c r="G74" s="110">
        <f t="shared" si="25"/>
        <v>0</v>
      </c>
      <c r="H74" s="110">
        <f t="shared" si="25"/>
        <v>0</v>
      </c>
      <c r="I74" s="110">
        <f t="shared" ref="I74" si="26">SUM(I75:I78)</f>
        <v>0</v>
      </c>
      <c r="J74" s="110">
        <v>0</v>
      </c>
    </row>
    <row r="75" spans="1:10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  <c r="J75" s="114">
        <v>0</v>
      </c>
    </row>
    <row r="76" spans="1:10" s="179" customFormat="1" ht="12.2" customHeight="1" x14ac:dyDescent="0.2">
      <c r="A76" s="11" t="s">
        <v>113</v>
      </c>
      <c r="B76" s="181" t="s">
        <v>725</v>
      </c>
      <c r="C76" s="277">
        <f t="shared" ref="C76:C94" si="27">SUM(D76:J76)</f>
        <v>0</v>
      </c>
      <c r="D76" s="246"/>
      <c r="E76" s="114"/>
      <c r="F76" s="114"/>
      <c r="G76" s="114"/>
      <c r="H76" s="114"/>
      <c r="I76" s="114"/>
      <c r="J76" s="114">
        <v>0</v>
      </c>
    </row>
    <row r="77" spans="1:10" s="179" customFormat="1" ht="12.2" customHeight="1" x14ac:dyDescent="0.2">
      <c r="A77" s="11" t="s">
        <v>271</v>
      </c>
      <c r="B77" s="181" t="s">
        <v>247</v>
      </c>
      <c r="C77" s="277">
        <f t="shared" si="27"/>
        <v>0</v>
      </c>
      <c r="D77" s="246"/>
      <c r="E77" s="114"/>
      <c r="F77" s="114"/>
      <c r="G77" s="114"/>
      <c r="H77" s="114"/>
      <c r="I77" s="114"/>
      <c r="J77" s="114">
        <v>0</v>
      </c>
    </row>
    <row r="78" spans="1:10" s="179" customFormat="1" ht="12.2" customHeight="1" thickBot="1" x14ac:dyDescent="0.25">
      <c r="A78" s="13" t="s">
        <v>272</v>
      </c>
      <c r="B78" s="107" t="s">
        <v>726</v>
      </c>
      <c r="C78" s="278">
        <f t="shared" si="27"/>
        <v>0</v>
      </c>
      <c r="D78" s="246"/>
      <c r="E78" s="114"/>
      <c r="F78" s="114"/>
      <c r="G78" s="114"/>
      <c r="H78" s="114"/>
      <c r="I78" s="114"/>
      <c r="J78" s="114">
        <v>0</v>
      </c>
    </row>
    <row r="79" spans="1:10" s="179" customFormat="1" ht="12.2" customHeight="1" thickBot="1" x14ac:dyDescent="0.25">
      <c r="A79" s="234" t="s">
        <v>249</v>
      </c>
      <c r="B79" s="105" t="s">
        <v>250</v>
      </c>
      <c r="C79" s="110">
        <f t="shared" si="27"/>
        <v>58816956</v>
      </c>
      <c r="D79" s="255">
        <f t="shared" ref="D79:J79" si="28">SUM(D80:D81)</f>
        <v>0</v>
      </c>
      <c r="E79" s="110">
        <f t="shared" si="28"/>
        <v>0</v>
      </c>
      <c r="F79" s="110">
        <f t="shared" si="28"/>
        <v>0</v>
      </c>
      <c r="G79" s="110">
        <f t="shared" si="28"/>
        <v>0</v>
      </c>
      <c r="H79" s="110">
        <f t="shared" si="28"/>
        <v>0</v>
      </c>
      <c r="I79" s="110">
        <f t="shared" ref="I79" si="29">SUM(I80:I81)</f>
        <v>58816956</v>
      </c>
      <c r="J79" s="110">
        <v>0</v>
      </c>
    </row>
    <row r="80" spans="1:10" s="179" customFormat="1" ht="12.2" customHeight="1" x14ac:dyDescent="0.2">
      <c r="A80" s="12" t="s">
        <v>273</v>
      </c>
      <c r="B80" s="180" t="s">
        <v>251</v>
      </c>
      <c r="C80" s="176">
        <f t="shared" si="27"/>
        <v>58816956</v>
      </c>
      <c r="D80" s="246"/>
      <c r="E80" s="114"/>
      <c r="F80" s="114"/>
      <c r="G80" s="114"/>
      <c r="H80" s="114"/>
      <c r="I80" s="114">
        <v>58816956</v>
      </c>
      <c r="J80" s="114">
        <v>0</v>
      </c>
    </row>
    <row r="81" spans="1:10" s="179" customFormat="1" ht="12.2" customHeight="1" thickBot="1" x14ac:dyDescent="0.25">
      <c r="A81" s="13" t="s">
        <v>274</v>
      </c>
      <c r="B81" s="107" t="s">
        <v>252</v>
      </c>
      <c r="C81" s="278">
        <f t="shared" si="27"/>
        <v>0</v>
      </c>
      <c r="D81" s="246"/>
      <c r="E81" s="114"/>
      <c r="F81" s="114"/>
      <c r="G81" s="114"/>
      <c r="H81" s="114"/>
      <c r="I81" s="114"/>
      <c r="J81" s="114">
        <v>0</v>
      </c>
    </row>
    <row r="82" spans="1:10" s="179" customFormat="1" ht="12.2" customHeight="1" thickBot="1" x14ac:dyDescent="0.25">
      <c r="A82" s="234" t="s">
        <v>253</v>
      </c>
      <c r="B82" s="105" t="s">
        <v>254</v>
      </c>
      <c r="C82" s="110">
        <f t="shared" si="27"/>
        <v>0</v>
      </c>
      <c r="D82" s="255">
        <f t="shared" ref="D82:J82" si="30">SUM(D83:D85)</f>
        <v>0</v>
      </c>
      <c r="E82" s="110">
        <f t="shared" si="30"/>
        <v>0</v>
      </c>
      <c r="F82" s="110">
        <f t="shared" si="30"/>
        <v>0</v>
      </c>
      <c r="G82" s="110">
        <f t="shared" si="30"/>
        <v>0</v>
      </c>
      <c r="H82" s="110">
        <f t="shared" si="30"/>
        <v>0</v>
      </c>
      <c r="I82" s="110">
        <f t="shared" ref="I82" si="31">SUM(I83:I85)</f>
        <v>0</v>
      </c>
      <c r="J82" s="110">
        <v>0</v>
      </c>
    </row>
    <row r="83" spans="1:10" s="179" customFormat="1" ht="12.2" customHeight="1" x14ac:dyDescent="0.2">
      <c r="A83" s="12" t="s">
        <v>275</v>
      </c>
      <c r="B83" s="180" t="s">
        <v>255</v>
      </c>
      <c r="C83" s="176">
        <f t="shared" si="27"/>
        <v>0</v>
      </c>
      <c r="D83" s="246"/>
      <c r="E83" s="114"/>
      <c r="F83" s="114"/>
      <c r="G83" s="114"/>
      <c r="H83" s="114"/>
      <c r="I83" s="114"/>
      <c r="J83" s="114">
        <v>0</v>
      </c>
    </row>
    <row r="84" spans="1:10" s="179" customFormat="1" ht="12.2" customHeight="1" x14ac:dyDescent="0.2">
      <c r="A84" s="11" t="s">
        <v>276</v>
      </c>
      <c r="B84" s="181" t="s">
        <v>256</v>
      </c>
      <c r="C84" s="277">
        <f t="shared" si="27"/>
        <v>0</v>
      </c>
      <c r="D84" s="246"/>
      <c r="E84" s="114"/>
      <c r="F84" s="114"/>
      <c r="G84" s="114"/>
      <c r="H84" s="114"/>
      <c r="I84" s="114"/>
      <c r="J84" s="114">
        <v>0</v>
      </c>
    </row>
    <row r="85" spans="1:10" s="179" customFormat="1" ht="12.2" customHeight="1" thickBot="1" x14ac:dyDescent="0.25">
      <c r="A85" s="13" t="s">
        <v>277</v>
      </c>
      <c r="B85" s="107" t="s">
        <v>727</v>
      </c>
      <c r="C85" s="278">
        <f t="shared" si="27"/>
        <v>0</v>
      </c>
      <c r="D85" s="246"/>
      <c r="E85" s="114"/>
      <c r="F85" s="114"/>
      <c r="G85" s="114"/>
      <c r="H85" s="114"/>
      <c r="I85" s="114"/>
      <c r="J85" s="114">
        <v>0</v>
      </c>
    </row>
    <row r="86" spans="1:10" s="179" customFormat="1" ht="12.2" customHeight="1" thickBot="1" x14ac:dyDescent="0.25">
      <c r="A86" s="234" t="s">
        <v>258</v>
      </c>
      <c r="B86" s="105" t="s">
        <v>278</v>
      </c>
      <c r="C86" s="110">
        <f t="shared" si="27"/>
        <v>0</v>
      </c>
      <c r="D86" s="255">
        <f t="shared" ref="D86:J86" si="32">SUM(D87:D90)</f>
        <v>0</v>
      </c>
      <c r="E86" s="110">
        <f t="shared" si="32"/>
        <v>0</v>
      </c>
      <c r="F86" s="110">
        <f t="shared" si="32"/>
        <v>0</v>
      </c>
      <c r="G86" s="110">
        <f t="shared" si="32"/>
        <v>0</v>
      </c>
      <c r="H86" s="110">
        <f t="shared" si="32"/>
        <v>0</v>
      </c>
      <c r="I86" s="110">
        <f t="shared" ref="I86" si="33">SUM(I87:I90)</f>
        <v>0</v>
      </c>
      <c r="J86" s="110">
        <v>0</v>
      </c>
    </row>
    <row r="87" spans="1:10" s="179" customFormat="1" ht="12.2" customHeight="1" x14ac:dyDescent="0.2">
      <c r="A87" s="184" t="s">
        <v>259</v>
      </c>
      <c r="B87" s="180" t="s">
        <v>260</v>
      </c>
      <c r="C87" s="176">
        <f t="shared" si="27"/>
        <v>0</v>
      </c>
      <c r="D87" s="246"/>
      <c r="E87" s="114"/>
      <c r="F87" s="114"/>
      <c r="G87" s="114"/>
      <c r="H87" s="114"/>
      <c r="I87" s="114"/>
      <c r="J87" s="114">
        <v>0</v>
      </c>
    </row>
    <row r="88" spans="1:10" s="179" customFormat="1" ht="12.2" customHeight="1" x14ac:dyDescent="0.2">
      <c r="A88" s="185" t="s">
        <v>261</v>
      </c>
      <c r="B88" s="181" t="s">
        <v>262</v>
      </c>
      <c r="C88" s="277">
        <f t="shared" si="27"/>
        <v>0</v>
      </c>
      <c r="D88" s="246"/>
      <c r="E88" s="114"/>
      <c r="F88" s="114"/>
      <c r="G88" s="114"/>
      <c r="H88" s="114"/>
      <c r="I88" s="114"/>
      <c r="J88" s="114">
        <v>0</v>
      </c>
    </row>
    <row r="89" spans="1:10" s="179" customFormat="1" ht="12.2" customHeight="1" x14ac:dyDescent="0.2">
      <c r="A89" s="185" t="s">
        <v>263</v>
      </c>
      <c r="B89" s="181" t="s">
        <v>264</v>
      </c>
      <c r="C89" s="277">
        <f t="shared" si="27"/>
        <v>0</v>
      </c>
      <c r="D89" s="246"/>
      <c r="E89" s="114"/>
      <c r="F89" s="114"/>
      <c r="G89" s="114"/>
      <c r="H89" s="114"/>
      <c r="I89" s="114"/>
      <c r="J89" s="114">
        <v>0</v>
      </c>
    </row>
    <row r="90" spans="1:10" s="179" customFormat="1" ht="12.2" customHeight="1" thickBot="1" x14ac:dyDescent="0.25">
      <c r="A90" s="186" t="s">
        <v>265</v>
      </c>
      <c r="B90" s="107" t="s">
        <v>266</v>
      </c>
      <c r="C90" s="278">
        <f t="shared" si="27"/>
        <v>0</v>
      </c>
      <c r="D90" s="246"/>
      <c r="E90" s="114"/>
      <c r="F90" s="114"/>
      <c r="G90" s="114"/>
      <c r="H90" s="114"/>
      <c r="I90" s="114"/>
      <c r="J90" s="114">
        <v>0</v>
      </c>
    </row>
    <row r="91" spans="1:10" s="179" customFormat="1" ht="12.2" customHeight="1" thickBot="1" x14ac:dyDescent="0.25">
      <c r="A91" s="234" t="s">
        <v>267</v>
      </c>
      <c r="B91" s="105" t="s">
        <v>392</v>
      </c>
      <c r="C91" s="110">
        <f t="shared" si="27"/>
        <v>0</v>
      </c>
      <c r="D91" s="258"/>
      <c r="E91" s="215"/>
      <c r="F91" s="215"/>
      <c r="G91" s="215"/>
      <c r="H91" s="215"/>
      <c r="I91" s="215"/>
      <c r="J91" s="215">
        <v>0</v>
      </c>
    </row>
    <row r="92" spans="1:10" s="179" customFormat="1" ht="13.7" customHeight="1" thickBot="1" x14ac:dyDescent="0.25">
      <c r="A92" s="234" t="s">
        <v>269</v>
      </c>
      <c r="B92" s="105" t="s">
        <v>268</v>
      </c>
      <c r="C92" s="110">
        <f t="shared" si="27"/>
        <v>0</v>
      </c>
      <c r="D92" s="258"/>
      <c r="E92" s="215"/>
      <c r="F92" s="215"/>
      <c r="G92" s="215"/>
      <c r="H92" s="215"/>
      <c r="I92" s="215"/>
      <c r="J92" s="215">
        <v>0</v>
      </c>
    </row>
    <row r="93" spans="1:10" s="179" customFormat="1" ht="15.75" customHeight="1" thickBot="1" x14ac:dyDescent="0.25">
      <c r="A93" s="234" t="s">
        <v>281</v>
      </c>
      <c r="B93" s="187" t="s">
        <v>393</v>
      </c>
      <c r="C93" s="110">
        <f t="shared" si="27"/>
        <v>58816956</v>
      </c>
      <c r="D93" s="257">
        <f t="shared" ref="D93:J93" si="34">+D70+D74+D79+D82+D86+D92+D91</f>
        <v>0</v>
      </c>
      <c r="E93" s="115">
        <f t="shared" si="34"/>
        <v>0</v>
      </c>
      <c r="F93" s="115">
        <f t="shared" si="34"/>
        <v>0</v>
      </c>
      <c r="G93" s="115">
        <f t="shared" si="34"/>
        <v>0</v>
      </c>
      <c r="H93" s="115">
        <f t="shared" si="34"/>
        <v>0</v>
      </c>
      <c r="I93" s="115">
        <f t="shared" ref="I93" si="35">+I70+I74+I79+I82+I86+I92+I91</f>
        <v>58816956</v>
      </c>
      <c r="J93" s="115">
        <v>0</v>
      </c>
    </row>
    <row r="94" spans="1:10" s="179" customFormat="1" ht="16.5" customHeight="1" thickBot="1" x14ac:dyDescent="0.25">
      <c r="A94" s="236" t="s">
        <v>394</v>
      </c>
      <c r="B94" s="188" t="s">
        <v>395</v>
      </c>
      <c r="C94" s="110">
        <f t="shared" si="27"/>
        <v>1009775024</v>
      </c>
      <c r="D94" s="257">
        <f t="shared" ref="D94:J94" si="36">+D69+D93</f>
        <v>412208534</v>
      </c>
      <c r="E94" s="115">
        <f t="shared" si="36"/>
        <v>0</v>
      </c>
      <c r="F94" s="115">
        <f t="shared" si="36"/>
        <v>0</v>
      </c>
      <c r="G94" s="115">
        <f t="shared" si="36"/>
        <v>1400000</v>
      </c>
      <c r="H94" s="115">
        <f t="shared" si="36"/>
        <v>0</v>
      </c>
      <c r="I94" s="115">
        <f t="shared" ref="I94" si="37">+I69+I93</f>
        <v>532148685</v>
      </c>
      <c r="J94" s="115">
        <v>64017805</v>
      </c>
    </row>
    <row r="95" spans="1:10" ht="16.5" customHeight="1" x14ac:dyDescent="0.25">
      <c r="A95" s="1229" t="s">
        <v>44</v>
      </c>
      <c r="B95" s="1229"/>
      <c r="C95" s="1229"/>
      <c r="D95" s="281"/>
    </row>
    <row r="96" spans="1:10" ht="16.5" customHeight="1" thickBot="1" x14ac:dyDescent="0.3">
      <c r="A96" s="1230" t="s">
        <v>115</v>
      </c>
      <c r="B96" s="1230"/>
      <c r="C96" s="56" t="s">
        <v>483</v>
      </c>
    </row>
    <row r="97" spans="1:10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67" t="str">
        <f t="shared" ref="D97:J97" si="38">D9</f>
        <v>Önk</v>
      </c>
      <c r="E97" s="167" t="str">
        <f t="shared" si="38"/>
        <v>PH</v>
      </c>
      <c r="F97" s="167" t="str">
        <f t="shared" si="38"/>
        <v>Óvoda</v>
      </c>
      <c r="G97" s="167" t="str">
        <f t="shared" si="38"/>
        <v>EKIK</v>
      </c>
      <c r="H97" s="167" t="str">
        <f t="shared" si="38"/>
        <v>Bölcsőde</v>
      </c>
      <c r="I97" s="167" t="str">
        <f t="shared" ref="I97" si="39">I9</f>
        <v>Kornisné</v>
      </c>
      <c r="J97" s="167" t="str">
        <f t="shared" si="38"/>
        <v>módosíítás 2023. április</v>
      </c>
    </row>
    <row r="98" spans="1:10" s="178" customFormat="1" ht="12.2" customHeight="1" thickBot="1" x14ac:dyDescent="0.25">
      <c r="A98" s="25" t="s">
        <v>382</v>
      </c>
      <c r="B98" s="26" t="s">
        <v>383</v>
      </c>
      <c r="C98" s="27" t="s">
        <v>384</v>
      </c>
    </row>
    <row r="99" spans="1:10" ht="12.2" customHeight="1" thickBot="1" x14ac:dyDescent="0.3">
      <c r="A99" s="19" t="s">
        <v>16</v>
      </c>
      <c r="B99" s="23" t="s">
        <v>433</v>
      </c>
      <c r="C99" s="110">
        <f t="shared" ref="C99:C160" si="40">SUM(D99:J99)</f>
        <v>1247128387</v>
      </c>
      <c r="D99" s="261">
        <f>+D100+D101+D102+D103+D104+D117</f>
        <v>115250938</v>
      </c>
      <c r="E99" s="109">
        <f>+E100+E101+E102+E103+E104+E117</f>
        <v>108914</v>
      </c>
      <c r="F99" s="265">
        <f>F100+F101+F102+F103+F104+F117</f>
        <v>0</v>
      </c>
      <c r="G99" s="265">
        <f>G100+G101+G102+G103+G104+G117</f>
        <v>1400000</v>
      </c>
      <c r="H99" s="265">
        <f>H100+H101+H102+H103+H104+H117</f>
        <v>0</v>
      </c>
      <c r="I99" s="265">
        <f>I100+I101+I102+I103+I104+I117</f>
        <v>1107241080</v>
      </c>
      <c r="J99" s="265">
        <v>23127455</v>
      </c>
    </row>
    <row r="100" spans="1:10" ht="12.2" customHeight="1" x14ac:dyDescent="0.25">
      <c r="A100" s="14" t="s">
        <v>85</v>
      </c>
      <c r="B100" s="7" t="s">
        <v>46</v>
      </c>
      <c r="C100" s="273">
        <f t="shared" si="40"/>
        <v>622303383</v>
      </c>
      <c r="D100" s="656">
        <v>9975036</v>
      </c>
      <c r="E100" s="251"/>
      <c r="F100" s="251"/>
      <c r="G100" s="251"/>
      <c r="H100" s="251"/>
      <c r="I100" s="251">
        <v>591463347</v>
      </c>
      <c r="J100" s="251">
        <v>20865000</v>
      </c>
    </row>
    <row r="101" spans="1:10" ht="12.2" customHeight="1" x14ac:dyDescent="0.25">
      <c r="A101" s="11" t="s">
        <v>86</v>
      </c>
      <c r="B101" s="5" t="s">
        <v>134</v>
      </c>
      <c r="C101" s="274">
        <f t="shared" si="40"/>
        <v>86445809</v>
      </c>
      <c r="D101" s="246">
        <v>2675510</v>
      </c>
      <c r="E101" s="114">
        <v>7314</v>
      </c>
      <c r="F101" s="114"/>
      <c r="G101" s="114"/>
      <c r="H101" s="114"/>
      <c r="I101" s="114">
        <v>81321780</v>
      </c>
      <c r="J101" s="114">
        <v>2441205</v>
      </c>
    </row>
    <row r="102" spans="1:10" ht="12.2" customHeight="1" x14ac:dyDescent="0.25">
      <c r="A102" s="11" t="s">
        <v>87</v>
      </c>
      <c r="B102" s="5" t="s">
        <v>110</v>
      </c>
      <c r="C102" s="274">
        <f t="shared" si="40"/>
        <v>512387157</v>
      </c>
      <c r="D102" s="249">
        <v>81203004</v>
      </c>
      <c r="E102" s="170">
        <v>101600</v>
      </c>
      <c r="F102" s="114"/>
      <c r="G102" s="114">
        <v>1400000</v>
      </c>
      <c r="H102" s="114"/>
      <c r="I102" s="114">
        <v>434455953</v>
      </c>
      <c r="J102" s="114">
        <v>-4773400</v>
      </c>
    </row>
    <row r="103" spans="1:10" ht="12.2" customHeight="1" x14ac:dyDescent="0.25">
      <c r="A103" s="11" t="s">
        <v>88</v>
      </c>
      <c r="B103" s="5" t="s">
        <v>135</v>
      </c>
      <c r="C103" s="274">
        <f t="shared" si="40"/>
        <v>0</v>
      </c>
      <c r="D103" s="249"/>
      <c r="E103" s="170"/>
      <c r="F103" s="170"/>
      <c r="G103" s="170"/>
      <c r="H103" s="170"/>
      <c r="I103" s="170"/>
      <c r="J103" s="170">
        <v>0</v>
      </c>
    </row>
    <row r="104" spans="1:10" ht="12.2" customHeight="1" x14ac:dyDescent="0.25">
      <c r="A104" s="11" t="s">
        <v>99</v>
      </c>
      <c r="B104" s="4" t="s">
        <v>136</v>
      </c>
      <c r="C104" s="274">
        <f t="shared" si="40"/>
        <v>25997388</v>
      </c>
      <c r="D104" s="249">
        <f>SUM(D105:D116)</f>
        <v>21397388</v>
      </c>
      <c r="E104" s="249">
        <f>SUM(E105:E116)</f>
        <v>0</v>
      </c>
      <c r="F104" s="249">
        <f>SUM(F105:F116)</f>
        <v>0</v>
      </c>
      <c r="G104" s="249">
        <f>SUM(G105:G116)</f>
        <v>0</v>
      </c>
      <c r="H104" s="249">
        <f>SUM(H105:H116)</f>
        <v>0</v>
      </c>
      <c r="I104" s="249"/>
      <c r="J104" s="249">
        <v>4600000</v>
      </c>
    </row>
    <row r="105" spans="1:10" ht="12.2" customHeight="1" x14ac:dyDescent="0.25">
      <c r="A105" s="11" t="s">
        <v>89</v>
      </c>
      <c r="B105" s="5" t="s">
        <v>396</v>
      </c>
      <c r="C105" s="274">
        <f t="shared" si="40"/>
        <v>0</v>
      </c>
      <c r="D105" s="249"/>
      <c r="E105" s="170"/>
      <c r="F105" s="170"/>
      <c r="G105" s="170"/>
      <c r="H105" s="170"/>
      <c r="I105" s="170"/>
      <c r="J105" s="170">
        <v>0</v>
      </c>
    </row>
    <row r="106" spans="1:10" ht="12.2" customHeight="1" x14ac:dyDescent="0.25">
      <c r="A106" s="11" t="s">
        <v>90</v>
      </c>
      <c r="B106" s="60" t="s">
        <v>397</v>
      </c>
      <c r="C106" s="274">
        <f t="shared" si="40"/>
        <v>0</v>
      </c>
      <c r="D106" s="249"/>
      <c r="E106" s="170"/>
      <c r="F106" s="170"/>
      <c r="G106" s="170"/>
      <c r="H106" s="170"/>
      <c r="I106" s="170"/>
      <c r="J106" s="170">
        <v>0</v>
      </c>
    </row>
    <row r="107" spans="1:10" ht="12.2" customHeight="1" x14ac:dyDescent="0.25">
      <c r="A107" s="11" t="s">
        <v>100</v>
      </c>
      <c r="B107" s="60" t="s">
        <v>398</v>
      </c>
      <c r="C107" s="277">
        <f t="shared" si="40"/>
        <v>0</v>
      </c>
      <c r="D107" s="249"/>
      <c r="E107" s="170"/>
      <c r="F107" s="170"/>
      <c r="G107" s="170"/>
      <c r="H107" s="170"/>
      <c r="I107" s="170"/>
      <c r="J107" s="170">
        <v>0</v>
      </c>
    </row>
    <row r="108" spans="1:10" ht="12.2" customHeight="1" x14ac:dyDescent="0.25">
      <c r="A108" s="11" t="s">
        <v>101</v>
      </c>
      <c r="B108" s="58" t="s">
        <v>284</v>
      </c>
      <c r="C108" s="277">
        <f t="shared" si="40"/>
        <v>0</v>
      </c>
      <c r="D108" s="249"/>
      <c r="E108" s="170"/>
      <c r="F108" s="170"/>
      <c r="G108" s="170"/>
      <c r="H108" s="170"/>
      <c r="I108" s="170"/>
      <c r="J108" s="170">
        <v>0</v>
      </c>
    </row>
    <row r="109" spans="1:10" ht="12.2" customHeight="1" x14ac:dyDescent="0.25">
      <c r="A109" s="11" t="s">
        <v>102</v>
      </c>
      <c r="B109" s="59" t="s">
        <v>285</v>
      </c>
      <c r="C109" s="277">
        <f t="shared" si="40"/>
        <v>0</v>
      </c>
      <c r="D109" s="249"/>
      <c r="E109" s="170"/>
      <c r="F109" s="170"/>
      <c r="G109" s="170"/>
      <c r="H109" s="170"/>
      <c r="I109" s="170"/>
      <c r="J109" s="170">
        <v>0</v>
      </c>
    </row>
    <row r="110" spans="1:10" ht="12.2" customHeight="1" x14ac:dyDescent="0.25">
      <c r="A110" s="11" t="s">
        <v>103</v>
      </c>
      <c r="B110" s="59" t="s">
        <v>286</v>
      </c>
      <c r="C110" s="277">
        <f t="shared" si="40"/>
        <v>0</v>
      </c>
      <c r="D110" s="249"/>
      <c r="E110" s="170"/>
      <c r="F110" s="170"/>
      <c r="G110" s="170"/>
      <c r="H110" s="170"/>
      <c r="I110" s="170"/>
      <c r="J110" s="170">
        <v>0</v>
      </c>
    </row>
    <row r="111" spans="1:10" ht="12.2" customHeight="1" x14ac:dyDescent="0.25">
      <c r="A111" s="11" t="s">
        <v>105</v>
      </c>
      <c r="B111" s="58" t="s">
        <v>287</v>
      </c>
      <c r="C111" s="274">
        <f t="shared" si="40"/>
        <v>0</v>
      </c>
      <c r="D111" s="249"/>
      <c r="E111" s="170"/>
      <c r="F111" s="170"/>
      <c r="G111" s="170"/>
      <c r="H111" s="170"/>
      <c r="I111" s="170"/>
      <c r="J111" s="170">
        <v>0</v>
      </c>
    </row>
    <row r="112" spans="1:10" ht="12.2" customHeight="1" x14ac:dyDescent="0.25">
      <c r="A112" s="11" t="s">
        <v>137</v>
      </c>
      <c r="B112" s="58" t="s">
        <v>288</v>
      </c>
      <c r="C112" s="277">
        <f t="shared" si="40"/>
        <v>0</v>
      </c>
      <c r="D112" s="249"/>
      <c r="E112" s="170"/>
      <c r="F112" s="170"/>
      <c r="G112" s="170"/>
      <c r="H112" s="170"/>
      <c r="I112" s="170"/>
      <c r="J112" s="170">
        <v>0</v>
      </c>
    </row>
    <row r="113" spans="1:10" ht="12.2" customHeight="1" x14ac:dyDescent="0.25">
      <c r="A113" s="11" t="s">
        <v>282</v>
      </c>
      <c r="B113" s="59" t="s">
        <v>289</v>
      </c>
      <c r="C113" s="277">
        <f t="shared" si="40"/>
        <v>0</v>
      </c>
      <c r="D113" s="249"/>
      <c r="E113" s="170"/>
      <c r="F113" s="170"/>
      <c r="G113" s="170"/>
      <c r="H113" s="170"/>
      <c r="I113" s="170"/>
      <c r="J113" s="170">
        <v>0</v>
      </c>
    </row>
    <row r="114" spans="1:10" ht="12.2" customHeight="1" x14ac:dyDescent="0.25">
      <c r="A114" s="10" t="s">
        <v>283</v>
      </c>
      <c r="B114" s="60" t="s">
        <v>290</v>
      </c>
      <c r="C114" s="277">
        <f t="shared" si="40"/>
        <v>0</v>
      </c>
      <c r="D114" s="249"/>
      <c r="E114" s="170"/>
      <c r="F114" s="170"/>
      <c r="G114" s="170"/>
      <c r="H114" s="170"/>
      <c r="I114" s="170"/>
      <c r="J114" s="170">
        <v>0</v>
      </c>
    </row>
    <row r="115" spans="1:10" ht="12.2" customHeight="1" x14ac:dyDescent="0.25">
      <c r="A115" s="11" t="s">
        <v>399</v>
      </c>
      <c r="B115" s="60" t="s">
        <v>291</v>
      </c>
      <c r="C115" s="277">
        <f t="shared" si="40"/>
        <v>0</v>
      </c>
      <c r="D115" s="249"/>
      <c r="E115" s="170"/>
      <c r="F115" s="170"/>
      <c r="G115" s="170"/>
      <c r="H115" s="170"/>
      <c r="I115" s="170"/>
      <c r="J115" s="170">
        <v>0</v>
      </c>
    </row>
    <row r="116" spans="1:10" ht="12.2" customHeight="1" x14ac:dyDescent="0.25">
      <c r="A116" s="13" t="s">
        <v>400</v>
      </c>
      <c r="B116" s="60" t="s">
        <v>292</v>
      </c>
      <c r="C116" s="274">
        <f t="shared" si="40"/>
        <v>25997388</v>
      </c>
      <c r="D116" s="246">
        <v>21397388</v>
      </c>
      <c r="E116" s="114"/>
      <c r="F116" s="170"/>
      <c r="G116" s="170"/>
      <c r="H116" s="170"/>
      <c r="I116" s="170"/>
      <c r="J116" s="170">
        <v>4600000</v>
      </c>
    </row>
    <row r="117" spans="1:10" ht="12.2" customHeight="1" x14ac:dyDescent="0.25">
      <c r="A117" s="11" t="s">
        <v>401</v>
      </c>
      <c r="B117" s="5" t="s">
        <v>47</v>
      </c>
      <c r="C117" s="277">
        <f t="shared" si="40"/>
        <v>0</v>
      </c>
      <c r="D117" s="246">
        <f t="shared" ref="D117:J117" si="41">SUM(D118:D119)</f>
        <v>0</v>
      </c>
      <c r="E117" s="246">
        <f t="shared" si="41"/>
        <v>0</v>
      </c>
      <c r="F117" s="246">
        <f t="shared" si="41"/>
        <v>0</v>
      </c>
      <c r="G117" s="246">
        <f t="shared" si="41"/>
        <v>0</v>
      </c>
      <c r="H117" s="246">
        <f t="shared" si="41"/>
        <v>0</v>
      </c>
      <c r="I117" s="246">
        <f t="shared" ref="I117" si="42">SUM(I118:I119)</f>
        <v>0</v>
      </c>
      <c r="J117" s="246"/>
    </row>
    <row r="118" spans="1:10" ht="12.2" customHeight="1" x14ac:dyDescent="0.25">
      <c r="A118" s="11" t="s">
        <v>402</v>
      </c>
      <c r="B118" s="5" t="s">
        <v>403</v>
      </c>
      <c r="C118" s="277">
        <f t="shared" si="40"/>
        <v>0</v>
      </c>
      <c r="D118" s="249"/>
      <c r="E118" s="170"/>
      <c r="F118" s="114"/>
      <c r="G118" s="114"/>
      <c r="H118" s="114"/>
      <c r="I118" s="114"/>
      <c r="J118" s="114"/>
    </row>
    <row r="119" spans="1:10" ht="12.2" customHeight="1" thickBot="1" x14ac:dyDescent="0.3">
      <c r="A119" s="15" t="s">
        <v>404</v>
      </c>
      <c r="B119" s="237" t="s">
        <v>405</v>
      </c>
      <c r="C119" s="277">
        <f t="shared" si="40"/>
        <v>0</v>
      </c>
      <c r="D119" s="270"/>
      <c r="E119" s="254"/>
      <c r="F119" s="254"/>
      <c r="G119" s="254"/>
      <c r="H119" s="254"/>
      <c r="I119" s="254"/>
      <c r="J119" s="254">
        <v>0</v>
      </c>
    </row>
    <row r="120" spans="1:10" ht="12.2" customHeight="1" thickBot="1" x14ac:dyDescent="0.3">
      <c r="A120" s="238" t="s">
        <v>17</v>
      </c>
      <c r="B120" s="239" t="s">
        <v>293</v>
      </c>
      <c r="C120" s="110">
        <f t="shared" si="40"/>
        <v>140657488</v>
      </c>
      <c r="D120" s="255">
        <f t="shared" ref="D120:J120" si="43">+D121+D123+D125</f>
        <v>95625287</v>
      </c>
      <c r="E120" s="110">
        <f t="shared" si="43"/>
        <v>0</v>
      </c>
      <c r="F120" s="240">
        <f t="shared" si="43"/>
        <v>0</v>
      </c>
      <c r="G120" s="240">
        <f t="shared" si="43"/>
        <v>0</v>
      </c>
      <c r="H120" s="240">
        <f t="shared" si="43"/>
        <v>0</v>
      </c>
      <c r="I120" s="240">
        <f t="shared" ref="I120" si="44">+I121+I123+I125</f>
        <v>41226851</v>
      </c>
      <c r="J120" s="240">
        <v>3805350</v>
      </c>
    </row>
    <row r="121" spans="1:10" ht="12.2" customHeight="1" x14ac:dyDescent="0.25">
      <c r="A121" s="12" t="s">
        <v>91</v>
      </c>
      <c r="B121" s="5" t="s">
        <v>157</v>
      </c>
      <c r="C121" s="273">
        <f t="shared" si="40"/>
        <v>108627628</v>
      </c>
      <c r="D121" s="655">
        <v>66200777</v>
      </c>
      <c r="E121" s="214"/>
      <c r="F121" s="214"/>
      <c r="G121" s="214"/>
      <c r="H121" s="214"/>
      <c r="I121" s="214">
        <v>41226851</v>
      </c>
      <c r="J121" s="214">
        <v>1200000</v>
      </c>
    </row>
    <row r="122" spans="1:10" ht="12.2" customHeight="1" x14ac:dyDescent="0.25">
      <c r="A122" s="12" t="s">
        <v>92</v>
      </c>
      <c r="B122" s="9" t="s">
        <v>297</v>
      </c>
      <c r="C122" s="274">
        <f t="shared" si="40"/>
        <v>1200000</v>
      </c>
      <c r="D122" s="1086"/>
      <c r="E122" s="214"/>
      <c r="F122" s="214"/>
      <c r="G122" s="214"/>
      <c r="H122" s="214"/>
      <c r="I122" s="214"/>
      <c r="J122" s="214">
        <v>1200000</v>
      </c>
    </row>
    <row r="123" spans="1:10" ht="12.2" customHeight="1" x14ac:dyDescent="0.25">
      <c r="A123" s="12" t="s">
        <v>93</v>
      </c>
      <c r="B123" s="9" t="s">
        <v>138</v>
      </c>
      <c r="C123" s="274">
        <f t="shared" si="40"/>
        <v>29424510</v>
      </c>
      <c r="D123" s="246">
        <v>29424510</v>
      </c>
      <c r="E123" s="114"/>
      <c r="F123" s="114"/>
      <c r="G123" s="114"/>
      <c r="H123" s="114"/>
      <c r="I123" s="114"/>
      <c r="J123" s="114">
        <v>0</v>
      </c>
    </row>
    <row r="124" spans="1:10" ht="12.2" customHeight="1" x14ac:dyDescent="0.25">
      <c r="A124" s="12" t="s">
        <v>94</v>
      </c>
      <c r="B124" s="9" t="s">
        <v>298</v>
      </c>
      <c r="C124" s="274">
        <f t="shared" si="40"/>
        <v>0</v>
      </c>
      <c r="D124" s="246"/>
      <c r="E124" s="471"/>
      <c r="F124" s="246"/>
      <c r="G124" s="246"/>
      <c r="H124" s="246"/>
      <c r="I124" s="246"/>
      <c r="J124" s="246">
        <v>0</v>
      </c>
    </row>
    <row r="125" spans="1:10" ht="12.2" customHeight="1" x14ac:dyDescent="0.25">
      <c r="A125" s="12" t="s">
        <v>95</v>
      </c>
      <c r="B125" s="107" t="s">
        <v>159</v>
      </c>
      <c r="C125" s="246">
        <f>SUM(C126:C133)</f>
        <v>2605350</v>
      </c>
      <c r="D125" s="246">
        <f t="shared" ref="D125:J125" si="45">SUM(D126:D133)</f>
        <v>0</v>
      </c>
      <c r="E125" s="246">
        <f t="shared" si="45"/>
        <v>0</v>
      </c>
      <c r="F125" s="246">
        <f t="shared" si="45"/>
        <v>0</v>
      </c>
      <c r="G125" s="246">
        <f t="shared" si="45"/>
        <v>0</v>
      </c>
      <c r="H125" s="246">
        <f t="shared" si="45"/>
        <v>0</v>
      </c>
      <c r="I125" s="246">
        <f t="shared" ref="I125" si="46">SUM(I126:I133)</f>
        <v>0</v>
      </c>
      <c r="J125" s="246">
        <v>2605350</v>
      </c>
    </row>
    <row r="126" spans="1:10" ht="12.2" customHeight="1" x14ac:dyDescent="0.25">
      <c r="A126" s="12" t="s">
        <v>104</v>
      </c>
      <c r="B126" s="106" t="s">
        <v>358</v>
      </c>
      <c r="C126" s="277">
        <f t="shared" si="40"/>
        <v>0</v>
      </c>
      <c r="D126" s="99"/>
      <c r="E126" s="99"/>
      <c r="F126" s="246"/>
      <c r="G126" s="246"/>
      <c r="H126" s="246"/>
      <c r="I126" s="246"/>
      <c r="J126" s="246">
        <v>0</v>
      </c>
    </row>
    <row r="127" spans="1:10" ht="12.2" customHeight="1" x14ac:dyDescent="0.25">
      <c r="A127" s="12" t="s">
        <v>106</v>
      </c>
      <c r="B127" s="177" t="s">
        <v>303</v>
      </c>
      <c r="C127" s="277">
        <f t="shared" si="40"/>
        <v>0</v>
      </c>
      <c r="D127" s="99"/>
      <c r="E127" s="99"/>
      <c r="F127" s="246"/>
      <c r="G127" s="246"/>
      <c r="H127" s="246"/>
      <c r="I127" s="246"/>
      <c r="J127" s="246">
        <v>0</v>
      </c>
    </row>
    <row r="128" spans="1:10" x14ac:dyDescent="0.25">
      <c r="A128" s="12" t="s">
        <v>139</v>
      </c>
      <c r="B128" s="59" t="s">
        <v>286</v>
      </c>
      <c r="C128" s="277">
        <f t="shared" si="40"/>
        <v>0</v>
      </c>
      <c r="D128" s="99"/>
      <c r="E128" s="99"/>
      <c r="F128" s="246"/>
      <c r="G128" s="246"/>
      <c r="H128" s="246"/>
      <c r="I128" s="246"/>
      <c r="J128" s="246">
        <v>0</v>
      </c>
    </row>
    <row r="129" spans="1:10" ht="12.2" customHeight="1" x14ac:dyDescent="0.25">
      <c r="A129" s="12" t="s">
        <v>140</v>
      </c>
      <c r="B129" s="59" t="s">
        <v>302</v>
      </c>
      <c r="C129" s="274">
        <f t="shared" si="40"/>
        <v>0</v>
      </c>
      <c r="D129" s="99"/>
      <c r="E129" s="99"/>
      <c r="F129" s="246"/>
      <c r="G129" s="246"/>
      <c r="H129" s="246"/>
      <c r="I129" s="246"/>
      <c r="J129" s="246">
        <v>0</v>
      </c>
    </row>
    <row r="130" spans="1:10" ht="12.2" customHeight="1" x14ac:dyDescent="0.25">
      <c r="A130" s="12" t="s">
        <v>141</v>
      </c>
      <c r="B130" s="59" t="s">
        <v>301</v>
      </c>
      <c r="C130" s="277">
        <f t="shared" si="40"/>
        <v>0</v>
      </c>
      <c r="D130" s="99"/>
      <c r="E130" s="99"/>
      <c r="F130" s="246"/>
      <c r="G130" s="246"/>
      <c r="H130" s="246"/>
      <c r="I130" s="246"/>
      <c r="J130" s="246">
        <v>0</v>
      </c>
    </row>
    <row r="131" spans="1:10" ht="12.2" customHeight="1" x14ac:dyDescent="0.25">
      <c r="A131" s="12" t="s">
        <v>294</v>
      </c>
      <c r="B131" s="59" t="s">
        <v>289</v>
      </c>
      <c r="C131" s="277">
        <f t="shared" si="40"/>
        <v>0</v>
      </c>
      <c r="D131" s="99"/>
      <c r="E131" s="99"/>
      <c r="F131" s="246"/>
      <c r="G131" s="246"/>
      <c r="H131" s="246"/>
      <c r="I131" s="246"/>
      <c r="J131" s="246">
        <v>0</v>
      </c>
    </row>
    <row r="132" spans="1:10" ht="12.2" customHeight="1" x14ac:dyDescent="0.25">
      <c r="A132" s="12" t="s">
        <v>295</v>
      </c>
      <c r="B132" s="59" t="s">
        <v>300</v>
      </c>
      <c r="C132" s="277">
        <f t="shared" si="40"/>
        <v>0</v>
      </c>
      <c r="D132" s="99"/>
      <c r="E132" s="99"/>
      <c r="F132" s="246"/>
      <c r="G132" s="246"/>
      <c r="H132" s="246"/>
      <c r="I132" s="246"/>
      <c r="J132" s="246">
        <v>0</v>
      </c>
    </row>
    <row r="133" spans="1:10" ht="16.5" thickBot="1" x14ac:dyDescent="0.3">
      <c r="A133" s="10" t="s">
        <v>296</v>
      </c>
      <c r="B133" s="59" t="s">
        <v>299</v>
      </c>
      <c r="C133" s="647">
        <f t="shared" si="40"/>
        <v>2605350</v>
      </c>
      <c r="D133" s="249"/>
      <c r="E133" s="249"/>
      <c r="F133" s="249"/>
      <c r="G133" s="249"/>
      <c r="H133" s="249"/>
      <c r="I133" s="249"/>
      <c r="J133" s="249">
        <v>2605350</v>
      </c>
    </row>
    <row r="134" spans="1:10" ht="12.2" customHeight="1" thickBot="1" x14ac:dyDescent="0.3">
      <c r="A134" s="17" t="s">
        <v>18</v>
      </c>
      <c r="B134" s="54" t="s">
        <v>406</v>
      </c>
      <c r="C134" s="110">
        <f t="shared" si="40"/>
        <v>1387785875</v>
      </c>
      <c r="D134" s="255">
        <f t="shared" ref="D134:J134" si="47">+D99+D120</f>
        <v>210876225</v>
      </c>
      <c r="E134" s="110">
        <f t="shared" si="47"/>
        <v>108914</v>
      </c>
      <c r="F134" s="110">
        <f t="shared" si="47"/>
        <v>0</v>
      </c>
      <c r="G134" s="110">
        <f t="shared" si="47"/>
        <v>1400000</v>
      </c>
      <c r="H134" s="110">
        <f t="shared" si="47"/>
        <v>0</v>
      </c>
      <c r="I134" s="110">
        <f t="shared" ref="I134" si="48">+I99+I120</f>
        <v>1148467931</v>
      </c>
      <c r="J134" s="110">
        <v>26932805</v>
      </c>
    </row>
    <row r="135" spans="1:10" ht="12.2" customHeight="1" thickBot="1" x14ac:dyDescent="0.3">
      <c r="A135" s="17" t="s">
        <v>19</v>
      </c>
      <c r="B135" s="54" t="s">
        <v>407</v>
      </c>
      <c r="C135" s="110">
        <f t="shared" si="40"/>
        <v>1668000</v>
      </c>
      <c r="D135" s="255">
        <f t="shared" ref="D135:J135" si="49">+D136+D137+D138</f>
        <v>1668000</v>
      </c>
      <c r="E135" s="110">
        <f t="shared" si="49"/>
        <v>0</v>
      </c>
      <c r="F135" s="110">
        <f t="shared" si="49"/>
        <v>0</v>
      </c>
      <c r="G135" s="110">
        <f t="shared" si="49"/>
        <v>0</v>
      </c>
      <c r="H135" s="110">
        <f t="shared" si="49"/>
        <v>0</v>
      </c>
      <c r="I135" s="110">
        <f t="shared" ref="I135" si="50">+I136+I137+I138</f>
        <v>0</v>
      </c>
      <c r="J135" s="110">
        <v>0</v>
      </c>
    </row>
    <row r="136" spans="1:10" ht="12.2" customHeight="1" x14ac:dyDescent="0.25">
      <c r="A136" s="12" t="s">
        <v>195</v>
      </c>
      <c r="B136" s="9" t="s">
        <v>408</v>
      </c>
      <c r="C136" s="176">
        <f t="shared" si="40"/>
        <v>1668000</v>
      </c>
      <c r="D136" s="246">
        <v>1668000</v>
      </c>
      <c r="E136" s="246"/>
      <c r="F136" s="246"/>
      <c r="G136" s="246"/>
      <c r="H136" s="246"/>
      <c r="I136" s="246"/>
      <c r="J136" s="246">
        <v>0</v>
      </c>
    </row>
    <row r="137" spans="1:10" ht="12.2" customHeight="1" x14ac:dyDescent="0.25">
      <c r="A137" s="12" t="s">
        <v>198</v>
      </c>
      <c r="B137" s="9" t="s">
        <v>409</v>
      </c>
      <c r="C137" s="277">
        <f t="shared" si="40"/>
        <v>0</v>
      </c>
      <c r="D137" s="246"/>
      <c r="E137" s="99"/>
      <c r="F137" s="99"/>
      <c r="G137" s="99"/>
      <c r="H137" s="99"/>
      <c r="I137" s="99"/>
      <c r="J137" s="99">
        <v>0</v>
      </c>
    </row>
    <row r="138" spans="1:10" ht="12.2" customHeight="1" thickBot="1" x14ac:dyDescent="0.3">
      <c r="A138" s="10" t="s">
        <v>199</v>
      </c>
      <c r="B138" s="9" t="s">
        <v>410</v>
      </c>
      <c r="C138" s="278">
        <f t="shared" si="40"/>
        <v>0</v>
      </c>
      <c r="D138" s="99"/>
      <c r="E138" s="99"/>
      <c r="F138" s="99"/>
      <c r="G138" s="99"/>
      <c r="H138" s="99"/>
      <c r="I138" s="99"/>
      <c r="J138" s="99">
        <v>0</v>
      </c>
    </row>
    <row r="139" spans="1:10" ht="12.2" customHeight="1" thickBot="1" x14ac:dyDescent="0.3">
      <c r="A139" s="17" t="s">
        <v>20</v>
      </c>
      <c r="B139" s="54" t="s">
        <v>411</v>
      </c>
      <c r="C139" s="279">
        <f t="shared" si="40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J139" s="110">
        <v>0</v>
      </c>
    </row>
    <row r="140" spans="1:10" ht="12.2" customHeight="1" x14ac:dyDescent="0.25">
      <c r="A140" s="12" t="s">
        <v>78</v>
      </c>
      <c r="B140" s="6" t="s">
        <v>412</v>
      </c>
      <c r="C140" s="176">
        <f t="shared" si="40"/>
        <v>0</v>
      </c>
      <c r="D140" s="99"/>
      <c r="E140" s="99"/>
      <c r="F140" s="99"/>
      <c r="G140" s="99"/>
      <c r="H140" s="99"/>
      <c r="I140" s="99"/>
      <c r="J140" s="99">
        <v>0</v>
      </c>
    </row>
    <row r="141" spans="1:10" ht="12.2" customHeight="1" x14ac:dyDescent="0.25">
      <c r="A141" s="12" t="s">
        <v>79</v>
      </c>
      <c r="B141" s="6" t="s">
        <v>413</v>
      </c>
      <c r="C141" s="277">
        <f t="shared" si="40"/>
        <v>0</v>
      </c>
      <c r="D141" s="99"/>
      <c r="E141" s="99"/>
      <c r="F141" s="99"/>
      <c r="G141" s="99"/>
      <c r="H141" s="99"/>
      <c r="I141" s="99"/>
      <c r="J141" s="99">
        <v>0</v>
      </c>
    </row>
    <row r="142" spans="1:10" ht="12.2" customHeight="1" x14ac:dyDescent="0.25">
      <c r="A142" s="12" t="s">
        <v>80</v>
      </c>
      <c r="B142" s="6" t="s">
        <v>414</v>
      </c>
      <c r="C142" s="277">
        <f t="shared" si="40"/>
        <v>0</v>
      </c>
      <c r="D142" s="99"/>
      <c r="E142" s="99"/>
      <c r="F142" s="99"/>
      <c r="G142" s="99"/>
      <c r="H142" s="99"/>
      <c r="I142" s="99"/>
      <c r="J142" s="99">
        <v>0</v>
      </c>
    </row>
    <row r="143" spans="1:10" ht="12.2" customHeight="1" x14ac:dyDescent="0.25">
      <c r="A143" s="12" t="s">
        <v>126</v>
      </c>
      <c r="B143" s="6" t="s">
        <v>415</v>
      </c>
      <c r="C143" s="277">
        <f t="shared" si="40"/>
        <v>0</v>
      </c>
      <c r="D143" s="99"/>
      <c r="E143" s="99"/>
      <c r="F143" s="99"/>
      <c r="G143" s="99"/>
      <c r="H143" s="99"/>
      <c r="I143" s="99"/>
      <c r="J143" s="99">
        <v>0</v>
      </c>
    </row>
    <row r="144" spans="1:10" ht="12.2" customHeight="1" x14ac:dyDescent="0.25">
      <c r="A144" s="12" t="s">
        <v>127</v>
      </c>
      <c r="B144" s="6" t="s">
        <v>416</v>
      </c>
      <c r="C144" s="277">
        <f t="shared" si="40"/>
        <v>0</v>
      </c>
      <c r="D144" s="99"/>
      <c r="E144" s="99"/>
      <c r="F144" s="99"/>
      <c r="G144" s="99"/>
      <c r="H144" s="99"/>
      <c r="I144" s="99"/>
      <c r="J144" s="99">
        <v>0</v>
      </c>
    </row>
    <row r="145" spans="1:13" ht="12.2" customHeight="1" thickBot="1" x14ac:dyDescent="0.3">
      <c r="A145" s="10" t="s">
        <v>128</v>
      </c>
      <c r="B145" s="6" t="s">
        <v>417</v>
      </c>
      <c r="C145" s="278">
        <f t="shared" si="40"/>
        <v>0</v>
      </c>
      <c r="D145" s="99"/>
      <c r="E145" s="99"/>
      <c r="F145" s="99"/>
      <c r="G145" s="99"/>
      <c r="H145" s="99"/>
      <c r="I145" s="99"/>
      <c r="J145" s="99">
        <v>0</v>
      </c>
    </row>
    <row r="146" spans="1:13" ht="12.2" customHeight="1" thickBot="1" x14ac:dyDescent="0.3">
      <c r="A146" s="17" t="s">
        <v>21</v>
      </c>
      <c r="B146" s="54" t="s">
        <v>418</v>
      </c>
      <c r="C146" s="110">
        <f t="shared" si="40"/>
        <v>0</v>
      </c>
      <c r="D146" s="257">
        <f t="shared" ref="D146:J146" si="51">+D147+D148+D149+D150</f>
        <v>0</v>
      </c>
      <c r="E146" s="115">
        <f t="shared" si="51"/>
        <v>0</v>
      </c>
      <c r="F146" s="115">
        <f t="shared" si="51"/>
        <v>0</v>
      </c>
      <c r="G146" s="115">
        <f t="shared" si="51"/>
        <v>0</v>
      </c>
      <c r="H146" s="115">
        <f t="shared" si="51"/>
        <v>0</v>
      </c>
      <c r="I146" s="115">
        <f t="shared" ref="I146" si="52">+I147+I148+I149+I150</f>
        <v>0</v>
      </c>
      <c r="J146" s="115">
        <v>0</v>
      </c>
    </row>
    <row r="147" spans="1:13" ht="12.2" customHeight="1" x14ac:dyDescent="0.25">
      <c r="A147" s="12" t="s">
        <v>81</v>
      </c>
      <c r="B147" s="6" t="s">
        <v>304</v>
      </c>
      <c r="C147" s="176">
        <f t="shared" si="40"/>
        <v>0</v>
      </c>
      <c r="D147" s="99"/>
      <c r="E147" s="99"/>
      <c r="F147" s="99"/>
      <c r="G147" s="99"/>
      <c r="H147" s="99"/>
      <c r="I147" s="99"/>
      <c r="J147" s="99">
        <v>0</v>
      </c>
    </row>
    <row r="148" spans="1:13" ht="12.2" customHeight="1" x14ac:dyDescent="0.25">
      <c r="A148" s="12" t="s">
        <v>82</v>
      </c>
      <c r="B148" s="6" t="s">
        <v>305</v>
      </c>
      <c r="C148" s="277">
        <f t="shared" si="40"/>
        <v>0</v>
      </c>
      <c r="D148" s="99"/>
      <c r="E148" s="99"/>
      <c r="F148" s="99"/>
      <c r="G148" s="99"/>
      <c r="H148" s="99"/>
      <c r="I148" s="99"/>
      <c r="J148" s="99">
        <v>0</v>
      </c>
    </row>
    <row r="149" spans="1:13" ht="12.2" customHeight="1" x14ac:dyDescent="0.25">
      <c r="A149" s="12" t="s">
        <v>218</v>
      </c>
      <c r="B149" s="6" t="s">
        <v>419</v>
      </c>
      <c r="C149" s="277">
        <f t="shared" si="40"/>
        <v>0</v>
      </c>
      <c r="D149" s="99"/>
      <c r="E149" s="99"/>
      <c r="F149" s="99"/>
      <c r="G149" s="99"/>
      <c r="H149" s="99"/>
      <c r="I149" s="99"/>
      <c r="J149" s="99">
        <v>0</v>
      </c>
    </row>
    <row r="150" spans="1:13" ht="12.2" customHeight="1" thickBot="1" x14ac:dyDescent="0.3">
      <c r="A150" s="10" t="s">
        <v>219</v>
      </c>
      <c r="B150" s="4" t="s">
        <v>323</v>
      </c>
      <c r="C150" s="278">
        <f t="shared" si="40"/>
        <v>0</v>
      </c>
      <c r="D150" s="99"/>
      <c r="E150" s="99"/>
      <c r="F150" s="99"/>
      <c r="G150" s="99"/>
      <c r="H150" s="99"/>
      <c r="I150" s="99"/>
      <c r="J150" s="99">
        <v>0</v>
      </c>
    </row>
    <row r="151" spans="1:13" ht="12.2" customHeight="1" thickBot="1" x14ac:dyDescent="0.3">
      <c r="A151" s="17" t="s">
        <v>22</v>
      </c>
      <c r="B151" s="54" t="s">
        <v>420</v>
      </c>
      <c r="C151" s="110">
        <f t="shared" si="40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J151" s="118">
        <v>0</v>
      </c>
    </row>
    <row r="152" spans="1:13" ht="12.2" customHeight="1" x14ac:dyDescent="0.25">
      <c r="A152" s="12" t="s">
        <v>83</v>
      </c>
      <c r="B152" s="6" t="s">
        <v>421</v>
      </c>
      <c r="C152" s="176">
        <f t="shared" si="40"/>
        <v>0</v>
      </c>
      <c r="D152" s="99"/>
      <c r="E152" s="99"/>
      <c r="F152" s="99"/>
      <c r="G152" s="99"/>
      <c r="H152" s="99"/>
      <c r="I152" s="99"/>
      <c r="J152" s="99">
        <v>0</v>
      </c>
    </row>
    <row r="153" spans="1:13" ht="12.2" customHeight="1" x14ac:dyDescent="0.25">
      <c r="A153" s="12" t="s">
        <v>84</v>
      </c>
      <c r="B153" s="6" t="s">
        <v>422</v>
      </c>
      <c r="C153" s="277">
        <f t="shared" si="40"/>
        <v>0</v>
      </c>
      <c r="D153" s="99"/>
      <c r="E153" s="99"/>
      <c r="F153" s="99"/>
      <c r="G153" s="99"/>
      <c r="H153" s="99"/>
      <c r="I153" s="99"/>
      <c r="J153" s="99">
        <v>0</v>
      </c>
    </row>
    <row r="154" spans="1:13" ht="12.2" customHeight="1" x14ac:dyDescent="0.25">
      <c r="A154" s="12" t="s">
        <v>230</v>
      </c>
      <c r="B154" s="6" t="s">
        <v>423</v>
      </c>
      <c r="C154" s="277">
        <f t="shared" si="40"/>
        <v>0</v>
      </c>
      <c r="D154" s="99"/>
      <c r="E154" s="99"/>
      <c r="F154" s="99"/>
      <c r="G154" s="99"/>
      <c r="H154" s="99"/>
      <c r="I154" s="99"/>
      <c r="J154" s="99">
        <v>0</v>
      </c>
    </row>
    <row r="155" spans="1:13" ht="12.2" customHeight="1" x14ac:dyDescent="0.25">
      <c r="A155" s="12" t="s">
        <v>231</v>
      </c>
      <c r="B155" s="6" t="s">
        <v>424</v>
      </c>
      <c r="C155" s="277">
        <f t="shared" si="40"/>
        <v>0</v>
      </c>
      <c r="D155" s="99"/>
      <c r="E155" s="99"/>
      <c r="F155" s="99"/>
      <c r="G155" s="99"/>
      <c r="H155" s="99"/>
      <c r="I155" s="99"/>
      <c r="J155" s="99">
        <v>0</v>
      </c>
    </row>
    <row r="156" spans="1:13" ht="12.2" customHeight="1" thickBot="1" x14ac:dyDescent="0.3">
      <c r="A156" s="12" t="s">
        <v>425</v>
      </c>
      <c r="B156" s="6" t="s">
        <v>426</v>
      </c>
      <c r="C156" s="278">
        <f t="shared" si="40"/>
        <v>0</v>
      </c>
      <c r="D156" s="100"/>
      <c r="E156" s="100"/>
      <c r="F156" s="99"/>
      <c r="G156" s="99"/>
      <c r="H156" s="99"/>
      <c r="I156" s="99"/>
      <c r="J156" s="99">
        <v>0</v>
      </c>
    </row>
    <row r="157" spans="1:13" ht="12.2" customHeight="1" thickBot="1" x14ac:dyDescent="0.3">
      <c r="A157" s="17" t="s">
        <v>23</v>
      </c>
      <c r="B157" s="54" t="s">
        <v>427</v>
      </c>
      <c r="C157" s="110">
        <f t="shared" si="40"/>
        <v>0</v>
      </c>
      <c r="D157" s="262"/>
      <c r="E157" s="118"/>
      <c r="F157" s="241"/>
      <c r="G157" s="241"/>
      <c r="H157" s="241"/>
      <c r="I157" s="241"/>
      <c r="J157" s="241">
        <v>0</v>
      </c>
    </row>
    <row r="158" spans="1:13" ht="12.2" customHeight="1" thickBot="1" x14ac:dyDescent="0.3">
      <c r="A158" s="17" t="s">
        <v>24</v>
      </c>
      <c r="B158" s="54" t="s">
        <v>428</v>
      </c>
      <c r="C158" s="110">
        <f t="shared" si="40"/>
        <v>0</v>
      </c>
      <c r="D158" s="262"/>
      <c r="E158" s="118"/>
      <c r="F158" s="241"/>
      <c r="G158" s="241"/>
      <c r="H158" s="241"/>
      <c r="I158" s="241"/>
      <c r="J158" s="241">
        <v>0</v>
      </c>
    </row>
    <row r="159" spans="1:13" ht="15" customHeight="1" thickBot="1" x14ac:dyDescent="0.3">
      <c r="A159" s="17" t="s">
        <v>25</v>
      </c>
      <c r="B159" s="54" t="s">
        <v>429</v>
      </c>
      <c r="C159" s="110">
        <f t="shared" si="40"/>
        <v>1668000</v>
      </c>
      <c r="D159" s="263">
        <f t="shared" ref="D159:J159" si="53">+D135+D139+D146+D151+D157+D158</f>
        <v>1668000</v>
      </c>
      <c r="E159" s="189">
        <f t="shared" si="53"/>
        <v>0</v>
      </c>
      <c r="F159" s="189">
        <f t="shared" si="53"/>
        <v>0</v>
      </c>
      <c r="G159" s="189">
        <f t="shared" si="53"/>
        <v>0</v>
      </c>
      <c r="H159" s="189">
        <f t="shared" si="53"/>
        <v>0</v>
      </c>
      <c r="I159" s="189">
        <f t="shared" ref="I159" si="54">+I135+I139+I146+I151+I157+I158</f>
        <v>0</v>
      </c>
      <c r="J159" s="189">
        <v>0</v>
      </c>
      <c r="K159" s="190"/>
      <c r="L159" s="190"/>
      <c r="M159" s="190"/>
    </row>
    <row r="160" spans="1:13" s="179" customFormat="1" ht="12.95" customHeight="1" thickBot="1" x14ac:dyDescent="0.25">
      <c r="A160" s="108" t="s">
        <v>26</v>
      </c>
      <c r="B160" s="166" t="s">
        <v>430</v>
      </c>
      <c r="C160" s="110">
        <f t="shared" si="40"/>
        <v>1389453875</v>
      </c>
      <c r="D160" s="263">
        <f t="shared" ref="D160:J160" si="55">+D134+D159</f>
        <v>212544225</v>
      </c>
      <c r="E160" s="189">
        <f t="shared" si="55"/>
        <v>108914</v>
      </c>
      <c r="F160" s="189">
        <f t="shared" si="55"/>
        <v>0</v>
      </c>
      <c r="G160" s="189">
        <f t="shared" si="55"/>
        <v>1400000</v>
      </c>
      <c r="H160" s="189">
        <f t="shared" si="55"/>
        <v>0</v>
      </c>
      <c r="I160" s="189">
        <f t="shared" ref="I160" si="56">+I134+I159</f>
        <v>1148467931</v>
      </c>
      <c r="J160" s="189">
        <v>26932805</v>
      </c>
    </row>
    <row r="161" spans="1:4" x14ac:dyDescent="0.25">
      <c r="A161" s="1225" t="s">
        <v>306</v>
      </c>
      <c r="B161" s="1225"/>
      <c r="C161" s="1225"/>
    </row>
    <row r="162" spans="1:4" ht="15" customHeight="1" thickBot="1" x14ac:dyDescent="0.3">
      <c r="A162" s="1228" t="s">
        <v>116</v>
      </c>
      <c r="B162" s="1228"/>
      <c r="C162" s="119" t="s">
        <v>483</v>
      </c>
    </row>
    <row r="163" spans="1:4" ht="13.7" customHeight="1" thickBot="1" x14ac:dyDescent="0.3">
      <c r="A163" s="17">
        <v>1</v>
      </c>
      <c r="B163" s="22" t="s">
        <v>431</v>
      </c>
      <c r="C163" s="110">
        <f>+C69-C134</f>
        <v>-436827807</v>
      </c>
    </row>
    <row r="164" spans="1:4" ht="21.75" thickBot="1" x14ac:dyDescent="0.3">
      <c r="A164" s="17" t="s">
        <v>17</v>
      </c>
      <c r="B164" s="22" t="s">
        <v>699</v>
      </c>
      <c r="C164" s="110">
        <f>+C93-C159</f>
        <v>57148956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topLeftCell="A10" workbookViewId="0">
      <selection activeCell="K9" sqref="K9"/>
    </sheetView>
  </sheetViews>
  <sheetFormatPr defaultColWidth="9.33203125" defaultRowHeight="12.75" x14ac:dyDescent="0.2"/>
  <cols>
    <col min="1" max="1" width="5.83203125" style="530" customWidth="1"/>
    <col min="2" max="2" width="54.83203125" style="301" customWidth="1"/>
    <col min="3" max="4" width="17.6640625" style="301" customWidth="1"/>
    <col min="5" max="16384" width="9.33203125" style="301"/>
  </cols>
  <sheetData>
    <row r="1" spans="1:9" ht="12.75" customHeight="1" x14ac:dyDescent="0.2">
      <c r="A1" s="1318" t="str">
        <f>CONCATENATE("38. melléklet ",ALAPADATOK!A7," ",ALAPADATOK!B7," ",ALAPADATOK!C7," ",ALAPADATOK!D7," ",ALAPADATOK!E7," ",ALAPADATOK!F7," ",ALAPADATOK!G7," ",ALAPADATOK!H7)</f>
        <v>38. melléklet a .. / 2023. ( …... ) önkormányzati rendelethez</v>
      </c>
      <c r="B1" s="1318"/>
      <c r="C1" s="1318"/>
      <c r="D1" s="1318"/>
      <c r="E1" s="31"/>
      <c r="F1" s="31"/>
      <c r="G1" s="31"/>
      <c r="H1" s="31"/>
      <c r="I1" s="31"/>
    </row>
    <row r="2" spans="1:9" ht="12.75" customHeight="1" x14ac:dyDescent="0.2">
      <c r="A2" s="1318" t="s">
        <v>946</v>
      </c>
      <c r="B2" s="1318"/>
      <c r="C2" s="1318"/>
      <c r="D2" s="1318"/>
      <c r="E2" s="31"/>
      <c r="F2" s="31"/>
      <c r="G2" s="31"/>
      <c r="H2" s="31"/>
      <c r="I2" s="31"/>
    </row>
    <row r="4" spans="1:9" ht="15.75" x14ac:dyDescent="0.25">
      <c r="B4" s="1327" t="s">
        <v>954</v>
      </c>
      <c r="C4" s="1327"/>
      <c r="D4" s="1327"/>
    </row>
    <row r="5" spans="1:9" s="33" customFormat="1" ht="15.75" thickBot="1" x14ac:dyDescent="0.25">
      <c r="A5" s="423"/>
      <c r="B5" s="1050" t="s">
        <v>1044</v>
      </c>
      <c r="D5" s="424" t="s">
        <v>485</v>
      </c>
    </row>
    <row r="6" spans="1:9" s="623" customFormat="1" ht="48.2" customHeight="1" thickBot="1" x14ac:dyDescent="0.25">
      <c r="A6" s="425" t="s">
        <v>14</v>
      </c>
      <c r="B6" s="421" t="s">
        <v>15</v>
      </c>
      <c r="C6" s="421" t="s">
        <v>523</v>
      </c>
      <c r="D6" s="422" t="s">
        <v>524</v>
      </c>
    </row>
    <row r="7" spans="1:9" s="623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6" t="s">
        <v>16</v>
      </c>
      <c r="B8" s="427" t="s">
        <v>525</v>
      </c>
      <c r="C8" s="428"/>
      <c r="D8" s="429"/>
    </row>
    <row r="9" spans="1:9" ht="18" customHeight="1" x14ac:dyDescent="0.2">
      <c r="A9" s="430" t="s">
        <v>17</v>
      </c>
      <c r="B9" s="431" t="s">
        <v>526</v>
      </c>
      <c r="C9" s="432"/>
      <c r="D9" s="36"/>
    </row>
    <row r="10" spans="1:9" ht="18" customHeight="1" x14ac:dyDescent="0.2">
      <c r="A10" s="430" t="s">
        <v>18</v>
      </c>
      <c r="B10" s="431" t="s">
        <v>527</v>
      </c>
      <c r="C10" s="432"/>
      <c r="D10" s="36"/>
    </row>
    <row r="11" spans="1:9" ht="18" customHeight="1" x14ac:dyDescent="0.2">
      <c r="A11" s="430" t="s">
        <v>19</v>
      </c>
      <c r="B11" s="431" t="s">
        <v>528</v>
      </c>
      <c r="C11" s="432"/>
      <c r="D11" s="36"/>
    </row>
    <row r="12" spans="1:9" ht="18" customHeight="1" x14ac:dyDescent="0.2">
      <c r="A12" s="430" t="s">
        <v>20</v>
      </c>
      <c r="B12" s="431" t="s">
        <v>529</v>
      </c>
      <c r="C12" s="433">
        <f>SUM(C13:C18)</f>
        <v>0</v>
      </c>
      <c r="D12" s="434">
        <f>SUM(D13:D18)</f>
        <v>0</v>
      </c>
    </row>
    <row r="13" spans="1:9" ht="18" customHeight="1" x14ac:dyDescent="0.2">
      <c r="A13" s="430" t="s">
        <v>21</v>
      </c>
      <c r="B13" s="431" t="s">
        <v>530</v>
      </c>
      <c r="C13" s="432"/>
      <c r="D13" s="36"/>
    </row>
    <row r="14" spans="1:9" ht="18" customHeight="1" x14ac:dyDescent="0.2">
      <c r="A14" s="430" t="s">
        <v>22</v>
      </c>
      <c r="B14" s="435" t="s">
        <v>531</v>
      </c>
      <c r="C14" s="432"/>
      <c r="D14" s="36"/>
    </row>
    <row r="15" spans="1:9" ht="18" customHeight="1" x14ac:dyDescent="0.2">
      <c r="A15" s="430" t="s">
        <v>24</v>
      </c>
      <c r="B15" s="435" t="s">
        <v>532</v>
      </c>
      <c r="C15" s="432"/>
      <c r="D15" s="436"/>
    </row>
    <row r="16" spans="1:9" ht="18" customHeight="1" x14ac:dyDescent="0.2">
      <c r="A16" s="430" t="s">
        <v>25</v>
      </c>
      <c r="B16" s="435" t="s">
        <v>533</v>
      </c>
      <c r="C16" s="432"/>
      <c r="D16" s="36"/>
    </row>
    <row r="17" spans="1:4" ht="18" customHeight="1" x14ac:dyDescent="0.2">
      <c r="A17" s="430" t="s">
        <v>26</v>
      </c>
      <c r="B17" s="435" t="s">
        <v>534</v>
      </c>
      <c r="C17" s="432"/>
      <c r="D17" s="36"/>
    </row>
    <row r="18" spans="1:4" ht="22.7" customHeight="1" x14ac:dyDescent="0.2">
      <c r="A18" s="430" t="s">
        <v>27</v>
      </c>
      <c r="B18" s="435" t="s">
        <v>535</v>
      </c>
      <c r="C18" s="432"/>
      <c r="D18" s="36"/>
    </row>
    <row r="19" spans="1:4" ht="18" customHeight="1" x14ac:dyDescent="0.2">
      <c r="A19" s="430" t="s">
        <v>28</v>
      </c>
      <c r="B19" s="431" t="s">
        <v>536</v>
      </c>
      <c r="C19" s="432"/>
      <c r="D19" s="36"/>
    </row>
    <row r="20" spans="1:4" ht="18" customHeight="1" x14ac:dyDescent="0.2">
      <c r="A20" s="430" t="s">
        <v>29</v>
      </c>
      <c r="B20" s="431" t="s">
        <v>537</v>
      </c>
      <c r="C20" s="432"/>
      <c r="D20" s="36"/>
    </row>
    <row r="21" spans="1:4" ht="18" customHeight="1" x14ac:dyDescent="0.2">
      <c r="A21" s="430" t="s">
        <v>30</v>
      </c>
      <c r="B21" s="431" t="s">
        <v>538</v>
      </c>
      <c r="C21" s="432"/>
      <c r="D21" s="36"/>
    </row>
    <row r="22" spans="1:4" ht="18" customHeight="1" x14ac:dyDescent="0.2">
      <c r="A22" s="430" t="s">
        <v>31</v>
      </c>
      <c r="B22" s="431" t="s">
        <v>539</v>
      </c>
      <c r="C22" s="432"/>
      <c r="D22" s="36"/>
    </row>
    <row r="23" spans="1:4" ht="18" customHeight="1" x14ac:dyDescent="0.2">
      <c r="A23" s="430" t="s">
        <v>32</v>
      </c>
      <c r="B23" s="431" t="s">
        <v>540</v>
      </c>
      <c r="C23" s="432"/>
      <c r="D23" s="36"/>
    </row>
    <row r="24" spans="1:4" ht="18" customHeight="1" x14ac:dyDescent="0.2">
      <c r="A24" s="430" t="s">
        <v>33</v>
      </c>
      <c r="B24" s="437"/>
      <c r="C24" s="35"/>
      <c r="D24" s="36"/>
    </row>
    <row r="25" spans="1:4" ht="18" customHeight="1" x14ac:dyDescent="0.2">
      <c r="A25" s="430" t="s">
        <v>34</v>
      </c>
      <c r="B25" s="438"/>
      <c r="C25" s="35"/>
      <c r="D25" s="36"/>
    </row>
    <row r="26" spans="1:4" ht="18" customHeight="1" x14ac:dyDescent="0.2">
      <c r="A26" s="430" t="s">
        <v>35</v>
      </c>
      <c r="B26" s="438"/>
      <c r="C26" s="35"/>
      <c r="D26" s="36"/>
    </row>
    <row r="27" spans="1:4" ht="18" customHeight="1" x14ac:dyDescent="0.2">
      <c r="A27" s="430" t="s">
        <v>36</v>
      </c>
      <c r="B27" s="438"/>
      <c r="C27" s="35"/>
      <c r="D27" s="36"/>
    </row>
    <row r="28" spans="1:4" ht="18" customHeight="1" x14ac:dyDescent="0.2">
      <c r="A28" s="430" t="s">
        <v>37</v>
      </c>
      <c r="B28" s="438"/>
      <c r="C28" s="35"/>
      <c r="D28" s="36"/>
    </row>
    <row r="29" spans="1:4" ht="18" customHeight="1" x14ac:dyDescent="0.2">
      <c r="A29" s="430" t="s">
        <v>38</v>
      </c>
      <c r="B29" s="438"/>
      <c r="C29" s="35"/>
      <c r="D29" s="36"/>
    </row>
    <row r="30" spans="1:4" ht="18" customHeight="1" x14ac:dyDescent="0.2">
      <c r="A30" s="430" t="s">
        <v>39</v>
      </c>
      <c r="B30" s="438"/>
      <c r="C30" s="35"/>
      <c r="D30" s="36"/>
    </row>
    <row r="31" spans="1:4" ht="18" customHeight="1" x14ac:dyDescent="0.2">
      <c r="A31" s="430" t="s">
        <v>40</v>
      </c>
      <c r="B31" s="438"/>
      <c r="C31" s="35"/>
      <c r="D31" s="36"/>
    </row>
    <row r="32" spans="1:4" ht="18" customHeight="1" thickBot="1" x14ac:dyDescent="0.25">
      <c r="A32" s="439" t="s">
        <v>41</v>
      </c>
      <c r="B32" s="440"/>
      <c r="C32" s="441"/>
      <c r="D32" s="649"/>
    </row>
    <row r="33" spans="1:4" ht="18" customHeight="1" thickBot="1" x14ac:dyDescent="0.25">
      <c r="A33" s="74" t="s">
        <v>42</v>
      </c>
      <c r="B33" s="442" t="s">
        <v>49</v>
      </c>
      <c r="C33" s="443">
        <f>+C8+C9+C10+C11+C12+C19+C20+C21+C22+C23+C24+C25+C26+C27+C28+C29+C30+C31+C32</f>
        <v>0</v>
      </c>
      <c r="D33" s="444">
        <f>+D8+D9+D10+D11+D12+D19+D20+D21+D22+D23+D24+D25+D26+D27+D28+D29+D30+D31+D32</f>
        <v>0</v>
      </c>
    </row>
    <row r="34" spans="1:4" ht="8.4499999999999993" customHeight="1" x14ac:dyDescent="0.2">
      <c r="A34" s="658"/>
      <c r="B34" s="1328"/>
      <c r="C34" s="1328"/>
      <c r="D34" s="1328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PageLayoutView="85" workbookViewId="0">
      <selection activeCell="A2" sqref="A2"/>
    </sheetView>
  </sheetViews>
  <sheetFormatPr defaultColWidth="9.33203125" defaultRowHeight="15.75" x14ac:dyDescent="0.25"/>
  <cols>
    <col min="1" max="1" width="7.83203125" style="40" customWidth="1"/>
    <col min="2" max="2" width="31.1640625" style="397" customWidth="1"/>
    <col min="3" max="13" width="12.5" style="397" customWidth="1"/>
    <col min="14" max="14" width="15.5" style="397" customWidth="1"/>
    <col min="15" max="15" width="12.5" style="40" customWidth="1"/>
    <col min="16" max="16" width="14.6640625" style="622" hidden="1" customWidth="1"/>
    <col min="17" max="17" width="16.6640625" style="622" hidden="1" customWidth="1"/>
    <col min="18" max="18" width="9.33203125" style="397" customWidth="1"/>
    <col min="19" max="19" width="11" style="397" bestFit="1" customWidth="1"/>
    <col min="20" max="16384" width="9.33203125" style="397"/>
  </cols>
  <sheetData>
    <row r="1" spans="1:17" x14ac:dyDescent="0.25">
      <c r="A1" s="1329" t="str">
        <f>CONCATENATE("27. melléklet ",ALAPADATOK!A7," ",ALAPADATOK!B7," ",ALAPADATOK!C7," ",ALAPADATOK!D7," ",ALAPADATOK!E7," ",ALAPADATOK!F7," ",ALAPADATOK!G7," ",ALAPADATOK!H7)</f>
        <v>27. melléklet a .. / 2023. ( …... ) önkormányzati rendelethez</v>
      </c>
      <c r="B1" s="1329"/>
      <c r="C1" s="1329"/>
      <c r="D1" s="1329"/>
      <c r="E1" s="1329"/>
      <c r="F1" s="1329"/>
      <c r="G1" s="1329"/>
      <c r="H1" s="1329"/>
      <c r="I1" s="1329"/>
      <c r="J1" s="1329"/>
      <c r="K1" s="1329"/>
      <c r="L1" s="1329"/>
      <c r="M1" s="1329"/>
      <c r="N1" s="1329"/>
      <c r="O1" s="1329"/>
    </row>
    <row r="2" spans="1:17" x14ac:dyDescent="0.25">
      <c r="A2" s="659"/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1045" t="s">
        <v>947</v>
      </c>
    </row>
    <row r="3" spans="1:17" ht="18.75" x14ac:dyDescent="0.3">
      <c r="A3" s="1330" t="s">
        <v>992</v>
      </c>
      <c r="B3" s="1331"/>
      <c r="C3" s="1331"/>
      <c r="D3" s="1331"/>
      <c r="E3" s="1331"/>
      <c r="F3" s="1331"/>
      <c r="G3" s="1331"/>
      <c r="H3" s="1331"/>
      <c r="I3" s="1331"/>
      <c r="J3" s="1331"/>
      <c r="K3" s="1331"/>
      <c r="L3" s="1331"/>
      <c r="M3" s="1331"/>
      <c r="N3" s="1331"/>
      <c r="O3" s="1331"/>
    </row>
    <row r="4" spans="1:17" ht="36" customHeight="1" thickBot="1" x14ac:dyDescent="0.35">
      <c r="A4" s="1330"/>
      <c r="B4" s="1330"/>
      <c r="C4" s="1330"/>
      <c r="D4" s="1330"/>
      <c r="E4" s="1330"/>
      <c r="F4" s="1330"/>
      <c r="G4" s="1330"/>
      <c r="H4" s="1330"/>
      <c r="I4" s="1330"/>
      <c r="J4" s="1330"/>
      <c r="K4" s="1330"/>
      <c r="L4" s="1330"/>
      <c r="M4" s="1330"/>
      <c r="N4" s="1330"/>
      <c r="O4" s="1330"/>
    </row>
    <row r="5" spans="1:17" ht="24.75" thickBot="1" x14ac:dyDescent="0.3">
      <c r="A5" s="303" t="s">
        <v>697</v>
      </c>
      <c r="B5" s="304" t="s">
        <v>57</v>
      </c>
      <c r="C5" s="304" t="s">
        <v>64</v>
      </c>
      <c r="D5" s="304" t="s">
        <v>65</v>
      </c>
      <c r="E5" s="304" t="s">
        <v>66</v>
      </c>
      <c r="F5" s="304" t="s">
        <v>67</v>
      </c>
      <c r="G5" s="304" t="s">
        <v>68</v>
      </c>
      <c r="H5" s="304" t="s">
        <v>69</v>
      </c>
      <c r="I5" s="304" t="s">
        <v>70</v>
      </c>
      <c r="J5" s="304" t="s">
        <v>883</v>
      </c>
      <c r="K5" s="304" t="s">
        <v>884</v>
      </c>
      <c r="L5" s="304" t="s">
        <v>885</v>
      </c>
      <c r="M5" s="304" t="s">
        <v>886</v>
      </c>
      <c r="N5" s="304" t="s">
        <v>887</v>
      </c>
      <c r="O5" s="305" t="s">
        <v>49</v>
      </c>
    </row>
    <row r="6" spans="1:17" s="42" customFormat="1" ht="15" customHeight="1" thickBot="1" x14ac:dyDescent="0.25">
      <c r="A6" s="41" t="s">
        <v>16</v>
      </c>
      <c r="B6" s="1332" t="s">
        <v>888</v>
      </c>
      <c r="C6" s="1333"/>
      <c r="D6" s="1333"/>
      <c r="E6" s="1333"/>
      <c r="F6" s="1333"/>
      <c r="G6" s="1333"/>
      <c r="H6" s="1333"/>
      <c r="I6" s="1333"/>
      <c r="J6" s="1333"/>
      <c r="K6" s="1333"/>
      <c r="L6" s="1333"/>
      <c r="M6" s="1333"/>
      <c r="N6" s="1333"/>
      <c r="O6" s="1334"/>
      <c r="P6" s="338"/>
      <c r="Q6" s="338"/>
    </row>
    <row r="7" spans="1:17" s="42" customFormat="1" ht="22.5" x14ac:dyDescent="0.2">
      <c r="A7" s="43" t="s">
        <v>17</v>
      </c>
      <c r="B7" s="216" t="s">
        <v>307</v>
      </c>
      <c r="C7" s="248">
        <f>174724426+87362212</f>
        <v>262086638</v>
      </c>
      <c r="D7" s="248">
        <v>174724426</v>
      </c>
      <c r="E7" s="248">
        <f>174724426+11369492</f>
        <v>186093918</v>
      </c>
      <c r="F7" s="248">
        <f>174724426+3248426</f>
        <v>177972852</v>
      </c>
      <c r="G7" s="248">
        <f>174724426+3248426</f>
        <v>177972852</v>
      </c>
      <c r="H7" s="248">
        <f>174724426+3248426</f>
        <v>177972852</v>
      </c>
      <c r="I7" s="248">
        <f>174724426+3248426</f>
        <v>177972852</v>
      </c>
      <c r="J7" s="248">
        <f>174724426+3248426</f>
        <v>177972852</v>
      </c>
      <c r="K7" s="248">
        <f>174724426+3248426</f>
        <v>177972852</v>
      </c>
      <c r="L7" s="248">
        <f>174724426+3248426</f>
        <v>177972852</v>
      </c>
      <c r="M7" s="248">
        <f>174724426+3248426</f>
        <v>177972852</v>
      </c>
      <c r="N7" s="248">
        <f>174724426+3248428</f>
        <v>177972854</v>
      </c>
      <c r="O7" s="341">
        <f t="shared" ref="O7:O15" si="0">SUM(C7:N7)</f>
        <v>2224660652</v>
      </c>
      <c r="P7" s="339">
        <f>'1. sz.mell. '!C11</f>
        <v>2224660652</v>
      </c>
      <c r="Q7" s="340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0">
        <f>1080000+3950000+15422228</f>
        <v>20452228</v>
      </c>
      <c r="D8" s="230">
        <f>3950000+15422228</f>
        <v>19372228</v>
      </c>
      <c r="E8" s="230">
        <f>3950000+9768776+15422228</f>
        <v>29141004</v>
      </c>
      <c r="F8" s="230">
        <f>1080000+3950000+17143608+15422228+61136074-2660593</f>
        <v>96071317</v>
      </c>
      <c r="G8" s="230">
        <f>3950000+4141777+15422228+2660593</f>
        <v>26174598</v>
      </c>
      <c r="H8" s="230">
        <f>3950000+15422228</f>
        <v>19372228</v>
      </c>
      <c r="I8" s="230">
        <f>1080000+3950000+15422228</f>
        <v>20452228</v>
      </c>
      <c r="J8" s="230">
        <f>3950000+15422228</f>
        <v>19372228</v>
      </c>
      <c r="K8" s="230">
        <f>3950000+15422228</f>
        <v>19372228</v>
      </c>
      <c r="L8" s="230">
        <f>1080000+3950000+15422229</f>
        <v>20452229</v>
      </c>
      <c r="M8" s="230">
        <f>3950000+15422228</f>
        <v>19372228</v>
      </c>
      <c r="N8" s="230">
        <f>3950000+9768776+5950971+16049767+15422228</f>
        <v>51141742</v>
      </c>
      <c r="O8" s="341">
        <f t="shared" si="0"/>
        <v>360746486</v>
      </c>
      <c r="P8" s="342">
        <f>'1. sz.mell. '!C20</f>
        <v>360746486</v>
      </c>
      <c r="Q8" s="343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1"/>
      <c r="D9" s="231"/>
      <c r="E9" s="231">
        <f>245863</f>
        <v>245863</v>
      </c>
      <c r="F9" s="231">
        <f>6503698+271891638-78677542</f>
        <v>199717794</v>
      </c>
      <c r="G9" s="231">
        <f>114194761+78677542</f>
        <v>192872303</v>
      </c>
      <c r="H9" s="231">
        <v>17950569</v>
      </c>
      <c r="I9" s="231">
        <v>17950568</v>
      </c>
      <c r="J9" s="231"/>
      <c r="K9" s="231"/>
      <c r="L9" s="231"/>
      <c r="M9" s="231"/>
      <c r="N9" s="231">
        <f>245863+92693342+58702203</f>
        <v>151641408</v>
      </c>
      <c r="O9" s="341">
        <f t="shared" si="0"/>
        <v>580378505</v>
      </c>
      <c r="P9" s="342">
        <f>'1. sz.mell. '!C27</f>
        <v>580378505</v>
      </c>
      <c r="Q9" s="343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0">
        <v>2000000</v>
      </c>
      <c r="D10" s="230">
        <v>2000000</v>
      </c>
      <c r="E10" s="230">
        <v>250000000</v>
      </c>
      <c r="F10" s="230">
        <v>2000000</v>
      </c>
      <c r="G10" s="230">
        <v>53195000</v>
      </c>
      <c r="H10" s="230">
        <v>2000000</v>
      </c>
      <c r="I10" s="230">
        <v>2000000</v>
      </c>
      <c r="J10" s="230">
        <v>2000000</v>
      </c>
      <c r="K10" s="230">
        <v>250000000</v>
      </c>
      <c r="L10" s="230">
        <v>2000000</v>
      </c>
      <c r="M10" s="230">
        <v>2000000</v>
      </c>
      <c r="N10" s="230">
        <v>70000000</v>
      </c>
      <c r="O10" s="341">
        <f t="shared" si="0"/>
        <v>639195000</v>
      </c>
      <c r="P10" s="342">
        <f>'1. sz.mell. '!C34</f>
        <v>639195000</v>
      </c>
      <c r="Q10" s="343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0">
        <v>36420411</v>
      </c>
      <c r="D11" s="230">
        <v>36420411</v>
      </c>
      <c r="E11" s="230">
        <v>36420411</v>
      </c>
      <c r="F11" s="230">
        <f>36420411+1404444</f>
        <v>37824855</v>
      </c>
      <c r="G11" s="230">
        <f>36420411+28423849+1404444</f>
        <v>66248704</v>
      </c>
      <c r="H11" s="230">
        <f>36420411+1404444</f>
        <v>37824855</v>
      </c>
      <c r="I11" s="230">
        <v>36420411</v>
      </c>
      <c r="J11" s="230">
        <v>36420411</v>
      </c>
      <c r="K11" s="230">
        <f>36420411+1404444</f>
        <v>37824855</v>
      </c>
      <c r="L11" s="230">
        <f>36420411+1404444</f>
        <v>37824855</v>
      </c>
      <c r="M11" s="230">
        <f>36420411+1404444</f>
        <v>37824855</v>
      </c>
      <c r="N11" s="230">
        <f>36420407+21502228+1404444</f>
        <v>59327079</v>
      </c>
      <c r="O11" s="341">
        <f t="shared" si="0"/>
        <v>496802113</v>
      </c>
      <c r="P11" s="342">
        <f>'1. sz.mell. '!C41</f>
        <v>496802113</v>
      </c>
      <c r="Q11" s="343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0"/>
      <c r="D12" s="230"/>
      <c r="E12" s="230"/>
      <c r="F12" s="230">
        <v>22500000</v>
      </c>
      <c r="G12" s="230"/>
      <c r="H12" s="230"/>
      <c r="I12" s="230">
        <v>4000000</v>
      </c>
      <c r="J12" s="230"/>
      <c r="K12" s="230"/>
      <c r="L12" s="230"/>
      <c r="M12" s="230"/>
      <c r="N12" s="230">
        <v>34000000</v>
      </c>
      <c r="O12" s="341">
        <f t="shared" si="0"/>
        <v>60500000</v>
      </c>
      <c r="P12" s="342">
        <f>'1. sz.mell. '!C53</f>
        <v>60500000</v>
      </c>
      <c r="Q12" s="343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0">
        <v>100000</v>
      </c>
      <c r="D13" s="230">
        <v>100000</v>
      </c>
      <c r="E13" s="230">
        <v>100000</v>
      </c>
      <c r="F13" s="230">
        <v>100000</v>
      </c>
      <c r="G13" s="230">
        <v>100000</v>
      </c>
      <c r="H13" s="230">
        <v>100000</v>
      </c>
      <c r="I13" s="230">
        <v>100000</v>
      </c>
      <c r="J13" s="230">
        <v>100000</v>
      </c>
      <c r="K13" s="230">
        <v>100000</v>
      </c>
      <c r="L13" s="230">
        <v>100000</v>
      </c>
      <c r="M13" s="230">
        <v>100000</v>
      </c>
      <c r="N13" s="230">
        <v>100000</v>
      </c>
      <c r="O13" s="341">
        <f t="shared" si="0"/>
        <v>1200000</v>
      </c>
      <c r="P13" s="342">
        <f>'1. sz.mell. '!C59</f>
        <v>1200000</v>
      </c>
      <c r="Q13" s="343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341">
        <f t="shared" si="0"/>
        <v>0</v>
      </c>
      <c r="P14" s="342">
        <f>'1. sz.mell. '!C64</f>
        <v>0</v>
      </c>
      <c r="Q14" s="343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61842606+2241366813+7058824+13211</f>
        <v>2310281454</v>
      </c>
      <c r="D15" s="45">
        <f>110000000</f>
        <v>110000000</v>
      </c>
      <c r="E15" s="45">
        <f>110000000</f>
        <v>110000000</v>
      </c>
      <c r="F15" s="45">
        <v>147000000</v>
      </c>
      <c r="G15" s="45">
        <f t="shared" ref="G15:N15" si="2">110000000</f>
        <v>110000000</v>
      </c>
      <c r="H15" s="45">
        <f t="shared" si="2"/>
        <v>110000000</v>
      </c>
      <c r="I15" s="45">
        <f t="shared" si="2"/>
        <v>110000000</v>
      </c>
      <c r="J15" s="45">
        <f t="shared" si="2"/>
        <v>110000000</v>
      </c>
      <c r="K15" s="45">
        <f t="shared" si="2"/>
        <v>110000000</v>
      </c>
      <c r="L15" s="45">
        <f t="shared" si="2"/>
        <v>110000000</v>
      </c>
      <c r="M15" s="45">
        <f t="shared" si="2"/>
        <v>110000000</v>
      </c>
      <c r="N15" s="45">
        <f t="shared" si="2"/>
        <v>110000000</v>
      </c>
      <c r="O15" s="341">
        <f t="shared" si="0"/>
        <v>3557281454</v>
      </c>
      <c r="P15" s="344">
        <f>'1. sz.mell. '!C93</f>
        <v>3557281454</v>
      </c>
      <c r="Q15" s="34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3">SUM(C7:C15)</f>
        <v>2631340731</v>
      </c>
      <c r="D16" s="47">
        <f t="shared" si="3"/>
        <v>342617065</v>
      </c>
      <c r="E16" s="47">
        <f t="shared" si="3"/>
        <v>612001196</v>
      </c>
      <c r="F16" s="47">
        <f t="shared" si="3"/>
        <v>683186818</v>
      </c>
      <c r="G16" s="47">
        <f t="shared" si="3"/>
        <v>626563457</v>
      </c>
      <c r="H16" s="47">
        <f t="shared" si="3"/>
        <v>365220504</v>
      </c>
      <c r="I16" s="47">
        <f t="shared" si="3"/>
        <v>368896059</v>
      </c>
      <c r="J16" s="47">
        <f t="shared" si="3"/>
        <v>345865491</v>
      </c>
      <c r="K16" s="47">
        <f t="shared" si="3"/>
        <v>595269935</v>
      </c>
      <c r="L16" s="47">
        <f t="shared" si="3"/>
        <v>348349936</v>
      </c>
      <c r="M16" s="47">
        <f t="shared" si="3"/>
        <v>347269935</v>
      </c>
      <c r="N16" s="47">
        <f t="shared" si="3"/>
        <v>654183083</v>
      </c>
      <c r="O16" s="849">
        <f>SUM(C16:N16)</f>
        <v>7920764210</v>
      </c>
      <c r="P16" s="346">
        <f>SUM(P7:P15)</f>
        <v>7920764210</v>
      </c>
      <c r="Q16" s="347">
        <f t="shared" si="1"/>
        <v>0</v>
      </c>
    </row>
    <row r="17" spans="1:17" s="42" customFormat="1" ht="15" customHeight="1" thickBot="1" x14ac:dyDescent="0.25">
      <c r="A17" s="41"/>
      <c r="B17" s="1332" t="s">
        <v>889</v>
      </c>
      <c r="C17" s="1333"/>
      <c r="D17" s="1333"/>
      <c r="E17" s="1333"/>
      <c r="F17" s="1333"/>
      <c r="G17" s="1333"/>
      <c r="H17" s="1333"/>
      <c r="I17" s="1333"/>
      <c r="J17" s="1333"/>
      <c r="K17" s="1333"/>
      <c r="L17" s="1333"/>
      <c r="M17" s="1333"/>
      <c r="N17" s="1333"/>
      <c r="O17" s="1334"/>
      <c r="P17" s="338"/>
      <c r="Q17" s="348">
        <f t="shared" si="1"/>
        <v>0</v>
      </c>
    </row>
    <row r="18" spans="1:17" s="46" customFormat="1" ht="14.1" customHeight="1" thickBot="1" x14ac:dyDescent="0.25">
      <c r="A18" s="349" t="s">
        <v>27</v>
      </c>
      <c r="B18" s="350" t="s">
        <v>58</v>
      </c>
      <c r="C18" s="351">
        <v>116242369</v>
      </c>
      <c r="D18" s="351">
        <v>130332353</v>
      </c>
      <c r="E18" s="351">
        <v>130332353</v>
      </c>
      <c r="F18" s="351">
        <v>130332353</v>
      </c>
      <c r="G18" s="351">
        <f>130332353+4007577</f>
        <v>134339930</v>
      </c>
      <c r="H18" s="351">
        <f>130332353+4007577</f>
        <v>134339930</v>
      </c>
      <c r="I18" s="351">
        <f>130332353+4007577</f>
        <v>134339930</v>
      </c>
      <c r="J18" s="351">
        <f>130332353+4007577</f>
        <v>134339930</v>
      </c>
      <c r="K18" s="351">
        <f>130332353+4007577</f>
        <v>134339930</v>
      </c>
      <c r="L18" s="351">
        <f>130332353+4007577</f>
        <v>134339930</v>
      </c>
      <c r="M18" s="351">
        <f>130332353+4007577</f>
        <v>134339930</v>
      </c>
      <c r="N18" s="351">
        <f>130332355+4007575</f>
        <v>134339930</v>
      </c>
      <c r="O18" s="341">
        <f t="shared" ref="O18:O28" si="4">SUM(C18:N18)</f>
        <v>1581958868</v>
      </c>
      <c r="P18" s="398">
        <f>'1. sz.mell. '!C100</f>
        <v>1581958868</v>
      </c>
      <c r="Q18" s="340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0">
        <v>16397158</v>
      </c>
      <c r="D19" s="230">
        <v>18384692</v>
      </c>
      <c r="E19" s="230">
        <v>18384692</v>
      </c>
      <c r="F19" s="230">
        <v>18384692</v>
      </c>
      <c r="G19" s="230">
        <f>18384692+483338</f>
        <v>18868030</v>
      </c>
      <c r="H19" s="230">
        <f>18384692+483338</f>
        <v>18868030</v>
      </c>
      <c r="I19" s="230">
        <f>18384692+483338</f>
        <v>18868030</v>
      </c>
      <c r="J19" s="230">
        <f>18384692+483338</f>
        <v>18868030</v>
      </c>
      <c r="K19" s="230">
        <f>18384692+483338</f>
        <v>18868030</v>
      </c>
      <c r="L19" s="230">
        <f>18384692+483338</f>
        <v>18868030</v>
      </c>
      <c r="M19" s="230">
        <f>18384692+483338</f>
        <v>18868030</v>
      </c>
      <c r="N19" s="230">
        <f>18384690+483336</f>
        <v>18868026</v>
      </c>
      <c r="O19" s="341">
        <f t="shared" si="4"/>
        <v>222495470</v>
      </c>
      <c r="P19" s="398">
        <f>'1. sz.mell. '!C101</f>
        <v>222495470</v>
      </c>
      <c r="Q19" s="343">
        <f t="shared" si="1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0">
        <v>128433965</v>
      </c>
      <c r="D20" s="230">
        <v>144001719</v>
      </c>
      <c r="E20" s="230">
        <v>144001719</v>
      </c>
      <c r="F20" s="230">
        <v>144001719</v>
      </c>
      <c r="G20" s="230">
        <f>144001719+7124176</f>
        <v>151125895</v>
      </c>
      <c r="H20" s="230">
        <f>144001719+7124176</f>
        <v>151125895</v>
      </c>
      <c r="I20" s="230">
        <f>144001719+7124176</f>
        <v>151125895</v>
      </c>
      <c r="J20" s="230">
        <f>144001719+7124176</f>
        <v>151125895</v>
      </c>
      <c r="K20" s="230">
        <f>144001719+7124176</f>
        <v>151125895</v>
      </c>
      <c r="L20" s="230">
        <f>144001719+7124176</f>
        <v>151125895</v>
      </c>
      <c r="M20" s="230">
        <f>144001719+7124176</f>
        <v>151125895</v>
      </c>
      <c r="N20" s="230">
        <f>144001718+7124175</f>
        <v>151125893</v>
      </c>
      <c r="O20" s="341">
        <f t="shared" si="4"/>
        <v>1769446280</v>
      </c>
      <c r="P20" s="398">
        <f>'1. sz.mell. '!C102</f>
        <v>1769446280</v>
      </c>
      <c r="Q20" s="343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0">
        <v>2312500</v>
      </c>
      <c r="D21" s="230">
        <v>2312500</v>
      </c>
      <c r="E21" s="230">
        <v>2312500</v>
      </c>
      <c r="F21" s="230">
        <v>2312500</v>
      </c>
      <c r="G21" s="230">
        <v>2312500</v>
      </c>
      <c r="H21" s="230">
        <v>2312500</v>
      </c>
      <c r="I21" s="230">
        <v>2312500</v>
      </c>
      <c r="J21" s="230">
        <v>2312500</v>
      </c>
      <c r="K21" s="230">
        <v>3000000</v>
      </c>
      <c r="L21" s="230">
        <v>3000000</v>
      </c>
      <c r="M21" s="230">
        <v>3500000</v>
      </c>
      <c r="N21" s="230">
        <v>17000000</v>
      </c>
      <c r="O21" s="341">
        <f t="shared" si="4"/>
        <v>45000000</v>
      </c>
      <c r="P21" s="398">
        <f>'1. sz.mell. '!C103</f>
        <v>45000000</v>
      </c>
      <c r="Q21" s="343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0">
        <f>11333333+1692757</f>
        <v>13026090</v>
      </c>
      <c r="D22" s="230">
        <f>11333333+1692757</f>
        <v>13026090</v>
      </c>
      <c r="E22" s="230">
        <f>11333333+1692757+31726</f>
        <v>13057816</v>
      </c>
      <c r="F22" s="230">
        <f>11333333+29142311+1692757-200000</f>
        <v>41968401</v>
      </c>
      <c r="G22" s="230">
        <f>11333333+1692757+600000</f>
        <v>13626090</v>
      </c>
      <c r="H22" s="230">
        <f>11333333+1692757+600000</f>
        <v>13626090</v>
      </c>
      <c r="I22" s="230">
        <f>11333333+1692757+600000</f>
        <v>13626090</v>
      </c>
      <c r="J22" s="230">
        <f>11333333+1692757+600000</f>
        <v>13626090</v>
      </c>
      <c r="K22" s="230">
        <f>11333333+1692757+600000</f>
        <v>13626090</v>
      </c>
      <c r="L22" s="230">
        <f>11333333+1692757+600000</f>
        <v>13626090</v>
      </c>
      <c r="M22" s="230">
        <f>11333333+1692757+600000</f>
        <v>13626090</v>
      </c>
      <c r="N22" s="230">
        <f>11333333+10330380+1692757+500002+600000</f>
        <v>24456472</v>
      </c>
      <c r="O22" s="341">
        <f t="shared" si="4"/>
        <v>200917499</v>
      </c>
      <c r="P22" s="342">
        <f>'1. sz.mell. '!C104</f>
        <v>200917499</v>
      </c>
      <c r="Q22" s="343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0"/>
      <c r="D23" s="230"/>
      <c r="E23" s="230">
        <f>21000000+9500000+4072670+2000000+2500000</f>
        <v>39072670</v>
      </c>
      <c r="F23" s="230">
        <f>39000000+9531000+7500000</f>
        <v>56031000</v>
      </c>
      <c r="G23" s="230">
        <f>80000000+4616459+23810000+4500000</f>
        <v>112926459</v>
      </c>
      <c r="H23" s="230">
        <f>6915150</f>
        <v>6915150</v>
      </c>
      <c r="I23" s="230">
        <f>10000000+60000000</f>
        <v>70000000</v>
      </c>
      <c r="J23" s="230"/>
      <c r="K23" s="230">
        <f>40000000+50000000+40000000</f>
        <v>130000000</v>
      </c>
      <c r="L23" s="230">
        <f>60000000</f>
        <v>60000000</v>
      </c>
      <c r="M23" s="230">
        <v>80451837</v>
      </c>
      <c r="N23" s="230">
        <f>2064+70519159+30000000+50000000+150000000+124820501</f>
        <v>425341724</v>
      </c>
      <c r="O23" s="341">
        <f t="shared" si="4"/>
        <v>980738840</v>
      </c>
      <c r="P23" s="342">
        <f>'1. sz.mell. '!C121</f>
        <v>980738840</v>
      </c>
      <c r="Q23" s="343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0">
        <f>40000000+4000000</f>
        <v>44000000</v>
      </c>
      <c r="D24" s="230">
        <f>3000000+35000000</f>
        <v>38000000</v>
      </c>
      <c r="E24" s="230">
        <f>30000000</f>
        <v>30000000</v>
      </c>
      <c r="F24" s="230">
        <f>40000000</f>
        <v>40000000</v>
      </c>
      <c r="G24" s="230">
        <f>68275112+120000000+30000000+130290557+70000000+30000000+2000000</f>
        <v>450565669</v>
      </c>
      <c r="H24" s="230">
        <f>116651994+28425000</f>
        <v>145076994</v>
      </c>
      <c r="I24" s="230">
        <f>35000000+30000000+50000000</f>
        <v>115000000</v>
      </c>
      <c r="J24" s="230">
        <f>50000000</f>
        <v>50000000</v>
      </c>
      <c r="K24" s="230"/>
      <c r="L24" s="230">
        <f>85000000+35000000</f>
        <v>120000000</v>
      </c>
      <c r="M24" s="230">
        <v>25065385</v>
      </c>
      <c r="N24" s="230">
        <f>230344740+255268500+30000000+30000000+214428955</f>
        <v>760042195</v>
      </c>
      <c r="O24" s="341">
        <f t="shared" si="4"/>
        <v>1817750243</v>
      </c>
      <c r="P24" s="342">
        <f>'1. sz.mell. '!C123</f>
        <v>1817750243</v>
      </c>
      <c r="Q24" s="343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0"/>
      <c r="D25" s="230"/>
      <c r="E25" s="230"/>
      <c r="F25" s="230"/>
      <c r="G25" s="230">
        <f>2001092+2605350</f>
        <v>4606442</v>
      </c>
      <c r="H25" s="230"/>
      <c r="I25" s="230"/>
      <c r="J25" s="230"/>
      <c r="K25" s="230"/>
      <c r="L25" s="230"/>
      <c r="M25" s="230"/>
      <c r="N25" s="230"/>
      <c r="O25" s="341">
        <f t="shared" si="4"/>
        <v>4606442</v>
      </c>
      <c r="P25" s="342">
        <f>'1. sz.mell. '!C125</f>
        <v>4606442</v>
      </c>
      <c r="Q25" s="343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>
        <f>120093095-6003823</f>
        <v>114089272</v>
      </c>
      <c r="O26" s="341">
        <f t="shared" si="4"/>
        <v>114089272</v>
      </c>
      <c r="P26" s="342">
        <f>'1. sz.mell. '!C117</f>
        <v>114089276</v>
      </c>
      <c r="Q26" s="343">
        <f t="shared" si="1"/>
        <v>-4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v>61842606</v>
      </c>
      <c r="D27" s="45">
        <v>110000000</v>
      </c>
      <c r="E27" s="45">
        <f>110000000+5479671</f>
        <v>115479671</v>
      </c>
      <c r="F27" s="230"/>
      <c r="G27" s="45">
        <v>110000000</v>
      </c>
      <c r="H27" s="45">
        <f>110000000+5479671</f>
        <v>115479671</v>
      </c>
      <c r="I27" s="45">
        <v>110000000</v>
      </c>
      <c r="J27" s="45">
        <v>110000000</v>
      </c>
      <c r="K27" s="45">
        <f>5479671+110000000</f>
        <v>115479671</v>
      </c>
      <c r="L27" s="45">
        <v>110000000</v>
      </c>
      <c r="M27" s="45">
        <v>110000000</v>
      </c>
      <c r="N27" s="45">
        <f>110000000+5479673</f>
        <v>115479673</v>
      </c>
      <c r="O27" s="341">
        <f t="shared" si="4"/>
        <v>1183761292</v>
      </c>
      <c r="P27" s="344">
        <f>'1. sz.mell. '!C159</f>
        <v>1183761292</v>
      </c>
      <c r="Q27" s="34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5">SUM(C18:C27)</f>
        <v>382254688</v>
      </c>
      <c r="D28" s="47">
        <f t="shared" si="5"/>
        <v>456057354</v>
      </c>
      <c r="E28" s="47">
        <f t="shared" si="5"/>
        <v>492641421</v>
      </c>
      <c r="F28" s="47">
        <f t="shared" si="5"/>
        <v>433030665</v>
      </c>
      <c r="G28" s="47">
        <f t="shared" si="5"/>
        <v>998371015</v>
      </c>
      <c r="H28" s="47">
        <f t="shared" si="5"/>
        <v>587744260</v>
      </c>
      <c r="I28" s="47">
        <f t="shared" si="5"/>
        <v>615272445</v>
      </c>
      <c r="J28" s="47">
        <f t="shared" si="5"/>
        <v>480272445</v>
      </c>
      <c r="K28" s="47">
        <f t="shared" si="5"/>
        <v>566439616</v>
      </c>
      <c r="L28" s="47">
        <f t="shared" si="5"/>
        <v>610959945</v>
      </c>
      <c r="M28" s="47">
        <f t="shared" si="5"/>
        <v>536977167</v>
      </c>
      <c r="N28" s="47">
        <f t="shared" si="5"/>
        <v>1760743185</v>
      </c>
      <c r="O28" s="849">
        <f t="shared" si="4"/>
        <v>7920764206</v>
      </c>
      <c r="P28" s="346">
        <f>SUM(P18:P27)</f>
        <v>7920764210</v>
      </c>
      <c r="Q28" s="347">
        <f t="shared" si="1"/>
        <v>-4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6">C16-C28</f>
        <v>2249086043</v>
      </c>
      <c r="D29" s="49">
        <f t="shared" si="6"/>
        <v>-113440289</v>
      </c>
      <c r="E29" s="49">
        <f t="shared" si="6"/>
        <v>119359775</v>
      </c>
      <c r="F29" s="49">
        <f t="shared" si="6"/>
        <v>250156153</v>
      </c>
      <c r="G29" s="49">
        <f t="shared" si="6"/>
        <v>-371807558</v>
      </c>
      <c r="H29" s="49">
        <f t="shared" si="6"/>
        <v>-222523756</v>
      </c>
      <c r="I29" s="49">
        <f t="shared" si="6"/>
        <v>-246376386</v>
      </c>
      <c r="J29" s="49">
        <f t="shared" si="6"/>
        <v>-134406954</v>
      </c>
      <c r="K29" s="49">
        <f t="shared" si="6"/>
        <v>28830319</v>
      </c>
      <c r="L29" s="49">
        <f t="shared" si="6"/>
        <v>-262610009</v>
      </c>
      <c r="M29" s="49">
        <f t="shared" si="6"/>
        <v>-189707232</v>
      </c>
      <c r="N29" s="49">
        <f t="shared" si="6"/>
        <v>-1106560102</v>
      </c>
      <c r="O29" s="396">
        <f>SUM(C29:N29)</f>
        <v>4</v>
      </c>
    </row>
    <row r="30" spans="1:17" x14ac:dyDescent="0.25">
      <c r="A30" s="50"/>
    </row>
    <row r="31" spans="1:17" x14ac:dyDescent="0.25">
      <c r="B31" s="51"/>
      <c r="C31" s="52"/>
      <c r="D31" s="52"/>
      <c r="O31" s="397"/>
    </row>
    <row r="32" spans="1:17" x14ac:dyDescent="0.25">
      <c r="O32" s="397"/>
    </row>
    <row r="33" spans="15:15" x14ac:dyDescent="0.25">
      <c r="O33" s="397"/>
    </row>
    <row r="34" spans="15:15" x14ac:dyDescent="0.25">
      <c r="O34" s="397"/>
    </row>
    <row r="35" spans="15:15" x14ac:dyDescent="0.25">
      <c r="O35" s="397"/>
    </row>
    <row r="36" spans="15:15" x14ac:dyDescent="0.25">
      <c r="O36" s="397"/>
    </row>
    <row r="37" spans="15:15" x14ac:dyDescent="0.25">
      <c r="O37" s="397"/>
    </row>
    <row r="38" spans="15:15" x14ac:dyDescent="0.25">
      <c r="O38" s="397"/>
    </row>
    <row r="39" spans="15:15" x14ac:dyDescent="0.25">
      <c r="O39" s="397"/>
    </row>
    <row r="40" spans="15:15" x14ac:dyDescent="0.25">
      <c r="O40" s="397"/>
    </row>
    <row r="41" spans="15:15" x14ac:dyDescent="0.25">
      <c r="O41" s="397"/>
    </row>
    <row r="42" spans="15:15" x14ac:dyDescent="0.25">
      <c r="O42" s="397"/>
    </row>
    <row r="43" spans="15:15" x14ac:dyDescent="0.25">
      <c r="O43" s="397"/>
    </row>
    <row r="44" spans="15:15" x14ac:dyDescent="0.25">
      <c r="O44" s="397"/>
    </row>
    <row r="45" spans="15:15" x14ac:dyDescent="0.25">
      <c r="O45" s="397"/>
    </row>
    <row r="46" spans="15:15" x14ac:dyDescent="0.25">
      <c r="O46" s="397"/>
    </row>
    <row r="47" spans="15:15" x14ac:dyDescent="0.25">
      <c r="O47" s="397"/>
    </row>
    <row r="48" spans="15:15" x14ac:dyDescent="0.25">
      <c r="O48" s="397"/>
    </row>
    <row r="49" spans="15:15" x14ac:dyDescent="0.25">
      <c r="O49" s="397"/>
    </row>
    <row r="50" spans="15:15" x14ac:dyDescent="0.25">
      <c r="O50" s="397"/>
    </row>
    <row r="51" spans="15:15" x14ac:dyDescent="0.25">
      <c r="O51" s="397"/>
    </row>
    <row r="52" spans="15:15" x14ac:dyDescent="0.25">
      <c r="O52" s="397"/>
    </row>
    <row r="53" spans="15:15" x14ac:dyDescent="0.25">
      <c r="O53" s="397"/>
    </row>
    <row r="54" spans="15:15" x14ac:dyDescent="0.25">
      <c r="O54" s="397"/>
    </row>
    <row r="55" spans="15:15" x14ac:dyDescent="0.25">
      <c r="O55" s="397"/>
    </row>
    <row r="56" spans="15:15" x14ac:dyDescent="0.25">
      <c r="O56" s="397"/>
    </row>
    <row r="57" spans="15:15" x14ac:dyDescent="0.25">
      <c r="O57" s="397"/>
    </row>
    <row r="58" spans="15:15" x14ac:dyDescent="0.25">
      <c r="O58" s="397"/>
    </row>
    <row r="59" spans="15:15" x14ac:dyDescent="0.25">
      <c r="O59" s="397"/>
    </row>
    <row r="60" spans="15:15" x14ac:dyDescent="0.25">
      <c r="O60" s="397"/>
    </row>
    <row r="61" spans="15:15" x14ac:dyDescent="0.25">
      <c r="O61" s="397"/>
    </row>
    <row r="62" spans="15:15" x14ac:dyDescent="0.25">
      <c r="O62" s="397"/>
    </row>
    <row r="63" spans="15:15" x14ac:dyDescent="0.25">
      <c r="O63" s="397"/>
    </row>
    <row r="64" spans="15:15" x14ac:dyDescent="0.25">
      <c r="O64" s="397"/>
    </row>
    <row r="65" spans="15:15" x14ac:dyDescent="0.25">
      <c r="O65" s="397"/>
    </row>
    <row r="66" spans="15:15" x14ac:dyDescent="0.25">
      <c r="O66" s="397"/>
    </row>
    <row r="67" spans="15:15" x14ac:dyDescent="0.25">
      <c r="O67" s="397"/>
    </row>
    <row r="68" spans="15:15" x14ac:dyDescent="0.25">
      <c r="O68" s="397"/>
    </row>
    <row r="69" spans="15:15" x14ac:dyDescent="0.25">
      <c r="O69" s="397"/>
    </row>
    <row r="70" spans="15:15" x14ac:dyDescent="0.25">
      <c r="O70" s="397"/>
    </row>
    <row r="71" spans="15:15" x14ac:dyDescent="0.25">
      <c r="O71" s="397"/>
    </row>
    <row r="72" spans="15:15" x14ac:dyDescent="0.25">
      <c r="O72" s="397"/>
    </row>
    <row r="73" spans="15:15" x14ac:dyDescent="0.25">
      <c r="O73" s="397"/>
    </row>
    <row r="74" spans="15:15" x14ac:dyDescent="0.25">
      <c r="O74" s="397"/>
    </row>
    <row r="75" spans="15:15" x14ac:dyDescent="0.25">
      <c r="O75" s="397"/>
    </row>
    <row r="76" spans="15:15" x14ac:dyDescent="0.25">
      <c r="O76" s="397"/>
    </row>
    <row r="77" spans="15:15" x14ac:dyDescent="0.25">
      <c r="O77" s="397"/>
    </row>
    <row r="78" spans="15:15" x14ac:dyDescent="0.25">
      <c r="O78" s="397"/>
    </row>
    <row r="79" spans="15:15" x14ac:dyDescent="0.25">
      <c r="O79" s="397"/>
    </row>
    <row r="80" spans="15:15" x14ac:dyDescent="0.25">
      <c r="O80" s="397"/>
    </row>
    <row r="81" spans="15:15" x14ac:dyDescent="0.25">
      <c r="O81" s="397"/>
    </row>
    <row r="82" spans="15:15" x14ac:dyDescent="0.25">
      <c r="O82" s="397"/>
    </row>
    <row r="83" spans="15:15" x14ac:dyDescent="0.25">
      <c r="O83" s="397"/>
    </row>
    <row r="84" spans="15:15" x14ac:dyDescent="0.25">
      <c r="O84" s="397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9"/>
  <sheetViews>
    <sheetView view="pageBreakPreview" zoomScale="85"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63" customWidth="1"/>
    <col min="5" max="5" width="26.3320312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5" ht="12.75" x14ac:dyDescent="0.2">
      <c r="A1" s="1338" t="str">
        <f>CONCATENATE("28. melléklet ",ALAPADATOK!A7," ",ALAPADATOK!B7," ",ALAPADATOK!C7," ",ALAPADATOK!D7," ",ALAPADATOK!E7," ",ALAPADATOK!F7," ",ALAPADATOK!G7," ",ALAPADATOK!H7)</f>
        <v>28. melléklet a .. / 2023. ( …... ) önkormányzati rendelethez</v>
      </c>
      <c r="B1" s="1338"/>
      <c r="C1" s="1338"/>
      <c r="D1" s="1338"/>
      <c r="E1" s="1338"/>
    </row>
    <row r="2" spans="1:5" ht="17.45" customHeight="1" x14ac:dyDescent="0.2">
      <c r="C2" s="227"/>
      <c r="D2" s="1339" t="s">
        <v>948</v>
      </c>
      <c r="E2" s="1339"/>
    </row>
    <row r="3" spans="1:5" ht="42" customHeight="1" x14ac:dyDescent="0.2">
      <c r="A3" s="1337" t="s">
        <v>1049</v>
      </c>
      <c r="B3" s="1337"/>
      <c r="C3" s="1337"/>
      <c r="D3" s="1337"/>
      <c r="E3" s="1337"/>
    </row>
    <row r="4" spans="1:5" ht="33" customHeight="1" thickBot="1" x14ac:dyDescent="0.3">
      <c r="C4" s="228"/>
      <c r="D4" s="702"/>
    </row>
    <row r="5" spans="1:5" ht="45" customHeight="1" thickBot="1" x14ac:dyDescent="0.25">
      <c r="A5" s="1068" t="s">
        <v>697</v>
      </c>
      <c r="B5" s="1060" t="s">
        <v>731</v>
      </c>
      <c r="C5" s="954" t="s">
        <v>689</v>
      </c>
      <c r="D5" s="955" t="s">
        <v>1007</v>
      </c>
      <c r="E5" s="955" t="s">
        <v>993</v>
      </c>
    </row>
    <row r="6" spans="1:5" x14ac:dyDescent="0.2">
      <c r="A6" s="1069" t="s">
        <v>16</v>
      </c>
      <c r="B6" s="731" t="s">
        <v>732</v>
      </c>
      <c r="C6" s="724" t="s">
        <v>364</v>
      </c>
      <c r="D6" s="862">
        <f>176680325+1334225</f>
        <v>178014550</v>
      </c>
      <c r="E6" s="862">
        <f>177516220+10772160</f>
        <v>188288380</v>
      </c>
    </row>
    <row r="7" spans="1:5" x14ac:dyDescent="0.2">
      <c r="A7" s="1070" t="s">
        <v>17</v>
      </c>
      <c r="B7" s="732" t="s">
        <v>733</v>
      </c>
      <c r="C7" s="730" t="s">
        <v>734</v>
      </c>
      <c r="D7" s="758">
        <f>19945800+633200</f>
        <v>20579000</v>
      </c>
      <c r="E7" s="758">
        <v>20430800</v>
      </c>
    </row>
    <row r="8" spans="1:5" x14ac:dyDescent="0.2">
      <c r="A8" s="1070" t="s">
        <v>18</v>
      </c>
      <c r="B8" s="732" t="s">
        <v>743</v>
      </c>
      <c r="C8" s="730" t="s">
        <v>735</v>
      </c>
      <c r="D8" s="758">
        <f>35440000+974600</f>
        <v>36414600</v>
      </c>
      <c r="E8" s="758">
        <v>36414600</v>
      </c>
    </row>
    <row r="9" spans="1:5" ht="15" customHeight="1" x14ac:dyDescent="0.2">
      <c r="A9" s="1070" t="s">
        <v>19</v>
      </c>
      <c r="B9" s="732" t="s">
        <v>742</v>
      </c>
      <c r="C9" s="730" t="s">
        <v>736</v>
      </c>
      <c r="D9" s="758">
        <f>7111416+752169</f>
        <v>7863585</v>
      </c>
      <c r="E9" s="758">
        <v>7863585</v>
      </c>
    </row>
    <row r="10" spans="1:5" x14ac:dyDescent="0.2">
      <c r="A10" s="1070" t="s">
        <v>20</v>
      </c>
      <c r="B10" s="732" t="s">
        <v>739</v>
      </c>
      <c r="C10" s="730" t="s">
        <v>737</v>
      </c>
      <c r="D10" s="758">
        <f>21392481+527775</f>
        <v>21920256</v>
      </c>
      <c r="E10" s="758">
        <v>21920255</v>
      </c>
    </row>
    <row r="11" spans="1:5" x14ac:dyDescent="0.2">
      <c r="A11" s="1070" t="s">
        <v>21</v>
      </c>
      <c r="B11" s="732" t="s">
        <v>740</v>
      </c>
      <c r="C11" s="730" t="s">
        <v>738</v>
      </c>
      <c r="D11" s="758">
        <f>35000100+1296300</f>
        <v>36296400</v>
      </c>
      <c r="E11" s="758">
        <v>36120000</v>
      </c>
    </row>
    <row r="12" spans="1:5" ht="17.45" customHeight="1" x14ac:dyDescent="0.2">
      <c r="A12" s="1070" t="s">
        <v>22</v>
      </c>
      <c r="B12" s="732" t="s">
        <v>741</v>
      </c>
      <c r="C12" s="730" t="s">
        <v>365</v>
      </c>
      <c r="D12" s="758">
        <f>140250+8250</f>
        <v>148500</v>
      </c>
      <c r="E12" s="758">
        <v>130050</v>
      </c>
    </row>
    <row r="13" spans="1:5" ht="17.45" customHeight="1" thickBot="1" x14ac:dyDescent="0.25">
      <c r="A13" s="1071" t="s">
        <v>23</v>
      </c>
      <c r="B13" s="735" t="s">
        <v>1028</v>
      </c>
      <c r="C13" s="737" t="s">
        <v>1029</v>
      </c>
      <c r="D13" s="759"/>
      <c r="E13" s="759">
        <v>134049057</v>
      </c>
    </row>
    <row r="14" spans="1:5" ht="32.25" thickBot="1" x14ac:dyDescent="0.25">
      <c r="A14" s="1072" t="s">
        <v>24</v>
      </c>
      <c r="B14" s="733" t="s">
        <v>85</v>
      </c>
      <c r="C14" s="722" t="s">
        <v>855</v>
      </c>
      <c r="D14" s="727">
        <f>SUM(D6:D13)</f>
        <v>301236891</v>
      </c>
      <c r="E14" s="727">
        <f>SUM(E6:E13)</f>
        <v>445216727</v>
      </c>
    </row>
    <row r="15" spans="1:5" x14ac:dyDescent="0.2">
      <c r="A15" s="1073" t="s">
        <v>25</v>
      </c>
      <c r="B15" s="1061" t="s">
        <v>744</v>
      </c>
      <c r="C15" s="740" t="s">
        <v>745</v>
      </c>
      <c r="D15" s="729">
        <f>37257000+6774000-440000-330000</f>
        <v>43261000</v>
      </c>
      <c r="E15" s="729">
        <f>42510000+2289000</f>
        <v>44799000</v>
      </c>
    </row>
    <row r="16" spans="1:5" x14ac:dyDescent="0.2">
      <c r="A16" s="1074" t="s">
        <v>26</v>
      </c>
      <c r="B16" s="1062" t="s">
        <v>746</v>
      </c>
      <c r="C16" s="741" t="s">
        <v>747</v>
      </c>
      <c r="D16" s="758">
        <f>142441950+11761020-972300-972300</f>
        <v>152258370</v>
      </c>
      <c r="E16" s="758">
        <f>152097810+20747021</f>
        <v>172844831</v>
      </c>
    </row>
    <row r="17" spans="1:5" ht="31.5" x14ac:dyDescent="0.2">
      <c r="A17" s="1074" t="s">
        <v>27</v>
      </c>
      <c r="B17" s="1062" t="s">
        <v>848</v>
      </c>
      <c r="C17" s="859" t="s">
        <v>748</v>
      </c>
      <c r="D17" s="758">
        <f>7344000+606730-1296000+792000+432000</f>
        <v>7878730</v>
      </c>
      <c r="E17" s="758">
        <f>8418420+833580</f>
        <v>9252000</v>
      </c>
    </row>
    <row r="18" spans="1:5" ht="31.5" x14ac:dyDescent="0.2">
      <c r="A18" s="1074" t="s">
        <v>28</v>
      </c>
      <c r="B18" s="1062" t="s">
        <v>849</v>
      </c>
      <c r="C18" s="859" t="s">
        <v>749</v>
      </c>
      <c r="D18" s="758">
        <f>8055000+664850-1611000+483300</f>
        <v>7592150</v>
      </c>
      <c r="E18" s="758">
        <f>5231910+522090</f>
        <v>5754000</v>
      </c>
    </row>
    <row r="19" spans="1:5" x14ac:dyDescent="0.2">
      <c r="A19" s="1074" t="s">
        <v>29</v>
      </c>
      <c r="B19" s="746" t="s">
        <v>751</v>
      </c>
      <c r="C19" s="741" t="s">
        <v>750</v>
      </c>
      <c r="D19" s="758">
        <f>70119000+11319000</f>
        <v>81438000</v>
      </c>
      <c r="E19" s="758">
        <f>70119000+11319000+11403000</f>
        <v>92841000</v>
      </c>
    </row>
    <row r="20" spans="1:5" ht="16.5" thickBot="1" x14ac:dyDescent="0.25">
      <c r="A20" s="1075" t="s">
        <v>30</v>
      </c>
      <c r="B20" s="1058" t="s">
        <v>960</v>
      </c>
      <c r="C20" s="738" t="s">
        <v>959</v>
      </c>
      <c r="D20" s="1122">
        <v>240000</v>
      </c>
      <c r="E20" s="1122">
        <v>0</v>
      </c>
    </row>
    <row r="21" spans="1:5" ht="32.25" thickBot="1" x14ac:dyDescent="0.25">
      <c r="A21" s="1072" t="s">
        <v>31</v>
      </c>
      <c r="B21" s="733" t="s">
        <v>86</v>
      </c>
      <c r="C21" s="722" t="s">
        <v>961</v>
      </c>
      <c r="D21" s="727">
        <f>SUM(D15:D20)</f>
        <v>292668250</v>
      </c>
      <c r="E21" s="727">
        <f>SUM(E15:E20)</f>
        <v>325490831</v>
      </c>
    </row>
    <row r="22" spans="1:5" ht="31.7" customHeight="1" thickBot="1" x14ac:dyDescent="0.25">
      <c r="A22" s="1076" t="s">
        <v>32</v>
      </c>
      <c r="B22" s="723" t="s">
        <v>753</v>
      </c>
      <c r="C22" s="739" t="s">
        <v>752</v>
      </c>
      <c r="D22" s="760">
        <v>114133484</v>
      </c>
      <c r="E22" s="760">
        <v>88579194</v>
      </c>
    </row>
    <row r="23" spans="1:5" x14ac:dyDescent="0.2">
      <c r="A23" s="1073" t="s">
        <v>33</v>
      </c>
      <c r="B23" s="1063" t="s">
        <v>756</v>
      </c>
      <c r="C23" s="740" t="s">
        <v>754</v>
      </c>
      <c r="D23" s="729">
        <f>6859904+1346400</f>
        <v>8206304</v>
      </c>
      <c r="E23" s="729">
        <f>6859904+1346400+1278496</f>
        <v>9484800</v>
      </c>
    </row>
    <row r="24" spans="1:5" x14ac:dyDescent="0.2">
      <c r="A24" s="1074" t="s">
        <v>34</v>
      </c>
      <c r="B24" s="746" t="s">
        <v>757</v>
      </c>
      <c r="C24" s="741" t="s">
        <v>755</v>
      </c>
      <c r="D24" s="758">
        <f>23958474+6074140</f>
        <v>30032614</v>
      </c>
      <c r="E24" s="758">
        <f>23958474+6074140+5991246</f>
        <v>36023860</v>
      </c>
    </row>
    <row r="25" spans="1:5" x14ac:dyDescent="0.2">
      <c r="A25" s="1074" t="s">
        <v>35</v>
      </c>
      <c r="B25" s="746" t="s">
        <v>759</v>
      </c>
      <c r="C25" s="741" t="s">
        <v>758</v>
      </c>
      <c r="D25" s="758">
        <f>4068600+360000</f>
        <v>4428600</v>
      </c>
      <c r="E25" s="758">
        <f>4068600+360000+348000</f>
        <v>4776600</v>
      </c>
    </row>
    <row r="26" spans="1:5" x14ac:dyDescent="0.2">
      <c r="A26" s="1074" t="s">
        <v>36</v>
      </c>
      <c r="B26" s="746" t="s">
        <v>762</v>
      </c>
      <c r="C26" s="741" t="s">
        <v>760</v>
      </c>
      <c r="D26" s="758">
        <f>25000-25000</f>
        <v>0</v>
      </c>
      <c r="E26" s="758">
        <f>25000-25000</f>
        <v>0</v>
      </c>
    </row>
    <row r="27" spans="1:5" x14ac:dyDescent="0.2">
      <c r="A27" s="1074" t="s">
        <v>37</v>
      </c>
      <c r="B27" s="746" t="s">
        <v>763</v>
      </c>
      <c r="C27" s="741" t="s">
        <v>761</v>
      </c>
      <c r="D27" s="758">
        <f>25535710+5494000+762260-762260</f>
        <v>31029710</v>
      </c>
      <c r="E27" s="758">
        <f>31955970+5097030</f>
        <v>37053000</v>
      </c>
    </row>
    <row r="28" spans="1:5" x14ac:dyDescent="0.2">
      <c r="A28" s="1074" t="s">
        <v>38</v>
      </c>
      <c r="B28" s="746" t="s">
        <v>850</v>
      </c>
      <c r="C28" s="741" t="s">
        <v>851</v>
      </c>
      <c r="D28" s="758">
        <f>4590600+551700</f>
        <v>5142300</v>
      </c>
      <c r="E28" s="758">
        <f>4590600+551700+469900</f>
        <v>5612200</v>
      </c>
    </row>
    <row r="29" spans="1:5" x14ac:dyDescent="0.2">
      <c r="A29" s="1074" t="s">
        <v>39</v>
      </c>
      <c r="B29" s="746" t="s">
        <v>765</v>
      </c>
      <c r="C29" s="741" t="s">
        <v>764</v>
      </c>
      <c r="D29" s="758">
        <f>3610080+912000+451260-225630</f>
        <v>4747710</v>
      </c>
      <c r="E29" s="758">
        <f>4804710+612000</f>
        <v>5416710</v>
      </c>
    </row>
    <row r="30" spans="1:5" x14ac:dyDescent="0.2">
      <c r="A30" s="1074" t="s">
        <v>40</v>
      </c>
      <c r="B30" s="746" t="s">
        <v>766</v>
      </c>
      <c r="C30" s="741" t="s">
        <v>776</v>
      </c>
      <c r="D30" s="758">
        <v>3000000</v>
      </c>
      <c r="E30" s="758">
        <v>3000000</v>
      </c>
    </row>
    <row r="31" spans="1:5" x14ac:dyDescent="0.2">
      <c r="A31" s="1074" t="s">
        <v>41</v>
      </c>
      <c r="B31" s="746" t="s">
        <v>767</v>
      </c>
      <c r="C31" s="741" t="s">
        <v>777</v>
      </c>
      <c r="D31" s="758">
        <f>20308890+3489500+1225110</f>
        <v>25023500</v>
      </c>
      <c r="E31" s="758">
        <f>28985000+3485000</f>
        <v>32470000</v>
      </c>
    </row>
    <row r="32" spans="1:5" x14ac:dyDescent="0.2">
      <c r="A32" s="1074" t="s">
        <v>42</v>
      </c>
      <c r="B32" s="746" t="s">
        <v>806</v>
      </c>
      <c r="C32" s="741" t="s">
        <v>805</v>
      </c>
      <c r="D32" s="758">
        <v>131717161</v>
      </c>
      <c r="E32" s="758">
        <f>48166205+101177034</f>
        <v>149343239</v>
      </c>
    </row>
    <row r="33" spans="1:5" ht="16.5" thickBot="1" x14ac:dyDescent="0.25">
      <c r="A33" s="1077" t="s">
        <v>43</v>
      </c>
      <c r="B33" s="755" t="s">
        <v>809</v>
      </c>
      <c r="C33" s="751" t="s">
        <v>810</v>
      </c>
      <c r="D33" s="761">
        <v>15968312</v>
      </c>
      <c r="E33" s="761">
        <f>15488076+1943000</f>
        <v>17431076</v>
      </c>
    </row>
    <row r="34" spans="1:5" ht="32.25" thickBot="1" x14ac:dyDescent="0.25">
      <c r="A34" s="1078" t="s">
        <v>715</v>
      </c>
      <c r="B34" s="734" t="s">
        <v>853</v>
      </c>
      <c r="C34" s="722" t="s">
        <v>963</v>
      </c>
      <c r="D34" s="725">
        <f>SUM(D23:D33)</f>
        <v>259296211</v>
      </c>
      <c r="E34" s="725">
        <f>SUM(E23:E33)</f>
        <v>300611485</v>
      </c>
    </row>
    <row r="35" spans="1:5" x14ac:dyDescent="0.2">
      <c r="A35" s="1079" t="s">
        <v>785</v>
      </c>
      <c r="B35" s="1064" t="s">
        <v>771</v>
      </c>
      <c r="C35" s="747" t="s">
        <v>768</v>
      </c>
      <c r="D35" s="1123">
        <f>35700000+13234900-5100000</f>
        <v>43834900</v>
      </c>
      <c r="E35" s="1123">
        <f>55925600+4561600</f>
        <v>60487200</v>
      </c>
    </row>
    <row r="36" spans="1:5" ht="31.5" x14ac:dyDescent="0.2">
      <c r="A36" s="1079" t="s">
        <v>786</v>
      </c>
      <c r="B36" s="1064" t="s">
        <v>772</v>
      </c>
      <c r="C36" s="747" t="s">
        <v>769</v>
      </c>
      <c r="D36" s="1124">
        <f>34080000+9544000+17040000</f>
        <v>60664000</v>
      </c>
      <c r="E36" s="1124">
        <f>53439400+8067360</f>
        <v>61506760</v>
      </c>
    </row>
    <row r="37" spans="1:5" ht="16.5" thickBot="1" x14ac:dyDescent="0.25">
      <c r="A37" s="1080" t="s">
        <v>787</v>
      </c>
      <c r="B37" s="1065" t="s">
        <v>773</v>
      </c>
      <c r="C37" s="748" t="s">
        <v>770</v>
      </c>
      <c r="D37" s="1124">
        <f>12275000-12275000+9030000</f>
        <v>9030000</v>
      </c>
      <c r="E37" s="1124">
        <v>14468000</v>
      </c>
    </row>
    <row r="38" spans="1:5" ht="16.5" thickBot="1" x14ac:dyDescent="0.25">
      <c r="A38" s="1078" t="s">
        <v>794</v>
      </c>
      <c r="B38" s="734" t="s">
        <v>774</v>
      </c>
      <c r="C38" s="749" t="s">
        <v>775</v>
      </c>
      <c r="D38" s="725">
        <f>SUM(D35:D37)</f>
        <v>113528900</v>
      </c>
      <c r="E38" s="725">
        <f>SUM(E35:E37)</f>
        <v>136461960</v>
      </c>
    </row>
    <row r="39" spans="1:5" x14ac:dyDescent="0.2">
      <c r="A39" s="1069" t="s">
        <v>795</v>
      </c>
      <c r="B39" s="731" t="s">
        <v>778</v>
      </c>
      <c r="C39" s="750" t="s">
        <v>782</v>
      </c>
      <c r="D39" s="862">
        <f>157500000+32896500</f>
        <v>190396500</v>
      </c>
      <c r="E39" s="862">
        <f>157500000+32896500+33600000</f>
        <v>223996500</v>
      </c>
    </row>
    <row r="40" spans="1:5" ht="16.5" thickBot="1" x14ac:dyDescent="0.25">
      <c r="A40" s="1071" t="s">
        <v>796</v>
      </c>
      <c r="B40" s="735" t="s">
        <v>779</v>
      </c>
      <c r="C40" s="751" t="s">
        <v>781</v>
      </c>
      <c r="D40" s="1125">
        <f>50534000+15394000+17106000</f>
        <v>83034000</v>
      </c>
      <c r="E40" s="1125">
        <f>50534000+15394000+17106000</f>
        <v>83034000</v>
      </c>
    </row>
    <row r="41" spans="1:5" ht="30.2" customHeight="1" thickBot="1" x14ac:dyDescent="0.25">
      <c r="A41" s="1081" t="s">
        <v>797</v>
      </c>
      <c r="B41" s="736" t="s">
        <v>780</v>
      </c>
      <c r="C41" s="752" t="s">
        <v>784</v>
      </c>
      <c r="D41" s="760">
        <f>SUM(D39:D40)</f>
        <v>273430500</v>
      </c>
      <c r="E41" s="760">
        <f>SUM(E39:E40)</f>
        <v>307030500</v>
      </c>
    </row>
    <row r="42" spans="1:5" ht="32.25" thickBot="1" x14ac:dyDescent="0.25">
      <c r="A42" s="1072" t="s">
        <v>799</v>
      </c>
      <c r="B42" s="733" t="s">
        <v>783</v>
      </c>
      <c r="C42" s="726" t="s">
        <v>964</v>
      </c>
      <c r="D42" s="727">
        <f>D22+D34+D38+D41</f>
        <v>760389095</v>
      </c>
      <c r="E42" s="727">
        <f>E22+E34+E38+E41</f>
        <v>832683139</v>
      </c>
    </row>
    <row r="43" spans="1:5" x14ac:dyDescent="0.2">
      <c r="A43" s="1082" t="s">
        <v>800</v>
      </c>
      <c r="B43" s="754" t="s">
        <v>788</v>
      </c>
      <c r="C43" s="728" t="s">
        <v>793</v>
      </c>
      <c r="D43" s="729">
        <f>80024340+8464491-927960-122100</f>
        <v>87438771</v>
      </c>
      <c r="E43" s="729">
        <f>85086453+8214657</f>
        <v>93301110</v>
      </c>
    </row>
    <row r="44" spans="1:5" x14ac:dyDescent="0.2">
      <c r="A44" s="1079" t="s">
        <v>802</v>
      </c>
      <c r="B44" s="1064" t="s">
        <v>789</v>
      </c>
      <c r="C44" s="747" t="s">
        <v>792</v>
      </c>
      <c r="D44" s="758">
        <f>130235998+9943669-2524782+35651405</f>
        <v>173306290</v>
      </c>
      <c r="E44" s="758">
        <v>176114785</v>
      </c>
    </row>
    <row r="45" spans="1:5" ht="16.5" thickBot="1" x14ac:dyDescent="0.25">
      <c r="A45" s="1083" t="s">
        <v>811</v>
      </c>
      <c r="B45" s="1066" t="s">
        <v>790</v>
      </c>
      <c r="C45" s="748" t="s">
        <v>791</v>
      </c>
      <c r="D45" s="1126">
        <f>52279830-95418-7025535</f>
        <v>45158877</v>
      </c>
      <c r="E45" s="1126">
        <v>48338280</v>
      </c>
    </row>
    <row r="46" spans="1:5" ht="32.25" thickBot="1" x14ac:dyDescent="0.25">
      <c r="A46" s="1072" t="s">
        <v>812</v>
      </c>
      <c r="B46" s="733" t="s">
        <v>88</v>
      </c>
      <c r="C46" s="753" t="s">
        <v>965</v>
      </c>
      <c r="D46" s="727">
        <f>SUM(D43:D45)</f>
        <v>305903938</v>
      </c>
      <c r="E46" s="727">
        <f>SUM(E43:E45)</f>
        <v>317754175</v>
      </c>
    </row>
    <row r="47" spans="1:5" ht="31.5" x14ac:dyDescent="0.2">
      <c r="A47" s="1069" t="s">
        <v>854</v>
      </c>
      <c r="B47" s="731" t="s">
        <v>798</v>
      </c>
      <c r="C47" s="756" t="s">
        <v>801</v>
      </c>
      <c r="D47" s="863">
        <v>28687119</v>
      </c>
      <c r="E47" s="863">
        <v>28547700</v>
      </c>
    </row>
    <row r="48" spans="1:5" x14ac:dyDescent="0.2">
      <c r="A48" s="1399" t="s">
        <v>813</v>
      </c>
      <c r="B48" s="1400" t="s">
        <v>1070</v>
      </c>
      <c r="C48" s="1401" t="s">
        <v>1071</v>
      </c>
      <c r="D48" s="729"/>
      <c r="E48" s="729">
        <v>4812000</v>
      </c>
    </row>
    <row r="49" spans="1:6" x14ac:dyDescent="0.2">
      <c r="A49" s="1084" t="s">
        <v>814</v>
      </c>
      <c r="B49" s="1067" t="s">
        <v>807</v>
      </c>
      <c r="C49" s="856" t="s">
        <v>808</v>
      </c>
      <c r="D49" s="857">
        <v>12600000</v>
      </c>
      <c r="E49" s="857">
        <v>12600000</v>
      </c>
    </row>
    <row r="50" spans="1:6" x14ac:dyDescent="0.2">
      <c r="A50" s="1070" t="s">
        <v>839</v>
      </c>
      <c r="B50" s="732" t="s">
        <v>840</v>
      </c>
      <c r="C50" s="1132" t="s">
        <v>841</v>
      </c>
      <c r="D50" s="758">
        <v>1055000</v>
      </c>
      <c r="E50" s="758">
        <v>0</v>
      </c>
    </row>
    <row r="51" spans="1:6" ht="16.5" thickBot="1" x14ac:dyDescent="0.25">
      <c r="A51" s="1071" t="s">
        <v>852</v>
      </c>
      <c r="B51" s="735" t="s">
        <v>1004</v>
      </c>
      <c r="C51" s="858" t="s">
        <v>1005</v>
      </c>
      <c r="D51" s="759">
        <v>0</v>
      </c>
      <c r="E51" s="759">
        <v>13275647</v>
      </c>
    </row>
    <row r="52" spans="1:6" ht="32.25" thickBot="1" x14ac:dyDescent="0.25">
      <c r="A52" s="1072" t="s">
        <v>962</v>
      </c>
      <c r="B52" s="733" t="s">
        <v>111</v>
      </c>
      <c r="C52" s="753" t="s">
        <v>1067</v>
      </c>
      <c r="D52" s="727">
        <f>SUM(D47:D51)</f>
        <v>42342119</v>
      </c>
      <c r="E52" s="727">
        <f>SUM(E47:E51)</f>
        <v>59235347</v>
      </c>
    </row>
    <row r="53" spans="1:6" ht="20.25" customHeight="1" thickBot="1" x14ac:dyDescent="0.25">
      <c r="A53" s="1072" t="s">
        <v>1006</v>
      </c>
      <c r="B53" s="733" t="s">
        <v>803</v>
      </c>
      <c r="C53" s="757" t="s">
        <v>804</v>
      </c>
      <c r="D53" s="727">
        <v>-5091319</v>
      </c>
      <c r="E53" s="727">
        <v>-19789124</v>
      </c>
    </row>
    <row r="54" spans="1:6" ht="16.5" thickBot="1" x14ac:dyDescent="0.25">
      <c r="A54" s="1059" t="s">
        <v>1068</v>
      </c>
      <c r="B54" s="1335" t="s">
        <v>1069</v>
      </c>
      <c r="C54" s="1336"/>
      <c r="D54" s="762">
        <f>D14+D21+D42+D46+D52+D53</f>
        <v>1697448974</v>
      </c>
      <c r="E54" s="762">
        <f>E14+E21+E42+E46+E52+E53</f>
        <v>1960591095</v>
      </c>
      <c r="F54" s="245"/>
    </row>
    <row r="56" spans="1:6" x14ac:dyDescent="0.25">
      <c r="B56" s="743"/>
      <c r="C56" s="742"/>
    </row>
    <row r="57" spans="1:6" x14ac:dyDescent="0.25">
      <c r="B57" s="743"/>
      <c r="C57" s="742"/>
    </row>
    <row r="58" spans="1:6" x14ac:dyDescent="0.25">
      <c r="B58" s="744"/>
      <c r="C58" s="745"/>
    </row>
    <row r="59" spans="1:6" x14ac:dyDescent="0.25">
      <c r="B59" s="743"/>
      <c r="C59" s="742"/>
    </row>
  </sheetData>
  <mergeCells count="4">
    <mergeCell ref="B54:C54"/>
    <mergeCell ref="A3:E3"/>
    <mergeCell ref="A1:E1"/>
    <mergeCell ref="D2:E2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39"/>
  <sheetViews>
    <sheetView zoomScale="130" zoomScaleNormal="130" zoomScaleSheetLayoutView="130" workbookViewId="0">
      <selection activeCell="A2" sqref="A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272" t="str">
        <f>CONCATENATE("29. melléklet ",ALAPADATOK!A7," ",ALAPADATOK!B7," ",ALAPADATOK!C7," ",ALAPADATOK!D7," ",ALAPADATOK!E7," ",ALAPADATOK!F7," ",ALAPADATOK!G7," ",ALAPADATOK!H7)</f>
        <v>29. melléklet a .. / 2023. ( …... ) önkormányzati rendelethez</v>
      </c>
      <c r="B1" s="1272"/>
      <c r="C1" s="1272"/>
      <c r="D1" s="1272"/>
    </row>
    <row r="2" spans="1:4" x14ac:dyDescent="0.2">
      <c r="D2" s="1045" t="s">
        <v>949</v>
      </c>
    </row>
    <row r="3" spans="1:4" ht="45" customHeight="1" x14ac:dyDescent="0.25">
      <c r="A3" s="1340" t="s">
        <v>994</v>
      </c>
      <c r="B3" s="1340"/>
      <c r="C3" s="1340"/>
      <c r="D3" s="1340"/>
    </row>
    <row r="4" spans="1:4" ht="17.45" customHeight="1" x14ac:dyDescent="0.25">
      <c r="A4" s="660"/>
      <c r="B4" s="660"/>
      <c r="C4" s="660"/>
      <c r="D4" s="532"/>
    </row>
    <row r="5" spans="1:4" ht="13.5" thickBot="1" x14ac:dyDescent="0.25">
      <c r="C5" s="1341"/>
      <c r="D5" s="1341"/>
    </row>
    <row r="6" spans="1:4" ht="42.75" customHeight="1" thickBot="1" x14ac:dyDescent="0.25">
      <c r="A6" s="1035" t="s">
        <v>697</v>
      </c>
      <c r="B6" s="533" t="s">
        <v>107</v>
      </c>
      <c r="C6" s="533" t="s">
        <v>108</v>
      </c>
      <c r="D6" s="956" t="s">
        <v>898</v>
      </c>
    </row>
    <row r="7" spans="1:4" ht="15.95" customHeight="1" x14ac:dyDescent="0.2">
      <c r="A7" s="1038" t="s">
        <v>16</v>
      </c>
      <c r="B7" s="1036" t="s">
        <v>366</v>
      </c>
      <c r="C7" s="947" t="s">
        <v>367</v>
      </c>
      <c r="D7" s="948">
        <v>7000000</v>
      </c>
    </row>
    <row r="8" spans="1:4" ht="15.95" customHeight="1" x14ac:dyDescent="0.2">
      <c r="A8" s="1039" t="s">
        <v>17</v>
      </c>
      <c r="B8" s="1037" t="s">
        <v>1008</v>
      </c>
      <c r="C8" s="24" t="s">
        <v>367</v>
      </c>
      <c r="D8" s="866">
        <v>3000000</v>
      </c>
    </row>
    <row r="9" spans="1:4" ht="15.95" customHeight="1" x14ac:dyDescent="0.2">
      <c r="A9" s="1039" t="s">
        <v>18</v>
      </c>
      <c r="B9" s="1037" t="s">
        <v>1009</v>
      </c>
      <c r="C9" s="24" t="s">
        <v>367</v>
      </c>
      <c r="D9" s="866">
        <v>1200000</v>
      </c>
    </row>
    <row r="10" spans="1:4" ht="15.95" customHeight="1" x14ac:dyDescent="0.2">
      <c r="A10" s="1039" t="s">
        <v>19</v>
      </c>
      <c r="B10" s="1037" t="s">
        <v>1010</v>
      </c>
      <c r="C10" s="24" t="s">
        <v>367</v>
      </c>
      <c r="D10" s="866">
        <v>8500000</v>
      </c>
    </row>
    <row r="11" spans="1:4" ht="15.95" customHeight="1" x14ac:dyDescent="0.2">
      <c r="A11" s="1039" t="s">
        <v>20</v>
      </c>
      <c r="B11" s="1037" t="s">
        <v>368</v>
      </c>
      <c r="C11" s="24" t="s">
        <v>367</v>
      </c>
      <c r="D11" s="866">
        <v>400000</v>
      </c>
    </row>
    <row r="12" spans="1:4" ht="15.95" customHeight="1" x14ac:dyDescent="0.2">
      <c r="A12" s="1039" t="s">
        <v>21</v>
      </c>
      <c r="B12" s="1037" t="s">
        <v>1011</v>
      </c>
      <c r="C12" s="24" t="s">
        <v>367</v>
      </c>
      <c r="D12" s="866">
        <v>1200000</v>
      </c>
    </row>
    <row r="13" spans="1:4" ht="15.95" customHeight="1" x14ac:dyDescent="0.2">
      <c r="A13" s="1039" t="s">
        <v>22</v>
      </c>
      <c r="B13" s="1037" t="s">
        <v>1012</v>
      </c>
      <c r="C13" s="24" t="s">
        <v>367</v>
      </c>
      <c r="D13" s="866">
        <v>300000</v>
      </c>
    </row>
    <row r="14" spans="1:4" ht="15.95" customHeight="1" x14ac:dyDescent="0.2">
      <c r="A14" s="1039" t="s">
        <v>23</v>
      </c>
      <c r="B14" s="1037" t="s">
        <v>1013</v>
      </c>
      <c r="C14" s="24" t="s">
        <v>367</v>
      </c>
      <c r="D14" s="866">
        <v>150000</v>
      </c>
    </row>
    <row r="15" spans="1:4" ht="15.95" customHeight="1" x14ac:dyDescent="0.2">
      <c r="A15" s="1039" t="s">
        <v>24</v>
      </c>
      <c r="B15" s="1037" t="s">
        <v>1014</v>
      </c>
      <c r="C15" s="24" t="s">
        <v>367</v>
      </c>
      <c r="D15" s="866">
        <v>150000</v>
      </c>
    </row>
    <row r="16" spans="1:4" ht="15.95" customHeight="1" x14ac:dyDescent="0.2">
      <c r="A16" s="1039" t="s">
        <v>25</v>
      </c>
      <c r="B16" s="1037" t="s">
        <v>1015</v>
      </c>
      <c r="C16" s="24" t="s">
        <v>367</v>
      </c>
      <c r="D16" s="866">
        <v>150000</v>
      </c>
    </row>
    <row r="17" spans="1:4" ht="15.95" customHeight="1" x14ac:dyDescent="0.2">
      <c r="A17" s="1039" t="s">
        <v>26</v>
      </c>
      <c r="B17" s="1037" t="s">
        <v>1016</v>
      </c>
      <c r="C17" s="24" t="s">
        <v>367</v>
      </c>
      <c r="D17" s="866">
        <v>150000</v>
      </c>
    </row>
    <row r="18" spans="1:4" ht="15.95" customHeight="1" x14ac:dyDescent="0.2">
      <c r="A18" s="1039" t="s">
        <v>27</v>
      </c>
      <c r="B18" s="1037" t="s">
        <v>1017</v>
      </c>
      <c r="C18" s="24" t="s">
        <v>367</v>
      </c>
      <c r="D18" s="866">
        <v>150000</v>
      </c>
    </row>
    <row r="19" spans="1:4" ht="15.95" customHeight="1" x14ac:dyDescent="0.2">
      <c r="A19" s="1039" t="s">
        <v>28</v>
      </c>
      <c r="B19" s="1037" t="s">
        <v>1018</v>
      </c>
      <c r="C19" s="24" t="s">
        <v>367</v>
      </c>
      <c r="D19" s="866">
        <v>150000</v>
      </c>
    </row>
    <row r="20" spans="1:4" ht="15.95" customHeight="1" x14ac:dyDescent="0.2">
      <c r="A20" s="1039" t="s">
        <v>29</v>
      </c>
      <c r="B20" s="1037" t="s">
        <v>1019</v>
      </c>
      <c r="C20" s="24" t="s">
        <v>367</v>
      </c>
      <c r="D20" s="866">
        <v>150000</v>
      </c>
    </row>
    <row r="21" spans="1:4" ht="15.95" customHeight="1" x14ac:dyDescent="0.2">
      <c r="A21" s="1039" t="s">
        <v>30</v>
      </c>
      <c r="B21" s="1037" t="s">
        <v>1020</v>
      </c>
      <c r="C21" s="24" t="s">
        <v>367</v>
      </c>
      <c r="D21" s="866">
        <v>150000</v>
      </c>
    </row>
    <row r="22" spans="1:4" ht="15.95" customHeight="1" x14ac:dyDescent="0.2">
      <c r="A22" s="1039" t="s">
        <v>31</v>
      </c>
      <c r="B22" s="1037" t="s">
        <v>1021</v>
      </c>
      <c r="C22" s="24" t="s">
        <v>367</v>
      </c>
      <c r="D22" s="866">
        <v>150000</v>
      </c>
    </row>
    <row r="23" spans="1:4" ht="15.95" customHeight="1" x14ac:dyDescent="0.2">
      <c r="A23" s="1039" t="s">
        <v>32</v>
      </c>
      <c r="B23" s="1037" t="s">
        <v>1022</v>
      </c>
      <c r="C23" s="24" t="s">
        <v>367</v>
      </c>
      <c r="D23" s="866">
        <v>150000</v>
      </c>
    </row>
    <row r="24" spans="1:4" ht="15.95" customHeight="1" x14ac:dyDescent="0.2">
      <c r="A24" s="1039" t="s">
        <v>33</v>
      </c>
      <c r="B24" s="1037" t="s">
        <v>1023</v>
      </c>
      <c r="C24" s="24" t="s">
        <v>367</v>
      </c>
      <c r="D24" s="866">
        <v>150000</v>
      </c>
    </row>
    <row r="25" spans="1:4" ht="15.95" customHeight="1" x14ac:dyDescent="0.2">
      <c r="A25" s="1039" t="s">
        <v>34</v>
      </c>
      <c r="B25" s="1037" t="s">
        <v>1024</v>
      </c>
      <c r="C25" s="24" t="s">
        <v>367</v>
      </c>
      <c r="D25" s="866">
        <v>150000</v>
      </c>
    </row>
    <row r="26" spans="1:4" ht="15.95" customHeight="1" x14ac:dyDescent="0.2">
      <c r="A26" s="1039" t="s">
        <v>35</v>
      </c>
      <c r="B26" s="1037" t="s">
        <v>1025</v>
      </c>
      <c r="C26" s="24" t="s">
        <v>367</v>
      </c>
      <c r="D26" s="866">
        <v>150000</v>
      </c>
    </row>
    <row r="27" spans="1:4" ht="15.95" customHeight="1" x14ac:dyDescent="0.2">
      <c r="A27" s="1039" t="s">
        <v>36</v>
      </c>
      <c r="B27" s="1037" t="s">
        <v>1026</v>
      </c>
      <c r="C27" s="24" t="s">
        <v>367</v>
      </c>
      <c r="D27" s="866">
        <v>150000</v>
      </c>
    </row>
    <row r="28" spans="1:4" ht="15.95" customHeight="1" x14ac:dyDescent="0.2">
      <c r="A28" s="1039" t="s">
        <v>37</v>
      </c>
      <c r="B28" s="1037" t="s">
        <v>1027</v>
      </c>
      <c r="C28" s="24" t="s">
        <v>367</v>
      </c>
      <c r="D28" s="866">
        <v>150000</v>
      </c>
    </row>
    <row r="29" spans="1:4" ht="15.95" customHeight="1" x14ac:dyDescent="0.2">
      <c r="A29" s="1039" t="s">
        <v>38</v>
      </c>
      <c r="B29" s="1037" t="s">
        <v>369</v>
      </c>
      <c r="C29" s="619" t="s">
        <v>367</v>
      </c>
      <c r="D29" s="1405">
        <v>800000</v>
      </c>
    </row>
    <row r="30" spans="1:4" ht="15.95" customHeight="1" x14ac:dyDescent="0.2">
      <c r="A30" s="1039" t="s">
        <v>39</v>
      </c>
      <c r="B30" s="1403" t="s">
        <v>369</v>
      </c>
      <c r="C30" s="1404" t="s">
        <v>370</v>
      </c>
      <c r="D30" s="1405">
        <v>200000</v>
      </c>
    </row>
    <row r="31" spans="1:4" ht="15.95" customHeight="1" x14ac:dyDescent="0.2">
      <c r="A31" s="1039" t="s">
        <v>40</v>
      </c>
      <c r="B31" s="1037" t="s">
        <v>935</v>
      </c>
      <c r="C31" s="619" t="s">
        <v>367</v>
      </c>
      <c r="D31" s="866">
        <v>2090159</v>
      </c>
    </row>
    <row r="32" spans="1:4" ht="15.95" customHeight="1" x14ac:dyDescent="0.2">
      <c r="A32" s="1039" t="s">
        <v>41</v>
      </c>
      <c r="B32" s="1037" t="s">
        <v>935</v>
      </c>
      <c r="C32" s="619" t="s">
        <v>370</v>
      </c>
      <c r="D32" s="866">
        <f>1423277+577815</f>
        <v>2001092</v>
      </c>
    </row>
    <row r="33" spans="1:4" ht="15.95" customHeight="1" x14ac:dyDescent="0.2">
      <c r="A33" s="1039" t="s">
        <v>42</v>
      </c>
      <c r="B33" s="1037" t="s">
        <v>501</v>
      </c>
      <c r="C33" s="619" t="s">
        <v>367</v>
      </c>
      <c r="D33" s="866">
        <v>136000000</v>
      </c>
    </row>
    <row r="34" spans="1:4" ht="15.95" customHeight="1" x14ac:dyDescent="0.2">
      <c r="A34" s="1039" t="s">
        <v>43</v>
      </c>
      <c r="B34" s="1037" t="s">
        <v>503</v>
      </c>
      <c r="C34" s="619" t="s">
        <v>367</v>
      </c>
      <c r="D34" s="866">
        <v>500000</v>
      </c>
    </row>
    <row r="35" spans="1:4" ht="15.95" customHeight="1" x14ac:dyDescent="0.2">
      <c r="A35" s="1402" t="s">
        <v>715</v>
      </c>
      <c r="B35" s="1403" t="s">
        <v>1072</v>
      </c>
      <c r="C35" s="1404" t="s">
        <v>367</v>
      </c>
      <c r="D35" s="1405">
        <v>4800000</v>
      </c>
    </row>
    <row r="36" spans="1:4" ht="15.95" customHeight="1" x14ac:dyDescent="0.2">
      <c r="A36" s="1402" t="s">
        <v>785</v>
      </c>
      <c r="B36" s="1403" t="s">
        <v>1072</v>
      </c>
      <c r="C36" s="1404" t="s">
        <v>370</v>
      </c>
      <c r="D36" s="1405">
        <v>2405350</v>
      </c>
    </row>
    <row r="37" spans="1:4" ht="15.95" customHeight="1" x14ac:dyDescent="0.2">
      <c r="A37" s="1039" t="s">
        <v>786</v>
      </c>
      <c r="B37" s="1037" t="s">
        <v>578</v>
      </c>
      <c r="C37" s="619" t="s">
        <v>367</v>
      </c>
      <c r="D37" s="866">
        <v>10330380</v>
      </c>
    </row>
    <row r="38" spans="1:4" ht="15.95" customHeight="1" thickBot="1" x14ac:dyDescent="0.25">
      <c r="A38" s="1039" t="s">
        <v>787</v>
      </c>
      <c r="B38" s="1037" t="s">
        <v>1030</v>
      </c>
      <c r="C38" s="619" t="s">
        <v>367</v>
      </c>
      <c r="D38" s="866">
        <v>201060</v>
      </c>
    </row>
    <row r="39" spans="1:4" ht="15.95" customHeight="1" thickBot="1" x14ac:dyDescent="0.25">
      <c r="A39" s="1051" t="s">
        <v>794</v>
      </c>
      <c r="B39" s="1342" t="s">
        <v>1073</v>
      </c>
      <c r="C39" s="1343"/>
      <c r="D39" s="867">
        <f>SUM(D7:D38)</f>
        <v>183178041</v>
      </c>
    </row>
  </sheetData>
  <mergeCells count="4">
    <mergeCell ref="A1:D1"/>
    <mergeCell ref="A3:D3"/>
    <mergeCell ref="C5:D5"/>
    <mergeCell ref="B39:C3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7"/>
  <sheetViews>
    <sheetView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8.83203125" style="638" customWidth="1"/>
    <col min="2" max="2" width="42.33203125" style="638" customWidth="1"/>
    <col min="3" max="3" width="15.5" style="287" bestFit="1" customWidth="1"/>
    <col min="4" max="4" width="15.1640625" style="287" bestFit="1" customWidth="1"/>
    <col min="5" max="5" width="14.83203125" style="287" customWidth="1"/>
    <col min="6" max="7" width="15.1640625" style="287" bestFit="1" customWidth="1"/>
    <col min="8" max="8" width="15.5" style="545" bestFit="1" customWidth="1"/>
    <col min="9" max="10" width="15.1640625" style="638" bestFit="1" customWidth="1"/>
    <col min="11" max="11" width="15.33203125" style="638" bestFit="1" customWidth="1"/>
    <col min="12" max="12" width="15.1640625" style="638" bestFit="1" customWidth="1"/>
    <col min="13" max="13" width="13.6640625" style="638" bestFit="1" customWidth="1"/>
    <col min="14" max="14" width="15.6640625" style="288" bestFit="1" customWidth="1"/>
    <col min="15" max="15" width="15.1640625" style="638" customWidth="1"/>
    <col min="16" max="16384" width="10.6640625" style="638"/>
  </cols>
  <sheetData>
    <row r="1" spans="1:193" x14ac:dyDescent="0.2">
      <c r="A1" s="1344" t="str">
        <f>CONCATENATE("30. melléklet ",ALAPADATOK!A7," ",ALAPADATOK!B7," ",ALAPADATOK!C7," ",ALAPADATOK!D7," ",ALAPADATOK!E7," ",ALAPADATOK!F7," ",ALAPADATOK!G7," ",ALAPADATOK!H7)</f>
        <v>30. melléklet a .. / 2023. ( …... ) önkormányzati rendelethez</v>
      </c>
      <c r="B1" s="1344"/>
      <c r="C1" s="1344"/>
      <c r="D1" s="1344"/>
      <c r="E1" s="1344"/>
      <c r="F1" s="1344"/>
      <c r="G1" s="1344"/>
      <c r="H1" s="1344"/>
      <c r="I1" s="1344"/>
      <c r="J1" s="1344"/>
      <c r="K1" s="1344"/>
      <c r="L1" s="1344"/>
      <c r="M1" s="1344"/>
      <c r="N1" s="1344"/>
    </row>
    <row r="2" spans="1:193" ht="12.75" customHeight="1" x14ac:dyDescent="0.2">
      <c r="B2" s="289"/>
      <c r="F2" s="290"/>
      <c r="I2" s="289"/>
      <c r="J2" s="1339" t="s">
        <v>950</v>
      </c>
      <c r="K2" s="1345"/>
      <c r="L2" s="1345"/>
      <c r="M2" s="1345"/>
      <c r="N2" s="1345"/>
    </row>
    <row r="3" spans="1:193" ht="17.45" customHeight="1" x14ac:dyDescent="0.35">
      <c r="A3" s="1346" t="s">
        <v>995</v>
      </c>
      <c r="B3" s="1346"/>
      <c r="C3" s="1346"/>
      <c r="D3" s="1346"/>
      <c r="E3" s="1346"/>
      <c r="F3" s="1346"/>
      <c r="G3" s="1346"/>
      <c r="H3" s="1346"/>
      <c r="I3" s="1346"/>
      <c r="J3" s="1346"/>
      <c r="K3" s="1346"/>
      <c r="L3" s="1346"/>
      <c r="M3" s="1346"/>
      <c r="N3" s="1346"/>
    </row>
    <row r="4" spans="1:193" ht="19.5" x14ac:dyDescent="0.35">
      <c r="A4" s="1347" t="s">
        <v>371</v>
      </c>
      <c r="B4" s="1347"/>
      <c r="C4" s="1347"/>
      <c r="D4" s="1347"/>
      <c r="E4" s="1347"/>
      <c r="F4" s="1347"/>
      <c r="G4" s="1347"/>
      <c r="H4" s="1347"/>
      <c r="I4" s="1347"/>
      <c r="J4" s="1347"/>
      <c r="K4" s="1347"/>
      <c r="L4" s="1347"/>
      <c r="M4" s="1347"/>
      <c r="N4" s="1347"/>
    </row>
    <row r="5" spans="1:193" ht="18" thickBot="1" x14ac:dyDescent="0.35">
      <c r="B5" s="294"/>
      <c r="C5" s="292"/>
      <c r="D5" s="292"/>
      <c r="E5" s="292"/>
      <c r="F5" s="292"/>
      <c r="G5" s="292"/>
      <c r="H5" s="546"/>
      <c r="I5" s="293"/>
      <c r="J5" s="293"/>
      <c r="K5" s="293"/>
      <c r="L5" s="293"/>
      <c r="M5" s="293"/>
      <c r="N5" s="291"/>
    </row>
    <row r="6" spans="1:193" ht="15.75" customHeight="1" x14ac:dyDescent="0.25">
      <c r="A6" s="1351" t="s">
        <v>579</v>
      </c>
      <c r="B6" s="1353" t="s">
        <v>151</v>
      </c>
      <c r="C6" s="1348" t="s">
        <v>372</v>
      </c>
      <c r="D6" s="1349"/>
      <c r="E6" s="1349"/>
      <c r="F6" s="1349"/>
      <c r="G6" s="1349"/>
      <c r="H6" s="1350"/>
      <c r="I6" s="1348" t="s">
        <v>373</v>
      </c>
      <c r="J6" s="1349"/>
      <c r="K6" s="1349"/>
      <c r="L6" s="1349"/>
      <c r="M6" s="1349"/>
      <c r="N6" s="1350"/>
    </row>
    <row r="7" spans="1:193" ht="27" customHeight="1" thickBot="1" x14ac:dyDescent="0.25">
      <c r="A7" s="1352"/>
      <c r="B7" s="1354"/>
      <c r="C7" s="957" t="s">
        <v>351</v>
      </c>
      <c r="D7" s="958" t="s">
        <v>9</v>
      </c>
      <c r="E7" s="958" t="s">
        <v>125</v>
      </c>
      <c r="F7" s="958" t="s">
        <v>890</v>
      </c>
      <c r="G7" s="958" t="s">
        <v>472</v>
      </c>
      <c r="H7" s="959" t="s">
        <v>996</v>
      </c>
      <c r="I7" s="957" t="s">
        <v>891</v>
      </c>
      <c r="J7" s="958" t="s">
        <v>877</v>
      </c>
      <c r="K7" s="958" t="s">
        <v>892</v>
      </c>
      <c r="L7" s="958" t="s">
        <v>109</v>
      </c>
      <c r="M7" s="958" t="s">
        <v>377</v>
      </c>
      <c r="N7" s="960" t="s">
        <v>997</v>
      </c>
    </row>
    <row r="8" spans="1:193" ht="14.25" thickBot="1" x14ac:dyDescent="0.3">
      <c r="A8" s="1357" t="s">
        <v>580</v>
      </c>
      <c r="B8" s="1358"/>
      <c r="C8" s="1359"/>
      <c r="D8" s="1359"/>
      <c r="E8" s="1359"/>
      <c r="F8" s="1359"/>
      <c r="G8" s="1359"/>
      <c r="H8" s="1359"/>
      <c r="I8" s="1359"/>
      <c r="J8" s="1359"/>
      <c r="K8" s="1359"/>
      <c r="L8" s="1359"/>
      <c r="M8" s="1359"/>
      <c r="N8" s="1360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5"/>
      <c r="DI8" s="295"/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5"/>
      <c r="DY8" s="295"/>
      <c r="DZ8" s="295"/>
      <c r="EA8" s="295"/>
      <c r="EB8" s="295"/>
      <c r="EC8" s="295"/>
      <c r="ED8" s="295"/>
      <c r="EE8" s="295"/>
      <c r="EF8" s="295"/>
      <c r="EG8" s="295"/>
      <c r="EH8" s="295"/>
      <c r="EI8" s="295"/>
      <c r="EJ8" s="295"/>
      <c r="EK8" s="295"/>
      <c r="EL8" s="295"/>
      <c r="EM8" s="295"/>
      <c r="EN8" s="295"/>
      <c r="EO8" s="295"/>
      <c r="EP8" s="295"/>
      <c r="EQ8" s="295"/>
      <c r="ER8" s="295"/>
      <c r="ES8" s="295"/>
      <c r="ET8" s="295"/>
      <c r="EU8" s="295"/>
      <c r="EV8" s="295"/>
      <c r="EW8" s="295"/>
      <c r="EX8" s="295"/>
      <c r="EY8" s="295"/>
      <c r="EZ8" s="295"/>
      <c r="FA8" s="295"/>
      <c r="FB8" s="295"/>
      <c r="FC8" s="295"/>
      <c r="FD8" s="295"/>
      <c r="FE8" s="295"/>
      <c r="FF8" s="295"/>
      <c r="FG8" s="295"/>
      <c r="FH8" s="295"/>
      <c r="FI8" s="295"/>
      <c r="FJ8" s="295"/>
      <c r="FK8" s="295"/>
      <c r="FL8" s="295"/>
      <c r="FM8" s="295"/>
      <c r="FN8" s="295"/>
      <c r="FO8" s="295"/>
      <c r="FP8" s="295"/>
      <c r="FQ8" s="295"/>
      <c r="FR8" s="295"/>
      <c r="FS8" s="295"/>
      <c r="FT8" s="295"/>
      <c r="FU8" s="295"/>
      <c r="FV8" s="295"/>
      <c r="FW8" s="295"/>
      <c r="FX8" s="295"/>
      <c r="FY8" s="295"/>
      <c r="FZ8" s="295"/>
      <c r="GA8" s="295"/>
      <c r="GB8" s="295"/>
      <c r="GC8" s="295"/>
      <c r="GD8" s="295"/>
      <c r="GE8" s="295"/>
      <c r="GF8" s="295"/>
      <c r="GG8" s="295"/>
      <c r="GH8" s="295"/>
      <c r="GI8" s="295"/>
      <c r="GJ8" s="295"/>
      <c r="GK8" s="295"/>
    </row>
    <row r="9" spans="1:193" ht="38.25" x14ac:dyDescent="0.2">
      <c r="A9" s="540" t="s">
        <v>581</v>
      </c>
      <c r="B9" s="541" t="s">
        <v>587</v>
      </c>
      <c r="C9" s="868">
        <v>127000</v>
      </c>
      <c r="D9" s="869"/>
      <c r="E9" s="869"/>
      <c r="F9" s="869"/>
      <c r="G9" s="869"/>
      <c r="H9" s="870">
        <f t="shared" ref="H9:H15" si="0">SUM(C9:G9)</f>
        <v>127000</v>
      </c>
      <c r="I9" s="871">
        <v>34633695</v>
      </c>
      <c r="J9" s="872">
        <v>0</v>
      </c>
      <c r="K9" s="872"/>
      <c r="L9" s="872"/>
      <c r="M9" s="872"/>
      <c r="N9" s="873">
        <f t="shared" ref="N9:N15" si="1">SUM(I9:M9)</f>
        <v>34633695</v>
      </c>
    </row>
    <row r="10" spans="1:193" x14ac:dyDescent="0.2">
      <c r="A10" s="542" t="s">
        <v>582</v>
      </c>
      <c r="B10" s="543" t="s">
        <v>588</v>
      </c>
      <c r="C10" s="874"/>
      <c r="D10" s="875"/>
      <c r="E10" s="875"/>
      <c r="F10" s="875"/>
      <c r="G10" s="875"/>
      <c r="H10" s="873">
        <f t="shared" si="0"/>
        <v>0</v>
      </c>
      <c r="I10" s="876">
        <v>500000</v>
      </c>
      <c r="J10" s="875"/>
      <c r="K10" s="875"/>
      <c r="L10" s="875"/>
      <c r="M10" s="875"/>
      <c r="N10" s="873">
        <f t="shared" si="1"/>
        <v>500000</v>
      </c>
    </row>
    <row r="11" spans="1:193" ht="25.5" x14ac:dyDescent="0.2">
      <c r="A11" s="542" t="s">
        <v>583</v>
      </c>
      <c r="B11" s="543" t="s">
        <v>589</v>
      </c>
      <c r="C11" s="874">
        <f>53739060+5950971+21502228+2660593</f>
        <v>83852852</v>
      </c>
      <c r="D11" s="875">
        <f>60500000+92693342+78677542</f>
        <v>231870884</v>
      </c>
      <c r="E11" s="875"/>
      <c r="F11" s="875"/>
      <c r="G11" s="875"/>
      <c r="H11" s="877">
        <f t="shared" si="0"/>
        <v>315723736</v>
      </c>
      <c r="I11" s="876">
        <f>56336090+3000885</f>
        <v>59336975</v>
      </c>
      <c r="J11" s="875">
        <f>271078380+16648030+99839478</f>
        <v>387565888</v>
      </c>
      <c r="K11" s="875"/>
      <c r="L11" s="875"/>
      <c r="M11" s="875"/>
      <c r="N11" s="873">
        <f t="shared" si="1"/>
        <v>446902863</v>
      </c>
    </row>
    <row r="12" spans="1:193" ht="25.5" x14ac:dyDescent="0.2">
      <c r="A12" s="542" t="s">
        <v>584</v>
      </c>
      <c r="B12" s="543" t="s">
        <v>379</v>
      </c>
      <c r="C12" s="874">
        <v>2000000</v>
      </c>
      <c r="D12" s="875"/>
      <c r="E12" s="875"/>
      <c r="F12" s="875"/>
      <c r="G12" s="875"/>
      <c r="H12" s="877">
        <f t="shared" si="0"/>
        <v>2000000</v>
      </c>
      <c r="I12" s="876">
        <v>10907022</v>
      </c>
      <c r="J12" s="875"/>
      <c r="K12" s="875"/>
      <c r="L12" s="875"/>
      <c r="M12" s="875"/>
      <c r="N12" s="873">
        <f t="shared" si="1"/>
        <v>10907022</v>
      </c>
    </row>
    <row r="13" spans="1:193" ht="25.5" x14ac:dyDescent="0.2">
      <c r="A13" s="542" t="s">
        <v>585</v>
      </c>
      <c r="B13" s="543" t="s">
        <v>590</v>
      </c>
      <c r="C13" s="874">
        <f>2245897930+40605328</f>
        <v>2286503258</v>
      </c>
      <c r="D13" s="875"/>
      <c r="E13" s="875"/>
      <c r="F13" s="878"/>
      <c r="G13" s="878"/>
      <c r="H13" s="877">
        <f t="shared" si="0"/>
        <v>2286503258</v>
      </c>
      <c r="I13" s="876">
        <v>61842606</v>
      </c>
      <c r="J13" s="875"/>
      <c r="K13" s="878"/>
      <c r="L13" s="878"/>
      <c r="M13" s="878"/>
      <c r="N13" s="873">
        <f t="shared" si="1"/>
        <v>61842606</v>
      </c>
    </row>
    <row r="14" spans="1:193" x14ac:dyDescent="0.2">
      <c r="A14" s="542" t="s">
        <v>821</v>
      </c>
      <c r="B14" s="543" t="s">
        <v>822</v>
      </c>
      <c r="C14" s="874"/>
      <c r="D14" s="879"/>
      <c r="E14" s="875"/>
      <c r="F14" s="875"/>
      <c r="G14" s="875"/>
      <c r="H14" s="877">
        <f>SUM(C14:G14)</f>
        <v>0</v>
      </c>
      <c r="I14" s="880">
        <v>19789124</v>
      </c>
      <c r="J14" s="881"/>
      <c r="K14" s="881"/>
      <c r="L14" s="881"/>
      <c r="M14" s="881"/>
      <c r="N14" s="873">
        <f>SUM(I14:M14)</f>
        <v>19789124</v>
      </c>
    </row>
    <row r="15" spans="1:193" ht="13.5" thickBot="1" x14ac:dyDescent="0.25">
      <c r="A15" s="824" t="s">
        <v>586</v>
      </c>
      <c r="B15" s="825" t="s">
        <v>378</v>
      </c>
      <c r="C15" s="882"/>
      <c r="D15" s="883"/>
      <c r="E15" s="883"/>
      <c r="F15" s="883"/>
      <c r="G15" s="883">
        <v>2178537308</v>
      </c>
      <c r="H15" s="884">
        <f t="shared" si="0"/>
        <v>2178537308</v>
      </c>
      <c r="I15" s="880">
        <v>600000</v>
      </c>
      <c r="J15" s="881"/>
      <c r="K15" s="881">
        <f>2223742002+609761+41442471</f>
        <v>2265794234</v>
      </c>
      <c r="L15" s="881"/>
      <c r="M15" s="881"/>
      <c r="N15" s="873">
        <f t="shared" si="1"/>
        <v>2266394234</v>
      </c>
    </row>
    <row r="16" spans="1:193" ht="14.25" thickBot="1" x14ac:dyDescent="0.3">
      <c r="A16" s="1361" t="s">
        <v>625</v>
      </c>
      <c r="B16" s="1362" t="s">
        <v>625</v>
      </c>
      <c r="C16" s="1358" t="s">
        <v>625</v>
      </c>
      <c r="D16" s="1358" t="s">
        <v>625</v>
      </c>
      <c r="E16" s="1358" t="s">
        <v>625</v>
      </c>
      <c r="F16" s="1358" t="s">
        <v>625</v>
      </c>
      <c r="G16" s="1358" t="s">
        <v>625</v>
      </c>
      <c r="H16" s="1358" t="s">
        <v>625</v>
      </c>
      <c r="I16" s="1358" t="s">
        <v>625</v>
      </c>
      <c r="J16" s="1358" t="s">
        <v>625</v>
      </c>
      <c r="K16" s="1358" t="s">
        <v>625</v>
      </c>
      <c r="L16" s="1358" t="s">
        <v>625</v>
      </c>
      <c r="M16" s="1358" t="s">
        <v>625</v>
      </c>
      <c r="N16" s="1363" t="s">
        <v>625</v>
      </c>
    </row>
    <row r="17" spans="1:14" x14ac:dyDescent="0.2">
      <c r="A17" s="534" t="s">
        <v>626</v>
      </c>
      <c r="B17" s="535" t="s">
        <v>627</v>
      </c>
      <c r="C17" s="868"/>
      <c r="D17" s="869"/>
      <c r="E17" s="869"/>
      <c r="F17" s="869"/>
      <c r="G17" s="869"/>
      <c r="H17" s="870">
        <f t="shared" ref="H17:H24" si="2">SUM(C17:G17)</f>
        <v>0</v>
      </c>
      <c r="I17" s="886">
        <v>37000000</v>
      </c>
      <c r="J17" s="869">
        <f>5000000-3937008-1062992</f>
        <v>0</v>
      </c>
      <c r="K17" s="869"/>
      <c r="L17" s="869"/>
      <c r="M17" s="869"/>
      <c r="N17" s="870">
        <f t="shared" ref="N17:N24" si="3">SUM(I17:M17)</f>
        <v>37000000</v>
      </c>
    </row>
    <row r="18" spans="1:14" ht="25.5" x14ac:dyDescent="0.2">
      <c r="A18" s="536" t="s">
        <v>628</v>
      </c>
      <c r="B18" s="537" t="s">
        <v>629</v>
      </c>
      <c r="C18" s="874"/>
      <c r="D18" s="875"/>
      <c r="E18" s="875"/>
      <c r="F18" s="875"/>
      <c r="G18" s="875"/>
      <c r="H18" s="877">
        <f t="shared" si="2"/>
        <v>0</v>
      </c>
      <c r="I18" s="876">
        <v>20000</v>
      </c>
      <c r="J18" s="875"/>
      <c r="K18" s="875"/>
      <c r="L18" s="875"/>
      <c r="M18" s="875"/>
      <c r="N18" s="877">
        <f t="shared" si="3"/>
        <v>20000</v>
      </c>
    </row>
    <row r="19" spans="1:14" x14ac:dyDescent="0.2">
      <c r="A19" s="536" t="s">
        <v>858</v>
      </c>
      <c r="B19" s="537" t="s">
        <v>859</v>
      </c>
      <c r="C19" s="874"/>
      <c r="D19" s="875"/>
      <c r="E19" s="875"/>
      <c r="F19" s="875"/>
      <c r="G19" s="875"/>
      <c r="H19" s="877">
        <f t="shared" si="2"/>
        <v>0</v>
      </c>
      <c r="I19" s="876">
        <v>16335689</v>
      </c>
      <c r="J19" s="875">
        <v>63385145</v>
      </c>
      <c r="K19" s="875"/>
      <c r="L19" s="875"/>
      <c r="M19" s="875"/>
      <c r="N19" s="877">
        <f>SUM(I19:M19)</f>
        <v>79720834</v>
      </c>
    </row>
    <row r="20" spans="1:14" x14ac:dyDescent="0.2">
      <c r="A20" s="536" t="s">
        <v>1076</v>
      </c>
      <c r="B20" s="537" t="s">
        <v>1077</v>
      </c>
      <c r="C20" s="874">
        <v>5250000</v>
      </c>
      <c r="D20" s="875">
        <v>192014096</v>
      </c>
      <c r="E20" s="875"/>
      <c r="F20" s="875"/>
      <c r="G20" s="875"/>
      <c r="H20" s="877">
        <f t="shared" ref="H20" si="4">SUM(C20:G20)</f>
        <v>197264096</v>
      </c>
      <c r="I20" s="876">
        <f>5250000</f>
        <v>5250000</v>
      </c>
      <c r="J20" s="875">
        <f>151034721+40779375</f>
        <v>191814096</v>
      </c>
      <c r="K20" s="875"/>
      <c r="L20" s="875"/>
      <c r="M20" s="875"/>
      <c r="N20" s="877">
        <f t="shared" ref="N20" si="5">SUM(I20:M20)</f>
        <v>197064096</v>
      </c>
    </row>
    <row r="21" spans="1:14" x14ac:dyDescent="0.2">
      <c r="A21" s="536" t="s">
        <v>630</v>
      </c>
      <c r="B21" s="537" t="s">
        <v>631</v>
      </c>
      <c r="C21" s="874"/>
      <c r="D21" s="875"/>
      <c r="E21" s="875"/>
      <c r="F21" s="875"/>
      <c r="G21" s="875"/>
      <c r="H21" s="877">
        <f t="shared" si="2"/>
        <v>0</v>
      </c>
      <c r="I21" s="876">
        <f>4109761</f>
        <v>4109761</v>
      </c>
      <c r="J21" s="875">
        <v>24414</v>
      </c>
      <c r="K21" s="875"/>
      <c r="L21" s="875"/>
      <c r="M21" s="875"/>
      <c r="N21" s="877">
        <f t="shared" si="3"/>
        <v>4134175</v>
      </c>
    </row>
    <row r="22" spans="1:14" ht="25.5" x14ac:dyDescent="0.2">
      <c r="A22" s="536" t="s">
        <v>632</v>
      </c>
      <c r="B22" s="537" t="s">
        <v>633</v>
      </c>
      <c r="C22" s="874">
        <v>4141777</v>
      </c>
      <c r="D22" s="875">
        <v>114194761</v>
      </c>
      <c r="E22" s="875"/>
      <c r="F22" s="875"/>
      <c r="G22" s="875"/>
      <c r="H22" s="877">
        <f t="shared" si="2"/>
        <v>118336538</v>
      </c>
      <c r="I22" s="876">
        <v>22475735</v>
      </c>
      <c r="J22" s="875">
        <v>367395023</v>
      </c>
      <c r="K22" s="875"/>
      <c r="L22" s="875"/>
      <c r="M22" s="875"/>
      <c r="N22" s="877">
        <f t="shared" si="3"/>
        <v>389870758</v>
      </c>
    </row>
    <row r="23" spans="1:14" ht="25.5" x14ac:dyDescent="0.2">
      <c r="A23" s="536" t="s">
        <v>707</v>
      </c>
      <c r="B23" s="537" t="s">
        <v>708</v>
      </c>
      <c r="C23" s="887"/>
      <c r="D23" s="875"/>
      <c r="E23" s="888"/>
      <c r="F23" s="888"/>
      <c r="G23" s="889"/>
      <c r="H23" s="877">
        <f>SUM(C23:G23)</f>
        <v>0</v>
      </c>
      <c r="I23" s="876">
        <v>337820</v>
      </c>
      <c r="J23" s="875"/>
      <c r="K23" s="889"/>
      <c r="L23" s="889"/>
      <c r="M23" s="889"/>
      <c r="N23" s="877">
        <f t="shared" si="3"/>
        <v>337820</v>
      </c>
    </row>
    <row r="24" spans="1:14" ht="25.5" x14ac:dyDescent="0.2">
      <c r="A24" s="536" t="s">
        <v>634</v>
      </c>
      <c r="B24" s="537" t="s">
        <v>635</v>
      </c>
      <c r="C24" s="874">
        <v>2808000</v>
      </c>
      <c r="D24" s="875"/>
      <c r="E24" s="875"/>
      <c r="F24" s="875"/>
      <c r="G24" s="875"/>
      <c r="H24" s="877">
        <f t="shared" si="2"/>
        <v>2808000</v>
      </c>
      <c r="I24" s="876">
        <v>11953900</v>
      </c>
      <c r="J24" s="875">
        <v>857500</v>
      </c>
      <c r="K24" s="875"/>
      <c r="L24" s="875"/>
      <c r="M24" s="875"/>
      <c r="N24" s="877">
        <f t="shared" si="3"/>
        <v>12811400</v>
      </c>
    </row>
    <row r="25" spans="1:14" ht="25.5" x14ac:dyDescent="0.2">
      <c r="A25" s="536" t="s">
        <v>636</v>
      </c>
      <c r="B25" s="537" t="s">
        <v>637</v>
      </c>
      <c r="C25" s="887"/>
      <c r="D25" s="875"/>
      <c r="E25" s="888"/>
      <c r="F25" s="888"/>
      <c r="G25" s="889"/>
      <c r="H25" s="877">
        <f>SUM(C25:G25)</f>
        <v>0</v>
      </c>
      <c r="I25" s="876">
        <v>1322533</v>
      </c>
      <c r="J25" s="875">
        <v>18415000</v>
      </c>
      <c r="K25" s="889"/>
      <c r="L25" s="889"/>
      <c r="M25" s="889"/>
      <c r="N25" s="877">
        <f>SUM(I25:M25)</f>
        <v>19737533</v>
      </c>
    </row>
    <row r="26" spans="1:14" ht="26.25" thickBot="1" x14ac:dyDescent="0.25">
      <c r="A26" s="538" t="s">
        <v>903</v>
      </c>
      <c r="B26" s="539" t="s">
        <v>904</v>
      </c>
      <c r="C26" s="890"/>
      <c r="D26" s="891"/>
      <c r="E26" s="891"/>
      <c r="F26" s="891"/>
      <c r="G26" s="891"/>
      <c r="H26" s="892">
        <f>SUM(C26:G26)</f>
        <v>0</v>
      </c>
      <c r="I26" s="893">
        <f>14132906+909600</f>
        <v>15042506</v>
      </c>
      <c r="J26" s="891">
        <v>521701257</v>
      </c>
      <c r="K26" s="891"/>
      <c r="L26" s="891"/>
      <c r="M26" s="891"/>
      <c r="N26" s="892">
        <f>SUM(I26:M26)</f>
        <v>536743763</v>
      </c>
    </row>
    <row r="27" spans="1:14" ht="14.25" thickBot="1" x14ac:dyDescent="0.3">
      <c r="A27" s="1361" t="s">
        <v>591</v>
      </c>
      <c r="B27" s="1362"/>
      <c r="C27" s="1362"/>
      <c r="D27" s="1362"/>
      <c r="E27" s="1362"/>
      <c r="F27" s="1362"/>
      <c r="G27" s="1362"/>
      <c r="H27" s="1362"/>
      <c r="I27" s="1362"/>
      <c r="J27" s="1362"/>
      <c r="K27" s="1362"/>
      <c r="L27" s="1362"/>
      <c r="M27" s="1362"/>
      <c r="N27" s="1364"/>
    </row>
    <row r="28" spans="1:14" ht="25.5" x14ac:dyDescent="0.2">
      <c r="A28" s="631" t="s">
        <v>592</v>
      </c>
      <c r="B28" s="632" t="s">
        <v>593</v>
      </c>
      <c r="C28" s="869"/>
      <c r="D28" s="894"/>
      <c r="E28" s="894"/>
      <c r="F28" s="894"/>
      <c r="G28" s="894"/>
      <c r="H28" s="870">
        <f>SUM(C28:G28)</f>
        <v>0</v>
      </c>
      <c r="I28" s="886">
        <v>6580352</v>
      </c>
      <c r="J28" s="894"/>
      <c r="K28" s="894"/>
      <c r="L28" s="894"/>
      <c r="M28" s="894"/>
      <c r="N28" s="870">
        <f>SUM(I28:M28)</f>
        <v>6580352</v>
      </c>
    </row>
    <row r="29" spans="1:14" ht="25.5" x14ac:dyDescent="0.2">
      <c r="A29" s="633" t="s">
        <v>594</v>
      </c>
      <c r="B29" s="630" t="s">
        <v>381</v>
      </c>
      <c r="C29" s="875"/>
      <c r="D29" s="875"/>
      <c r="E29" s="875"/>
      <c r="F29" s="875"/>
      <c r="G29" s="875"/>
      <c r="H29" s="877">
        <f>SUM(C29:G29)</f>
        <v>0</v>
      </c>
      <c r="I29" s="876">
        <v>835000</v>
      </c>
      <c r="J29" s="878"/>
      <c r="K29" s="878"/>
      <c r="L29" s="878"/>
      <c r="M29" s="878"/>
      <c r="N29" s="877">
        <f>SUM(I29:M29)</f>
        <v>835000</v>
      </c>
    </row>
    <row r="30" spans="1:14" x14ac:dyDescent="0.2">
      <c r="A30" s="633" t="s">
        <v>967</v>
      </c>
      <c r="B30" s="630" t="s">
        <v>968</v>
      </c>
      <c r="C30" s="875"/>
      <c r="D30" s="878"/>
      <c r="E30" s="889"/>
      <c r="F30" s="878"/>
      <c r="G30" s="878"/>
      <c r="H30" s="877">
        <f>SUM(C30:G30)</f>
        <v>0</v>
      </c>
      <c r="I30" s="1092">
        <v>381000</v>
      </c>
      <c r="J30" s="875"/>
      <c r="K30" s="878"/>
      <c r="L30" s="878"/>
      <c r="M30" s="878"/>
      <c r="N30" s="877">
        <f>SUM(I30:M30)</f>
        <v>381000</v>
      </c>
    </row>
    <row r="31" spans="1:14" ht="25.5" x14ac:dyDescent="0.2">
      <c r="A31" s="633" t="s">
        <v>595</v>
      </c>
      <c r="B31" s="630" t="s">
        <v>596</v>
      </c>
      <c r="C31" s="875">
        <v>1000000</v>
      </c>
      <c r="D31" s="878"/>
      <c r="E31" s="889"/>
      <c r="F31" s="878"/>
      <c r="G31" s="878"/>
      <c r="H31" s="877">
        <f>SUM(C31:G31)</f>
        <v>1000000</v>
      </c>
      <c r="I31" s="895"/>
      <c r="J31" s="875"/>
      <c r="K31" s="878"/>
      <c r="L31" s="878"/>
      <c r="M31" s="878"/>
      <c r="N31" s="877">
        <f>SUM(I31:M31)</f>
        <v>0</v>
      </c>
    </row>
    <row r="32" spans="1:14" ht="14.25" thickBot="1" x14ac:dyDescent="0.3">
      <c r="A32" s="1365" t="s">
        <v>602</v>
      </c>
      <c r="B32" s="1366"/>
      <c r="C32" s="1367"/>
      <c r="D32" s="1367"/>
      <c r="E32" s="1367"/>
      <c r="F32" s="1367"/>
      <c r="G32" s="1367"/>
      <c r="H32" s="1367"/>
      <c r="I32" s="1367"/>
      <c r="J32" s="1367"/>
      <c r="K32" s="1367"/>
      <c r="L32" s="1367"/>
      <c r="M32" s="1367"/>
      <c r="N32" s="1368"/>
    </row>
    <row r="33" spans="1:14" ht="25.5" x14ac:dyDescent="0.2">
      <c r="A33" s="631" t="s">
        <v>693</v>
      </c>
      <c r="B33" s="635" t="s">
        <v>694</v>
      </c>
      <c r="C33" s="886">
        <f>17143608+25935258</f>
        <v>43078866</v>
      </c>
      <c r="D33" s="869">
        <v>6503698</v>
      </c>
      <c r="E33" s="868"/>
      <c r="F33" s="869"/>
      <c r="G33" s="869"/>
      <c r="H33" s="870">
        <f>SUM(C33:G33)</f>
        <v>49582564</v>
      </c>
      <c r="I33" s="886">
        <f>56426242-15479670+25935258</f>
        <v>66881830</v>
      </c>
      <c r="J33" s="869">
        <f>616427600+15479670</f>
        <v>631907270</v>
      </c>
      <c r="K33" s="869"/>
      <c r="L33" s="869"/>
      <c r="M33" s="869"/>
      <c r="N33" s="870">
        <f>SUM(I33:M33)</f>
        <v>698789100</v>
      </c>
    </row>
    <row r="34" spans="1:14" x14ac:dyDescent="0.2">
      <c r="A34" s="633" t="s">
        <v>597</v>
      </c>
      <c r="B34" s="636" t="s">
        <v>374</v>
      </c>
      <c r="C34" s="871"/>
      <c r="D34" s="872"/>
      <c r="E34" s="896"/>
      <c r="F34" s="872"/>
      <c r="G34" s="872"/>
      <c r="H34" s="873">
        <f>SUM(C34:G34)</f>
        <v>0</v>
      </c>
      <c r="I34" s="871">
        <v>72480139</v>
      </c>
      <c r="J34" s="872">
        <v>145127000</v>
      </c>
      <c r="K34" s="872"/>
      <c r="L34" s="872"/>
      <c r="M34" s="872"/>
      <c r="N34" s="873">
        <f>SUM(I34:M34)</f>
        <v>217607139</v>
      </c>
    </row>
    <row r="35" spans="1:14" x14ac:dyDescent="0.2">
      <c r="A35" s="633" t="s">
        <v>598</v>
      </c>
      <c r="B35" s="636" t="s">
        <v>599</v>
      </c>
      <c r="C35" s="897"/>
      <c r="D35" s="875"/>
      <c r="E35" s="875"/>
      <c r="F35" s="875"/>
      <c r="G35" s="875"/>
      <c r="H35" s="877">
        <f>SUM(C35:G35)</f>
        <v>0</v>
      </c>
      <c r="I35" s="876">
        <v>19761950</v>
      </c>
      <c r="J35" s="875">
        <v>0</v>
      </c>
      <c r="K35" s="875"/>
      <c r="L35" s="875"/>
      <c r="M35" s="875"/>
      <c r="N35" s="873">
        <f>SUM(I35:M35)</f>
        <v>19761950</v>
      </c>
    </row>
    <row r="36" spans="1:14" ht="26.25" thickBot="1" x14ac:dyDescent="0.25">
      <c r="A36" s="634" t="s">
        <v>600</v>
      </c>
      <c r="B36" s="637" t="s">
        <v>601</v>
      </c>
      <c r="C36" s="893">
        <v>6525000</v>
      </c>
      <c r="D36" s="891"/>
      <c r="E36" s="891">
        <v>15000000</v>
      </c>
      <c r="F36" s="891"/>
      <c r="G36" s="891"/>
      <c r="H36" s="892">
        <f>SUM(C36:G36)</f>
        <v>21525000</v>
      </c>
      <c r="I36" s="893">
        <v>58892083</v>
      </c>
      <c r="J36" s="891">
        <v>4254001</v>
      </c>
      <c r="K36" s="891"/>
      <c r="L36" s="891"/>
      <c r="M36" s="891"/>
      <c r="N36" s="884">
        <f>SUM(I36:M36)</f>
        <v>63146084</v>
      </c>
    </row>
    <row r="37" spans="1:14" ht="15.75" thickBot="1" x14ac:dyDescent="0.3">
      <c r="A37" s="1369" t="s">
        <v>603</v>
      </c>
      <c r="B37" s="1370"/>
      <c r="C37" s="1370"/>
      <c r="D37" s="1370"/>
      <c r="E37" s="1370"/>
      <c r="F37" s="1370"/>
      <c r="G37" s="1370"/>
      <c r="H37" s="1370"/>
      <c r="I37" s="1370"/>
      <c r="J37" s="1370"/>
      <c r="K37" s="1370"/>
      <c r="L37" s="1370"/>
      <c r="M37" s="1370"/>
      <c r="N37" s="1371"/>
    </row>
    <row r="38" spans="1:14" x14ac:dyDescent="0.2">
      <c r="A38" s="544" t="s">
        <v>721</v>
      </c>
      <c r="B38" s="541" t="s">
        <v>722</v>
      </c>
      <c r="C38" s="868">
        <f>51283044+28423849</f>
        <v>79706893</v>
      </c>
      <c r="D38" s="898"/>
      <c r="E38" s="898"/>
      <c r="F38" s="898"/>
      <c r="G38" s="898"/>
      <c r="H38" s="870">
        <f t="shared" ref="H38:H45" si="6">SUM(C38:G38)</f>
        <v>79706893</v>
      </c>
      <c r="I38" s="1133">
        <f>93069013+2174667</f>
        <v>95243680</v>
      </c>
      <c r="J38" s="869">
        <f>113776832+1326829+8054323</f>
        <v>123157984</v>
      </c>
      <c r="K38" s="899"/>
      <c r="L38" s="899"/>
      <c r="M38" s="899"/>
      <c r="N38" s="870">
        <f t="shared" ref="N38:N45" si="7">SUM(I38:M38)</f>
        <v>218401664</v>
      </c>
    </row>
    <row r="39" spans="1:14" x14ac:dyDescent="0.2">
      <c r="A39" s="718" t="s">
        <v>709</v>
      </c>
      <c r="B39" s="719" t="s">
        <v>710</v>
      </c>
      <c r="C39" s="896">
        <v>571842</v>
      </c>
      <c r="D39" s="900"/>
      <c r="E39" s="900"/>
      <c r="F39" s="900"/>
      <c r="G39" s="900"/>
      <c r="H39" s="873">
        <f t="shared" si="6"/>
        <v>571842</v>
      </c>
      <c r="I39" s="901">
        <v>8091489</v>
      </c>
      <c r="J39" s="872"/>
      <c r="K39" s="902"/>
      <c r="L39" s="902"/>
      <c r="M39" s="902"/>
      <c r="N39" s="873">
        <f t="shared" si="7"/>
        <v>8091489</v>
      </c>
    </row>
    <row r="40" spans="1:14" x14ac:dyDescent="0.2">
      <c r="A40" s="642" t="s">
        <v>604</v>
      </c>
      <c r="B40" s="543" t="s">
        <v>1</v>
      </c>
      <c r="C40" s="874"/>
      <c r="D40" s="874"/>
      <c r="E40" s="874"/>
      <c r="F40" s="874"/>
      <c r="G40" s="874"/>
      <c r="H40" s="877">
        <f t="shared" si="6"/>
        <v>0</v>
      </c>
      <c r="I40" s="903">
        <v>27477800</v>
      </c>
      <c r="J40" s="875">
        <v>8468346</v>
      </c>
      <c r="K40" s="875"/>
      <c r="L40" s="875"/>
      <c r="M40" s="875"/>
      <c r="N40" s="873">
        <f t="shared" si="7"/>
        <v>35946146</v>
      </c>
    </row>
    <row r="41" spans="1:14" x14ac:dyDescent="0.2">
      <c r="A41" s="642" t="s">
        <v>956</v>
      </c>
      <c r="B41" s="543" t="s">
        <v>957</v>
      </c>
      <c r="C41" s="1052"/>
      <c r="D41" s="1052"/>
      <c r="E41" s="1052"/>
      <c r="F41" s="1052"/>
      <c r="G41" s="1052"/>
      <c r="H41" s="963">
        <f t="shared" si="6"/>
        <v>0</v>
      </c>
      <c r="I41" s="903">
        <v>890100</v>
      </c>
      <c r="J41" s="889"/>
      <c r="K41" s="889"/>
      <c r="L41" s="889"/>
      <c r="M41" s="889"/>
      <c r="N41" s="873">
        <f t="shared" si="7"/>
        <v>890100</v>
      </c>
    </row>
    <row r="42" spans="1:14" x14ac:dyDescent="0.2">
      <c r="A42" s="642" t="s">
        <v>605</v>
      </c>
      <c r="B42" s="543" t="s">
        <v>3</v>
      </c>
      <c r="C42" s="874"/>
      <c r="D42" s="875"/>
      <c r="E42" s="875"/>
      <c r="F42" s="875"/>
      <c r="G42" s="875"/>
      <c r="H42" s="877">
        <f t="shared" si="6"/>
        <v>0</v>
      </c>
      <c r="I42" s="876">
        <f>7200000+4800000-7200000</f>
        <v>4800000</v>
      </c>
      <c r="J42" s="875">
        <f>628002+2405350</f>
        <v>3033352</v>
      </c>
      <c r="K42" s="875"/>
      <c r="L42" s="875"/>
      <c r="M42" s="875"/>
      <c r="N42" s="873">
        <f t="shared" si="7"/>
        <v>7833352</v>
      </c>
    </row>
    <row r="43" spans="1:14" x14ac:dyDescent="0.2">
      <c r="A43" s="642" t="s">
        <v>696</v>
      </c>
      <c r="B43" s="543" t="s">
        <v>695</v>
      </c>
      <c r="C43" s="874"/>
      <c r="D43" s="875"/>
      <c r="E43" s="875"/>
      <c r="F43" s="875"/>
      <c r="G43" s="875"/>
      <c r="H43" s="877">
        <f t="shared" si="6"/>
        <v>0</v>
      </c>
      <c r="I43" s="876">
        <v>14000000</v>
      </c>
      <c r="J43" s="875"/>
      <c r="K43" s="875"/>
      <c r="L43" s="875"/>
      <c r="M43" s="875"/>
      <c r="N43" s="873">
        <f t="shared" si="7"/>
        <v>14000000</v>
      </c>
    </row>
    <row r="44" spans="1:14" x14ac:dyDescent="0.2">
      <c r="A44" s="642" t="s">
        <v>711</v>
      </c>
      <c r="B44" s="543" t="s">
        <v>712</v>
      </c>
      <c r="C44" s="874"/>
      <c r="D44" s="889"/>
      <c r="E44" s="889"/>
      <c r="F44" s="889"/>
      <c r="G44" s="889"/>
      <c r="H44" s="877">
        <f t="shared" si="6"/>
        <v>0</v>
      </c>
      <c r="I44" s="876">
        <v>7239000</v>
      </c>
      <c r="J44" s="875">
        <v>127000</v>
      </c>
      <c r="K44" s="889"/>
      <c r="L44" s="889"/>
      <c r="M44" s="889"/>
      <c r="N44" s="873">
        <f t="shared" si="7"/>
        <v>7366000</v>
      </c>
    </row>
    <row r="45" spans="1:14" ht="26.25" thickBot="1" x14ac:dyDescent="0.25">
      <c r="A45" s="643" t="s">
        <v>606</v>
      </c>
      <c r="B45" s="641" t="s">
        <v>607</v>
      </c>
      <c r="C45" s="890"/>
      <c r="D45" s="891"/>
      <c r="E45" s="891"/>
      <c r="F45" s="891"/>
      <c r="G45" s="891"/>
      <c r="H45" s="892">
        <f t="shared" si="6"/>
        <v>0</v>
      </c>
      <c r="I45" s="893">
        <v>300000</v>
      </c>
      <c r="J45" s="891">
        <v>0</v>
      </c>
      <c r="K45" s="891"/>
      <c r="L45" s="891"/>
      <c r="M45" s="891"/>
      <c r="N45" s="884">
        <f t="shared" si="7"/>
        <v>300000</v>
      </c>
    </row>
    <row r="46" spans="1:14" ht="14.25" thickBot="1" x14ac:dyDescent="0.3">
      <c r="A46" s="1361" t="s">
        <v>608</v>
      </c>
      <c r="B46" s="1362"/>
      <c r="C46" s="1359"/>
      <c r="D46" s="1359"/>
      <c r="E46" s="1359"/>
      <c r="F46" s="1359"/>
      <c r="G46" s="1359"/>
      <c r="H46" s="1359"/>
      <c r="I46" s="1359"/>
      <c r="J46" s="1359"/>
      <c r="K46" s="1359"/>
      <c r="L46" s="1359"/>
      <c r="M46" s="1359"/>
      <c r="N46" s="1360"/>
    </row>
    <row r="47" spans="1:14" ht="25.5" x14ac:dyDescent="0.2">
      <c r="A47" s="839" t="s">
        <v>723</v>
      </c>
      <c r="B47" s="840" t="s">
        <v>724</v>
      </c>
      <c r="C47" s="904"/>
      <c r="D47" s="905"/>
      <c r="E47" s="905"/>
      <c r="F47" s="905"/>
      <c r="G47" s="905"/>
      <c r="H47" s="906">
        <f t="shared" ref="H47:H52" si="8">SUM(C47:G47)</f>
        <v>0</v>
      </c>
      <c r="I47" s="1054">
        <v>24613222</v>
      </c>
      <c r="J47" s="905"/>
      <c r="K47" s="905"/>
      <c r="L47" s="905"/>
      <c r="M47" s="905"/>
      <c r="N47" s="906">
        <f t="shared" ref="N47:N52" si="9">SUM(I47:M47)</f>
        <v>24613222</v>
      </c>
    </row>
    <row r="48" spans="1:14" x14ac:dyDescent="0.2">
      <c r="A48" s="642" t="s">
        <v>856</v>
      </c>
      <c r="B48" s="543" t="s">
        <v>857</v>
      </c>
      <c r="C48" s="874"/>
      <c r="D48" s="889"/>
      <c r="E48" s="889"/>
      <c r="F48" s="889"/>
      <c r="G48" s="889"/>
      <c r="H48" s="963">
        <f t="shared" si="8"/>
        <v>0</v>
      </c>
      <c r="I48" s="876">
        <v>1656409</v>
      </c>
      <c r="J48" s="875"/>
      <c r="K48" s="875"/>
      <c r="L48" s="875"/>
      <c r="M48" s="875"/>
      <c r="N48" s="877">
        <f t="shared" si="9"/>
        <v>1656409</v>
      </c>
    </row>
    <row r="49" spans="1:14" ht="25.5" x14ac:dyDescent="0.2">
      <c r="A49" s="642" t="s">
        <v>833</v>
      </c>
      <c r="B49" s="543" t="s">
        <v>834</v>
      </c>
      <c r="C49" s="874"/>
      <c r="D49" s="875"/>
      <c r="E49" s="875"/>
      <c r="F49" s="875"/>
      <c r="G49" s="875"/>
      <c r="H49" s="877">
        <f t="shared" si="8"/>
        <v>0</v>
      </c>
      <c r="I49" s="876">
        <v>2263891</v>
      </c>
      <c r="J49" s="875"/>
      <c r="K49" s="875"/>
      <c r="L49" s="875"/>
      <c r="M49" s="875"/>
      <c r="N49" s="877">
        <f t="shared" si="9"/>
        <v>2263891</v>
      </c>
    </row>
    <row r="50" spans="1:14" x14ac:dyDescent="0.2">
      <c r="A50" s="718" t="s">
        <v>609</v>
      </c>
      <c r="B50" s="719" t="s">
        <v>552</v>
      </c>
      <c r="C50" s="907">
        <v>508000</v>
      </c>
      <c r="D50" s="908"/>
      <c r="E50" s="908"/>
      <c r="F50" s="908"/>
      <c r="G50" s="908"/>
      <c r="H50" s="873">
        <f t="shared" si="8"/>
        <v>508000</v>
      </c>
      <c r="I50" s="909">
        <v>7790436</v>
      </c>
      <c r="J50" s="908"/>
      <c r="K50" s="908"/>
      <c r="L50" s="908"/>
      <c r="M50" s="908"/>
      <c r="N50" s="873">
        <f t="shared" si="9"/>
        <v>7790436</v>
      </c>
    </row>
    <row r="51" spans="1:14" s="392" customFormat="1" x14ac:dyDescent="0.2">
      <c r="A51" s="642" t="s">
        <v>610</v>
      </c>
      <c r="B51" s="543" t="s">
        <v>375</v>
      </c>
      <c r="C51" s="910"/>
      <c r="D51" s="911"/>
      <c r="E51" s="911"/>
      <c r="F51" s="911"/>
      <c r="G51" s="911"/>
      <c r="H51" s="877">
        <f t="shared" si="8"/>
        <v>0</v>
      </c>
      <c r="I51" s="880">
        <f>27141219-200000</f>
        <v>26941219</v>
      </c>
      <c r="J51" s="881">
        <f>2001092+200000</f>
        <v>2201092</v>
      </c>
      <c r="K51" s="881"/>
      <c r="L51" s="881"/>
      <c r="M51" s="881"/>
      <c r="N51" s="873">
        <f t="shared" si="9"/>
        <v>29142311</v>
      </c>
    </row>
    <row r="52" spans="1:14" s="392" customFormat="1" ht="39" thickBot="1" x14ac:dyDescent="0.25">
      <c r="A52" s="643" t="s">
        <v>611</v>
      </c>
      <c r="B52" s="641" t="s">
        <v>612</v>
      </c>
      <c r="C52" s="910">
        <v>9768776</v>
      </c>
      <c r="D52" s="881">
        <v>245863</v>
      </c>
      <c r="E52" s="911"/>
      <c r="F52" s="911"/>
      <c r="G52" s="911"/>
      <c r="H52" s="912">
        <f t="shared" si="8"/>
        <v>10014639</v>
      </c>
      <c r="I52" s="880">
        <f>10855209+31726</f>
        <v>10886935</v>
      </c>
      <c r="J52" s="881">
        <f>1050+4071620</f>
        <v>4072670</v>
      </c>
      <c r="K52" s="881"/>
      <c r="L52" s="881"/>
      <c r="M52" s="881"/>
      <c r="N52" s="873">
        <f t="shared" si="9"/>
        <v>14959605</v>
      </c>
    </row>
    <row r="53" spans="1:14" s="392" customFormat="1" ht="14.25" thickBot="1" x14ac:dyDescent="0.3">
      <c r="A53" s="1357" t="s">
        <v>717</v>
      </c>
      <c r="B53" s="1358"/>
      <c r="C53" s="1359"/>
      <c r="D53" s="1359"/>
      <c r="E53" s="1359"/>
      <c r="F53" s="1359"/>
      <c r="G53" s="1359"/>
      <c r="H53" s="1359"/>
      <c r="I53" s="1359"/>
      <c r="J53" s="1359"/>
      <c r="K53" s="1359"/>
      <c r="L53" s="1359"/>
      <c r="M53" s="1359"/>
      <c r="N53" s="1360"/>
    </row>
    <row r="54" spans="1:14" s="392" customFormat="1" ht="13.5" thickBot="1" x14ac:dyDescent="0.25">
      <c r="A54" s="718" t="s">
        <v>718</v>
      </c>
      <c r="B54" s="719" t="s">
        <v>719</v>
      </c>
      <c r="C54" s="907"/>
      <c r="D54" s="908"/>
      <c r="E54" s="908"/>
      <c r="F54" s="908"/>
      <c r="G54" s="908"/>
      <c r="H54" s="873">
        <f>SUM(C54:G54)</f>
        <v>0</v>
      </c>
      <c r="I54" s="909">
        <v>6932821</v>
      </c>
      <c r="J54" s="908">
        <v>105340150</v>
      </c>
      <c r="K54" s="908"/>
      <c r="L54" s="908"/>
      <c r="M54" s="908"/>
      <c r="N54" s="873">
        <f>SUM(I54:M54)</f>
        <v>112272971</v>
      </c>
    </row>
    <row r="55" spans="1:14" ht="14.25" thickBot="1" x14ac:dyDescent="0.3">
      <c r="A55" s="1361" t="s">
        <v>613</v>
      </c>
      <c r="B55" s="1362"/>
      <c r="C55" s="1358"/>
      <c r="D55" s="1358"/>
      <c r="E55" s="1358"/>
      <c r="F55" s="1358"/>
      <c r="G55" s="1358"/>
      <c r="H55" s="1358"/>
      <c r="I55" s="1358"/>
      <c r="J55" s="1358"/>
      <c r="K55" s="1358"/>
      <c r="L55" s="1358"/>
      <c r="M55" s="1358"/>
      <c r="N55" s="1363"/>
    </row>
    <row r="56" spans="1:14" ht="25.5" x14ac:dyDescent="0.2">
      <c r="A56" s="843">
        <v>101211</v>
      </c>
      <c r="B56" s="840" t="s">
        <v>835</v>
      </c>
      <c r="C56" s="904"/>
      <c r="D56" s="905"/>
      <c r="E56" s="905"/>
      <c r="F56" s="905"/>
      <c r="G56" s="905"/>
      <c r="H56" s="906">
        <f t="shared" ref="H56:H61" si="10">SUM(C56:G56)</f>
        <v>0</v>
      </c>
      <c r="I56" s="869">
        <v>4226616</v>
      </c>
      <c r="J56" s="869">
        <v>7088114</v>
      </c>
      <c r="K56" s="869"/>
      <c r="L56" s="869"/>
      <c r="M56" s="869"/>
      <c r="N56" s="870">
        <f t="shared" ref="N56:N64" si="11">SUM(I56:M56)</f>
        <v>11314730</v>
      </c>
    </row>
    <row r="57" spans="1:14" x14ac:dyDescent="0.2">
      <c r="A57" s="844">
        <v>102023</v>
      </c>
      <c r="B57" s="543" t="s">
        <v>836</v>
      </c>
      <c r="C57" s="874"/>
      <c r="D57" s="875"/>
      <c r="E57" s="875"/>
      <c r="F57" s="875"/>
      <c r="G57" s="875"/>
      <c r="H57" s="877">
        <f t="shared" si="10"/>
        <v>0</v>
      </c>
      <c r="I57" s="875">
        <f>6799828</f>
        <v>6799828</v>
      </c>
      <c r="J57" s="875">
        <v>11402618</v>
      </c>
      <c r="K57" s="875"/>
      <c r="L57" s="875"/>
      <c r="M57" s="875"/>
      <c r="N57" s="877">
        <f t="shared" si="11"/>
        <v>18202446</v>
      </c>
    </row>
    <row r="58" spans="1:14" x14ac:dyDescent="0.2">
      <c r="A58" s="841">
        <v>102024</v>
      </c>
      <c r="B58" s="719" t="s">
        <v>837</v>
      </c>
      <c r="C58" s="907"/>
      <c r="D58" s="908"/>
      <c r="E58" s="908"/>
      <c r="F58" s="908"/>
      <c r="G58" s="908"/>
      <c r="H58" s="877">
        <f t="shared" si="10"/>
        <v>0</v>
      </c>
      <c r="I58" s="875">
        <v>1470944</v>
      </c>
      <c r="J58" s="875">
        <v>2465432</v>
      </c>
      <c r="K58" s="875"/>
      <c r="L58" s="875"/>
      <c r="M58" s="875"/>
      <c r="N58" s="877">
        <f t="shared" si="11"/>
        <v>3936376</v>
      </c>
    </row>
    <row r="59" spans="1:14" x14ac:dyDescent="0.2">
      <c r="A59" s="844" t="s">
        <v>614</v>
      </c>
      <c r="B59" s="543" t="s">
        <v>486</v>
      </c>
      <c r="C59" s="910"/>
      <c r="D59" s="911"/>
      <c r="E59" s="911"/>
      <c r="F59" s="911"/>
      <c r="G59" s="911"/>
      <c r="H59" s="877">
        <f t="shared" si="10"/>
        <v>0</v>
      </c>
      <c r="I59" s="875">
        <v>300000</v>
      </c>
      <c r="J59" s="875"/>
      <c r="K59" s="875"/>
      <c r="L59" s="875"/>
      <c r="M59" s="875"/>
      <c r="N59" s="877">
        <f t="shared" si="11"/>
        <v>300000</v>
      </c>
    </row>
    <row r="60" spans="1:14" ht="25.5" x14ac:dyDescent="0.2">
      <c r="A60" s="844">
        <v>104031</v>
      </c>
      <c r="B60" s="543" t="s">
        <v>838</v>
      </c>
      <c r="C60" s="874">
        <v>16049767</v>
      </c>
      <c r="D60" s="875">
        <v>58702203</v>
      </c>
      <c r="E60" s="879"/>
      <c r="F60" s="879"/>
      <c r="G60" s="879"/>
      <c r="H60" s="877">
        <f t="shared" si="10"/>
        <v>74751970</v>
      </c>
      <c r="I60" s="875">
        <f>501816+37562787</f>
        <v>38064603</v>
      </c>
      <c r="J60" s="875">
        <v>132519159</v>
      </c>
      <c r="K60" s="875"/>
      <c r="L60" s="875"/>
      <c r="M60" s="875"/>
      <c r="N60" s="877">
        <f t="shared" si="11"/>
        <v>170583762</v>
      </c>
    </row>
    <row r="61" spans="1:14" x14ac:dyDescent="0.2">
      <c r="A61" s="845" t="s">
        <v>615</v>
      </c>
      <c r="B61" s="842" t="s">
        <v>473</v>
      </c>
      <c r="C61" s="907"/>
      <c r="D61" s="908"/>
      <c r="E61" s="908"/>
      <c r="F61" s="908"/>
      <c r="G61" s="908"/>
      <c r="H61" s="877">
        <f t="shared" si="10"/>
        <v>0</v>
      </c>
      <c r="I61" s="909">
        <v>53590342</v>
      </c>
      <c r="J61" s="908"/>
      <c r="K61" s="908"/>
      <c r="L61" s="908"/>
      <c r="M61" s="908"/>
      <c r="N61" s="873">
        <f t="shared" si="11"/>
        <v>53590342</v>
      </c>
    </row>
    <row r="62" spans="1:14" ht="25.5" x14ac:dyDescent="0.2">
      <c r="A62" s="844">
        <v>104060</v>
      </c>
      <c r="B62" s="543" t="s">
        <v>905</v>
      </c>
      <c r="C62" s="874"/>
      <c r="D62" s="875"/>
      <c r="E62" s="879"/>
      <c r="F62" s="879"/>
      <c r="G62" s="879"/>
      <c r="H62" s="877">
        <f>SUM(C62:G62)</f>
        <v>0</v>
      </c>
      <c r="I62" s="875">
        <v>9593893</v>
      </c>
      <c r="J62" s="875">
        <v>1330130</v>
      </c>
      <c r="K62" s="875"/>
      <c r="L62" s="875"/>
      <c r="M62" s="875"/>
      <c r="N62" s="877">
        <f>SUM(I62:M62)</f>
        <v>10924023</v>
      </c>
    </row>
    <row r="63" spans="1:14" ht="25.5" x14ac:dyDescent="0.2">
      <c r="A63" s="642" t="s">
        <v>616</v>
      </c>
      <c r="B63" s="543" t="s">
        <v>617</v>
      </c>
      <c r="C63" s="874">
        <v>3094000</v>
      </c>
      <c r="D63" s="875"/>
      <c r="E63" s="875"/>
      <c r="F63" s="875"/>
      <c r="G63" s="875"/>
      <c r="H63" s="877">
        <f>SUM(C63:G63)</f>
        <v>3094000</v>
      </c>
      <c r="I63" s="880">
        <v>9775100</v>
      </c>
      <c r="J63" s="881">
        <f>11303000+4640000</f>
        <v>15943000</v>
      </c>
      <c r="K63" s="881"/>
      <c r="L63" s="881"/>
      <c r="M63" s="881"/>
      <c r="N63" s="873">
        <f t="shared" si="11"/>
        <v>25718100</v>
      </c>
    </row>
    <row r="64" spans="1:14" ht="26.25" thickBot="1" x14ac:dyDescent="0.25">
      <c r="A64" s="846" t="s">
        <v>618</v>
      </c>
      <c r="B64" s="825" t="s">
        <v>619</v>
      </c>
      <c r="C64" s="882">
        <v>500000</v>
      </c>
      <c r="D64" s="883"/>
      <c r="E64" s="883"/>
      <c r="F64" s="883"/>
      <c r="G64" s="883"/>
      <c r="H64" s="884">
        <f>SUM(C64:G64)</f>
        <v>500000</v>
      </c>
      <c r="I64" s="893">
        <f>45000000</f>
        <v>45000000</v>
      </c>
      <c r="J64" s="891"/>
      <c r="K64" s="891"/>
      <c r="L64" s="891"/>
      <c r="M64" s="891"/>
      <c r="N64" s="884">
        <f t="shared" si="11"/>
        <v>45000000</v>
      </c>
    </row>
    <row r="65" spans="1:15" ht="14.25" thickBot="1" x14ac:dyDescent="0.3">
      <c r="A65" s="1361" t="s">
        <v>620</v>
      </c>
      <c r="B65" s="1362"/>
      <c r="C65" s="1372"/>
      <c r="D65" s="1372"/>
      <c r="E65" s="1372"/>
      <c r="F65" s="1372"/>
      <c r="G65" s="1372"/>
      <c r="H65" s="1372"/>
      <c r="I65" s="1372"/>
      <c r="J65" s="1372"/>
      <c r="K65" s="1372"/>
      <c r="L65" s="1372"/>
      <c r="M65" s="1372"/>
      <c r="N65" s="1373"/>
    </row>
    <row r="66" spans="1:15" ht="25.5" x14ac:dyDescent="0.2">
      <c r="A66" s="544" t="s">
        <v>621</v>
      </c>
      <c r="B66" s="541" t="s">
        <v>622</v>
      </c>
      <c r="C66" s="907"/>
      <c r="D66" s="908"/>
      <c r="E66" s="908">
        <v>624195000</v>
      </c>
      <c r="F66" s="908"/>
      <c r="G66" s="908"/>
      <c r="H66" s="873">
        <f>SUM(C66:G66)</f>
        <v>624195000</v>
      </c>
      <c r="I66" s="909"/>
      <c r="J66" s="908"/>
      <c r="K66" s="908"/>
      <c r="L66" s="908"/>
      <c r="M66" s="908"/>
      <c r="N66" s="873">
        <f>SUM(I66:M66)</f>
        <v>0</v>
      </c>
    </row>
    <row r="67" spans="1:15" ht="26.25" thickBot="1" x14ac:dyDescent="0.25">
      <c r="A67" s="643" t="s">
        <v>623</v>
      </c>
      <c r="B67" s="641" t="s">
        <v>624</v>
      </c>
      <c r="C67" s="910"/>
      <c r="D67" s="881"/>
      <c r="E67" s="881"/>
      <c r="F67" s="881">
        <v>1254058824</v>
      </c>
      <c r="G67" s="881"/>
      <c r="H67" s="877">
        <f>SUM(C67:G67)</f>
        <v>1254058824</v>
      </c>
      <c r="I67" s="880">
        <v>34192783</v>
      </c>
      <c r="J67" s="885"/>
      <c r="K67" s="881"/>
      <c r="L67" s="881">
        <v>1121918686</v>
      </c>
      <c r="M67" s="881">
        <f>120093095-6003819</f>
        <v>114089276</v>
      </c>
      <c r="N67" s="877">
        <f>SUM(I67:M67)</f>
        <v>1270200745</v>
      </c>
    </row>
    <row r="68" spans="1:15" ht="13.5" thickBot="1" x14ac:dyDescent="0.25">
      <c r="A68" s="1355" t="s">
        <v>49</v>
      </c>
      <c r="B68" s="1356"/>
      <c r="C68" s="913">
        <f t="shared" ref="C68:N68" si="12">SUM(C9:C67)</f>
        <v>2545486031</v>
      </c>
      <c r="D68" s="913">
        <f t="shared" si="12"/>
        <v>603531505</v>
      </c>
      <c r="E68" s="913">
        <f t="shared" si="12"/>
        <v>639195000</v>
      </c>
      <c r="F68" s="913">
        <f t="shared" si="12"/>
        <v>1254058824</v>
      </c>
      <c r="G68" s="913">
        <f t="shared" si="12"/>
        <v>2178537308</v>
      </c>
      <c r="H68" s="914">
        <f t="shared" si="12"/>
        <v>7220808668</v>
      </c>
      <c r="I68" s="913">
        <f t="shared" si="12"/>
        <v>969410831</v>
      </c>
      <c r="J68" s="913">
        <f t="shared" si="12"/>
        <v>2749595641</v>
      </c>
      <c r="K68" s="913">
        <f t="shared" si="12"/>
        <v>2265794234</v>
      </c>
      <c r="L68" s="913">
        <f t="shared" si="12"/>
        <v>1121918686</v>
      </c>
      <c r="M68" s="913">
        <f t="shared" si="12"/>
        <v>114089276</v>
      </c>
      <c r="N68" s="913">
        <f t="shared" si="12"/>
        <v>7220808668</v>
      </c>
      <c r="O68" s="393">
        <f>N68-H68</f>
        <v>0</v>
      </c>
    </row>
    <row r="69" spans="1:15" ht="13.5" thickBot="1" x14ac:dyDescent="0.25">
      <c r="A69" s="1374" t="s">
        <v>376</v>
      </c>
      <c r="B69" s="1375"/>
      <c r="C69" s="915"/>
      <c r="D69" s="916"/>
      <c r="E69" s="916"/>
      <c r="F69" s="916"/>
      <c r="G69" s="916"/>
      <c r="H69" s="877"/>
      <c r="I69" s="917"/>
      <c r="J69" s="875"/>
      <c r="K69" s="875">
        <f>SUM(K66:K67,K59:K64,K47:K52,K38:K45,K34:K36,K28:K31,K9:K15)</f>
        <v>2265794234</v>
      </c>
      <c r="L69" s="916"/>
      <c r="M69" s="916"/>
      <c r="N69" s="918">
        <f>SUM(I69:M69)</f>
        <v>2265794234</v>
      </c>
      <c r="O69" s="393"/>
    </row>
    <row r="70" spans="1:15" ht="13.5" thickBot="1" x14ac:dyDescent="0.25">
      <c r="A70" s="1355" t="s">
        <v>59</v>
      </c>
      <c r="B70" s="1356"/>
      <c r="C70" s="919">
        <f>C68-C69</f>
        <v>2545486031</v>
      </c>
      <c r="D70" s="920">
        <f t="shared" ref="D70:M70" si="13">D68-D69</f>
        <v>603531505</v>
      </c>
      <c r="E70" s="920">
        <f t="shared" si="13"/>
        <v>639195000</v>
      </c>
      <c r="F70" s="920">
        <f t="shared" si="13"/>
        <v>1254058824</v>
      </c>
      <c r="G70" s="920">
        <f t="shared" si="13"/>
        <v>2178537308</v>
      </c>
      <c r="H70" s="921">
        <f t="shared" si="13"/>
        <v>7220808668</v>
      </c>
      <c r="I70" s="919">
        <f t="shared" si="13"/>
        <v>969410831</v>
      </c>
      <c r="J70" s="920">
        <f t="shared" si="13"/>
        <v>2749595641</v>
      </c>
      <c r="K70" s="920">
        <f t="shared" si="13"/>
        <v>0</v>
      </c>
      <c r="L70" s="920">
        <f t="shared" si="13"/>
        <v>1121918686</v>
      </c>
      <c r="M70" s="920">
        <f t="shared" si="13"/>
        <v>114089276</v>
      </c>
      <c r="N70" s="922">
        <f>N68-N69</f>
        <v>4955014434</v>
      </c>
      <c r="O70" s="393"/>
    </row>
    <row r="71" spans="1:15" x14ac:dyDescent="0.2">
      <c r="B71" s="296"/>
      <c r="C71" s="298">
        <f>C70-C72</f>
        <v>0</v>
      </c>
      <c r="D71" s="298">
        <f t="shared" ref="D71:M71" si="14">D70-D72</f>
        <v>0</v>
      </c>
      <c r="E71" s="298">
        <f t="shared" si="14"/>
        <v>0</v>
      </c>
      <c r="F71" s="298">
        <f t="shared" si="14"/>
        <v>0</v>
      </c>
      <c r="G71" s="298">
        <f t="shared" si="14"/>
        <v>0</v>
      </c>
      <c r="H71" s="298">
        <f t="shared" si="14"/>
        <v>0</v>
      </c>
      <c r="I71" s="298">
        <f t="shared" si="14"/>
        <v>0</v>
      </c>
      <c r="J71" s="298">
        <f t="shared" si="14"/>
        <v>0</v>
      </c>
      <c r="K71" s="298">
        <f>K69-K72</f>
        <v>0</v>
      </c>
      <c r="L71" s="298">
        <f t="shared" si="14"/>
        <v>0</v>
      </c>
      <c r="M71" s="298">
        <f t="shared" si="14"/>
        <v>0</v>
      </c>
      <c r="N71" s="298">
        <f>N68-N72</f>
        <v>0</v>
      </c>
    </row>
    <row r="72" spans="1:15" x14ac:dyDescent="0.2">
      <c r="B72" s="296"/>
      <c r="C72" s="298">
        <f>'14. sz. mell. Önk.'!C7+'14. sz. mell. Önk.'!C16+'14. sz. mell. Önk.'!C37+'14. sz. mell. Önk.'!C55+'14. sz. mell. Önk.'!C78</f>
        <v>2545486031</v>
      </c>
      <c r="D72" s="298">
        <f>'14. sz. mell. Önk.'!C23+'14. sz. mell. Önk.'!C49+'14. sz. mell. Önk.'!C60</f>
        <v>603531505</v>
      </c>
      <c r="E72" s="298">
        <f>'14. sz. mell. Önk.'!C30</f>
        <v>639195000</v>
      </c>
      <c r="F72" s="298">
        <f>'14. sz. mell. Önk.'!C66</f>
        <v>1254058824</v>
      </c>
      <c r="G72" s="298">
        <f>'14. sz. mell. Önk.'!C75</f>
        <v>2178537308</v>
      </c>
      <c r="H72" s="547">
        <f>SUM(C72:G72)</f>
        <v>7220808668</v>
      </c>
      <c r="I72" s="298">
        <f>'14. sz. mell. Önk.'!C92-'14. sz. mell. Önk.'!C110+'14. sz. mell. Önk.'!C139</f>
        <v>969410831</v>
      </c>
      <c r="J72" s="298">
        <f>'14. sz. mell. Önk.'!C113</f>
        <v>2749595641</v>
      </c>
      <c r="K72" s="299">
        <f>'34.sz.m. int.összesítő'!C16</f>
        <v>2265794234</v>
      </c>
      <c r="L72" s="298">
        <f>'14. sz. mell. Önk.'!C128</f>
        <v>1121918686</v>
      </c>
      <c r="M72" s="298">
        <f>'14. sz. mell. Önk.'!C110</f>
        <v>114089276</v>
      </c>
      <c r="N72" s="297">
        <f>SUM(I72:M72)</f>
        <v>7220808668</v>
      </c>
    </row>
    <row r="73" spans="1:15" x14ac:dyDescent="0.2">
      <c r="B73" s="296"/>
      <c r="C73" s="298"/>
      <c r="D73" s="298"/>
      <c r="E73" s="298"/>
      <c r="F73" s="298"/>
      <c r="G73" s="298"/>
      <c r="H73" s="547"/>
      <c r="I73" s="300"/>
      <c r="J73" s="298"/>
      <c r="K73" s="299"/>
      <c r="L73" s="298"/>
      <c r="M73" s="298"/>
      <c r="N73" s="297"/>
    </row>
    <row r="74" spans="1:15" x14ac:dyDescent="0.2">
      <c r="B74" s="296"/>
      <c r="C74" s="298"/>
      <c r="D74" s="298"/>
      <c r="E74" s="298"/>
      <c r="F74" s="298"/>
      <c r="G74" s="298"/>
      <c r="H74" s="547"/>
      <c r="I74" s="298"/>
      <c r="J74" s="298"/>
      <c r="K74" s="299"/>
      <c r="L74" s="298"/>
      <c r="M74" s="298"/>
      <c r="N74" s="297"/>
    </row>
    <row r="75" spans="1:15" x14ac:dyDescent="0.2">
      <c r="B75" s="296"/>
      <c r="C75" s="298"/>
      <c r="D75" s="298"/>
      <c r="E75" s="298"/>
      <c r="F75" s="298"/>
      <c r="G75" s="298"/>
      <c r="H75" s="547"/>
      <c r="I75" s="298"/>
      <c r="J75" s="298"/>
      <c r="K75" s="299"/>
      <c r="L75" s="298"/>
      <c r="M75" s="298"/>
      <c r="N75" s="297"/>
    </row>
    <row r="76" spans="1:15" x14ac:dyDescent="0.2">
      <c r="B76" s="296"/>
      <c r="C76" s="298"/>
      <c r="D76" s="298"/>
      <c r="E76" s="298"/>
      <c r="F76" s="298"/>
      <c r="G76" s="298"/>
      <c r="H76" s="547"/>
      <c r="I76" s="298"/>
      <c r="J76" s="298"/>
      <c r="K76" s="299"/>
      <c r="L76" s="298"/>
      <c r="M76" s="298"/>
      <c r="N76" s="297"/>
    </row>
    <row r="77" spans="1:15" x14ac:dyDescent="0.2">
      <c r="B77" s="296"/>
      <c r="C77" s="298"/>
      <c r="D77" s="298"/>
      <c r="E77" s="298"/>
      <c r="F77" s="298"/>
      <c r="G77" s="298"/>
      <c r="H77" s="547"/>
      <c r="I77" s="298"/>
      <c r="J77" s="298"/>
      <c r="K77" s="299"/>
      <c r="L77" s="298"/>
      <c r="M77" s="298"/>
      <c r="N77" s="297"/>
    </row>
  </sheetData>
  <mergeCells count="20">
    <mergeCell ref="A70:B70"/>
    <mergeCell ref="A8:N8"/>
    <mergeCell ref="A16:N16"/>
    <mergeCell ref="A27:N27"/>
    <mergeCell ref="A32:N32"/>
    <mergeCell ref="A37:N37"/>
    <mergeCell ref="A46:N46"/>
    <mergeCell ref="A55:N55"/>
    <mergeCell ref="A65:N65"/>
    <mergeCell ref="A68:B68"/>
    <mergeCell ref="A69:B69"/>
    <mergeCell ref="A53:N53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7" orientation="landscape" r:id="rId1"/>
  <headerFooter alignWithMargins="0"/>
  <rowBreaks count="1" manualBreakCount="1">
    <brk id="36" max="1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1"/>
  <sheetViews>
    <sheetView workbookViewId="0">
      <selection activeCell="F15" sqref="F15"/>
    </sheetView>
  </sheetViews>
  <sheetFormatPr defaultColWidth="9.33203125"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227" t="str">
        <f>CONCATENATE("43. tájékoztató tábla ",ALAPADATOK!A7," ",ALAPADATOK!B7," ",ALAPADATOK!C7," ",ALAPADATOK!D7," ",ALAPADATOK!E7," ",ALAPADATOK!F7," ",ALAPADATOK!G7," ",ALAPADATOK!H7)</f>
        <v>43. tájékoztató tábla a .. / 2023. ( …... ) önkormányzati rendelethez</v>
      </c>
      <c r="B1" s="1227"/>
      <c r="C1" s="1227"/>
      <c r="D1" s="1227"/>
      <c r="E1" s="1227"/>
      <c r="F1" s="1227"/>
    </row>
    <row r="2" spans="1:10" x14ac:dyDescent="0.25">
      <c r="A2" s="1339" t="s">
        <v>951</v>
      </c>
      <c r="B2" s="1339"/>
      <c r="C2" s="1339"/>
      <c r="D2" s="1339"/>
      <c r="E2" s="1339"/>
      <c r="F2" s="1339"/>
      <c r="G2" s="1047"/>
      <c r="H2" s="1047"/>
      <c r="I2" s="1047"/>
      <c r="J2" s="1047"/>
    </row>
    <row r="3" spans="1:10" ht="35.450000000000003" customHeight="1" x14ac:dyDescent="0.25">
      <c r="A3" s="1315" t="s">
        <v>998</v>
      </c>
      <c r="B3" s="1315"/>
      <c r="C3" s="1315"/>
      <c r="D3" s="1315"/>
      <c r="E3" s="1315"/>
      <c r="F3" s="1315"/>
    </row>
    <row r="5" spans="1:10" ht="15.95" customHeight="1" x14ac:dyDescent="0.25">
      <c r="A5" s="1229" t="s">
        <v>13</v>
      </c>
      <c r="B5" s="1229"/>
      <c r="C5" s="1229"/>
      <c r="D5" s="1229"/>
      <c r="E5" s="1229"/>
    </row>
    <row r="6" spans="1:10" ht="15.95" customHeight="1" thickBot="1" x14ac:dyDescent="0.3">
      <c r="A6" s="1228" t="s">
        <v>114</v>
      </c>
      <c r="B6" s="1228"/>
      <c r="D6" s="657"/>
      <c r="E6" s="119"/>
      <c r="F6" s="119" t="s">
        <v>489</v>
      </c>
    </row>
    <row r="7" spans="1:10" ht="38.1" customHeight="1" thickBot="1" x14ac:dyDescent="0.3">
      <c r="A7" s="20" t="s">
        <v>63</v>
      </c>
      <c r="B7" s="380" t="s">
        <v>15</v>
      </c>
      <c r="C7" s="445" t="s">
        <v>541</v>
      </c>
      <c r="D7" s="445" t="s">
        <v>829</v>
      </c>
      <c r="E7" s="445" t="s">
        <v>936</v>
      </c>
      <c r="F7" s="445" t="s">
        <v>1048</v>
      </c>
    </row>
    <row r="8" spans="1:10" s="178" customFormat="1" ht="12.2" customHeight="1" thickBot="1" x14ac:dyDescent="0.25">
      <c r="A8" s="25" t="s">
        <v>382</v>
      </c>
      <c r="B8" s="275" t="s">
        <v>383</v>
      </c>
      <c r="C8" s="446" t="s">
        <v>384</v>
      </c>
      <c r="D8" s="174" t="s">
        <v>384</v>
      </c>
      <c r="E8" s="457" t="s">
        <v>434</v>
      </c>
      <c r="F8" s="457" t="s">
        <v>435</v>
      </c>
    </row>
    <row r="9" spans="1:10" s="179" customFormat="1" ht="12.2" customHeight="1" thickBot="1" x14ac:dyDescent="0.25">
      <c r="A9" s="17" t="s">
        <v>16</v>
      </c>
      <c r="B9" s="362" t="s">
        <v>542</v>
      </c>
      <c r="C9" s="447">
        <v>1350000000</v>
      </c>
      <c r="D9" s="447">
        <v>2200000000</v>
      </c>
      <c r="E9" s="447">
        <v>2250000000</v>
      </c>
      <c r="F9" s="447">
        <v>2300000000</v>
      </c>
    </row>
    <row r="10" spans="1:10" s="179" customFormat="1" ht="12.2" customHeight="1" thickBot="1" x14ac:dyDescent="0.25">
      <c r="A10" s="17" t="s">
        <v>17</v>
      </c>
      <c r="B10" s="365" t="s">
        <v>308</v>
      </c>
      <c r="C10" s="447">
        <v>181000000</v>
      </c>
      <c r="D10" s="447">
        <v>300000000</v>
      </c>
      <c r="E10" s="447">
        <v>300000000</v>
      </c>
      <c r="F10" s="447">
        <v>300000000</v>
      </c>
    </row>
    <row r="11" spans="1:10" s="179" customFormat="1" ht="12.2" customHeight="1" thickBot="1" x14ac:dyDescent="0.25">
      <c r="A11" s="17" t="s">
        <v>18</v>
      </c>
      <c r="B11" s="362" t="s">
        <v>315</v>
      </c>
      <c r="C11" s="447">
        <v>300000000</v>
      </c>
      <c r="D11" s="447">
        <v>300000000</v>
      </c>
      <c r="E11" s="447">
        <v>300000000</v>
      </c>
      <c r="F11" s="447">
        <v>300000000</v>
      </c>
    </row>
    <row r="12" spans="1:10" s="179" customFormat="1" ht="12.2" customHeight="1" thickBot="1" x14ac:dyDescent="0.25">
      <c r="A12" s="17" t="s">
        <v>124</v>
      </c>
      <c r="B12" s="362" t="s">
        <v>639</v>
      </c>
      <c r="C12" s="448">
        <f>SUM(C17:C18)+C13</f>
        <v>325500000</v>
      </c>
      <c r="D12" s="448">
        <f>D13+D16+D17+D18</f>
        <v>617800000</v>
      </c>
      <c r="E12" s="448">
        <f>E13+E16+E17+E18</f>
        <v>631800000</v>
      </c>
      <c r="F12" s="448">
        <f>F13+F16+F17+F18</f>
        <v>651800000</v>
      </c>
    </row>
    <row r="13" spans="1:10" s="179" customFormat="1" ht="12.2" customHeight="1" x14ac:dyDescent="0.2">
      <c r="A13" s="12" t="s">
        <v>195</v>
      </c>
      <c r="B13" s="266" t="s">
        <v>638</v>
      </c>
      <c r="C13" s="449">
        <f>SUM(C14:C16)</f>
        <v>310000000</v>
      </c>
      <c r="D13" s="449">
        <f>D14+D15</f>
        <v>595000000</v>
      </c>
      <c r="E13" s="449">
        <f>E14+E15</f>
        <v>609000000</v>
      </c>
      <c r="F13" s="449">
        <f>F14+F15</f>
        <v>629000000</v>
      </c>
    </row>
    <row r="14" spans="1:10" s="179" customFormat="1" ht="12.2" customHeight="1" x14ac:dyDescent="0.2">
      <c r="A14" s="11" t="s">
        <v>198</v>
      </c>
      <c r="B14" s="267" t="s">
        <v>201</v>
      </c>
      <c r="C14" s="450">
        <v>78000000</v>
      </c>
      <c r="D14" s="450">
        <f>109000000-20000000</f>
        <v>89000000</v>
      </c>
      <c r="E14" s="450">
        <v>89000000</v>
      </c>
      <c r="F14" s="450">
        <v>89000000</v>
      </c>
    </row>
    <row r="15" spans="1:10" s="179" customFormat="1" ht="12.2" customHeight="1" x14ac:dyDescent="0.2">
      <c r="A15" s="11" t="s">
        <v>199</v>
      </c>
      <c r="B15" s="504" t="s">
        <v>553</v>
      </c>
      <c r="C15" s="450">
        <v>232000000</v>
      </c>
      <c r="D15" s="450">
        <v>506000000</v>
      </c>
      <c r="E15" s="450">
        <v>520000000</v>
      </c>
      <c r="F15" s="450">
        <v>540000000</v>
      </c>
    </row>
    <row r="16" spans="1:10" s="179" customFormat="1" ht="12.2" customHeight="1" x14ac:dyDescent="0.2">
      <c r="A16" s="11" t="s">
        <v>200</v>
      </c>
      <c r="B16" s="267" t="s">
        <v>469</v>
      </c>
      <c r="C16" s="451"/>
      <c r="D16" s="451"/>
      <c r="E16" s="451"/>
      <c r="F16" s="451"/>
    </row>
    <row r="17" spans="1:10" s="179" customFormat="1" ht="12.2" customHeight="1" x14ac:dyDescent="0.2">
      <c r="A17" s="11" t="s">
        <v>471</v>
      </c>
      <c r="B17" s="267" t="s">
        <v>203</v>
      </c>
      <c r="C17" s="450">
        <v>4500000</v>
      </c>
      <c r="D17" s="450"/>
      <c r="E17" s="450"/>
      <c r="F17" s="450"/>
    </row>
    <row r="18" spans="1:10" s="179" customFormat="1" ht="12.2" customHeight="1" thickBot="1" x14ac:dyDescent="0.25">
      <c r="A18" s="13" t="s">
        <v>480</v>
      </c>
      <c r="B18" s="268" t="s">
        <v>204</v>
      </c>
      <c r="C18" s="452">
        <v>11000000</v>
      </c>
      <c r="D18" s="452">
        <v>22800000</v>
      </c>
      <c r="E18" s="452">
        <v>22800000</v>
      </c>
      <c r="F18" s="452">
        <v>22800000</v>
      </c>
    </row>
    <row r="19" spans="1:10" s="179" customFormat="1" ht="12.2" customHeight="1" thickBot="1" x14ac:dyDescent="0.25">
      <c r="A19" s="17" t="s">
        <v>20</v>
      </c>
      <c r="B19" s="362" t="s">
        <v>543</v>
      </c>
      <c r="C19" s="447">
        <v>440000000</v>
      </c>
      <c r="D19" s="447">
        <v>440000000</v>
      </c>
      <c r="E19" s="447">
        <v>450000000</v>
      </c>
      <c r="F19" s="447">
        <v>460000000</v>
      </c>
    </row>
    <row r="20" spans="1:10" s="179" customFormat="1" ht="12.2" customHeight="1" thickBot="1" x14ac:dyDescent="0.25">
      <c r="A20" s="17" t="s">
        <v>21</v>
      </c>
      <c r="B20" s="362" t="s">
        <v>9</v>
      </c>
      <c r="C20" s="447">
        <v>6000000</v>
      </c>
      <c r="D20" s="447">
        <v>20000000</v>
      </c>
      <c r="E20" s="447">
        <v>10000000</v>
      </c>
      <c r="F20" s="447">
        <v>5000000</v>
      </c>
    </row>
    <row r="21" spans="1:10" s="179" customFormat="1" ht="12.2" customHeight="1" thickBot="1" x14ac:dyDescent="0.25">
      <c r="A21" s="17" t="s">
        <v>131</v>
      </c>
      <c r="B21" s="362" t="s">
        <v>544</v>
      </c>
      <c r="C21" s="447">
        <v>2000000</v>
      </c>
      <c r="D21" s="447">
        <v>1200000</v>
      </c>
      <c r="E21" s="447">
        <v>1000000</v>
      </c>
      <c r="F21" s="447">
        <v>1000000</v>
      </c>
    </row>
    <row r="22" spans="1:10" s="179" customFormat="1" ht="12.2" customHeight="1" thickBot="1" x14ac:dyDescent="0.25">
      <c r="A22" s="17" t="s">
        <v>23</v>
      </c>
      <c r="B22" s="365" t="s">
        <v>545</v>
      </c>
      <c r="C22" s="447"/>
      <c r="D22" s="447"/>
      <c r="E22" s="447"/>
      <c r="F22" s="447"/>
    </row>
    <row r="23" spans="1:10" s="179" customFormat="1" ht="12.2" customHeight="1" thickBot="1" x14ac:dyDescent="0.25">
      <c r="A23" s="17" t="s">
        <v>24</v>
      </c>
      <c r="B23" s="362" t="s">
        <v>237</v>
      </c>
      <c r="C23" s="448">
        <f>+C9+C10+C11+C12+C19+C20+C21+C22</f>
        <v>2604500000</v>
      </c>
      <c r="D23" s="448">
        <f>SUM(D9:D12)+SUM(D19:D22)</f>
        <v>3879000000</v>
      </c>
      <c r="E23" s="448">
        <f>SUM(E9:E12)+SUM(E19:E22)</f>
        <v>3942800000</v>
      </c>
      <c r="F23" s="448">
        <f>SUM(F9:F12)+SUM(F19:F22)</f>
        <v>4017800000</v>
      </c>
    </row>
    <row r="24" spans="1:10" s="179" customFormat="1" ht="12.2" customHeight="1" thickBot="1" x14ac:dyDescent="0.25">
      <c r="A24" s="17" t="s">
        <v>25</v>
      </c>
      <c r="B24" s="362" t="s">
        <v>546</v>
      </c>
      <c r="C24" s="639">
        <v>400000000</v>
      </c>
      <c r="D24" s="639">
        <v>2500000000</v>
      </c>
      <c r="E24" s="639">
        <v>2500000000</v>
      </c>
      <c r="F24" s="639">
        <v>2500000000</v>
      </c>
    </row>
    <row r="25" spans="1:10" s="179" customFormat="1" ht="12.2" customHeight="1" thickBot="1" x14ac:dyDescent="0.25">
      <c r="A25" s="17" t="s">
        <v>26</v>
      </c>
      <c r="B25" s="362" t="s">
        <v>547</v>
      </c>
      <c r="C25" s="448">
        <f>+C23+C24</f>
        <v>3004500000</v>
      </c>
      <c r="D25" s="448">
        <f>D23+D24</f>
        <v>6379000000</v>
      </c>
      <c r="E25" s="448">
        <f>E23+E24</f>
        <v>6442800000</v>
      </c>
      <c r="F25" s="448">
        <f>F23+F24</f>
        <v>6517800000</v>
      </c>
    </row>
    <row r="26" spans="1:10" s="179" customFormat="1" ht="12.2" customHeight="1" x14ac:dyDescent="0.2">
      <c r="A26" s="259"/>
      <c r="B26" s="260"/>
      <c r="C26" s="453"/>
      <c r="D26" s="454"/>
      <c r="E26" s="455"/>
      <c r="F26" s="455"/>
      <c r="J26" s="548"/>
    </row>
    <row r="27" spans="1:10" s="179" customFormat="1" ht="12.2" customHeight="1" x14ac:dyDescent="0.2">
      <c r="A27" s="1229" t="s">
        <v>44</v>
      </c>
      <c r="B27" s="1229"/>
      <c r="C27" s="1229"/>
      <c r="D27" s="1229"/>
      <c r="E27" s="1229"/>
    </row>
    <row r="28" spans="1:10" s="179" customFormat="1" ht="12.2" customHeight="1" thickBot="1" x14ac:dyDescent="0.25">
      <c r="A28" s="1230" t="s">
        <v>115</v>
      </c>
      <c r="B28" s="1230"/>
      <c r="C28" s="168"/>
      <c r="D28" s="657"/>
      <c r="E28" s="119"/>
      <c r="F28" s="119" t="str">
        <f>F6</f>
        <v>Forintban!</v>
      </c>
    </row>
    <row r="29" spans="1:10" s="179" customFormat="1" ht="24" customHeight="1" thickBot="1" x14ac:dyDescent="0.25">
      <c r="A29" s="20" t="s">
        <v>14</v>
      </c>
      <c r="B29" s="21" t="s">
        <v>45</v>
      </c>
      <c r="C29" s="21" t="str">
        <f>+C7</f>
        <v>2019. évi</v>
      </c>
      <c r="D29" s="21" t="str">
        <f>+D7</f>
        <v>2024. évi</v>
      </c>
      <c r="E29" s="456" t="str">
        <f>+E7</f>
        <v>2025. évi</v>
      </c>
      <c r="F29" s="456" t="str">
        <f>+F7</f>
        <v>2026. évi</v>
      </c>
    </row>
    <row r="30" spans="1:10" s="179" customFormat="1" ht="12.2" customHeight="1" thickBot="1" x14ac:dyDescent="0.25">
      <c r="A30" s="173" t="s">
        <v>382</v>
      </c>
      <c r="B30" s="174" t="s">
        <v>383</v>
      </c>
      <c r="C30" s="174" t="s">
        <v>384</v>
      </c>
      <c r="D30" s="174" t="s">
        <v>384</v>
      </c>
      <c r="E30" s="457" t="s">
        <v>434</v>
      </c>
      <c r="F30" s="457" t="s">
        <v>435</v>
      </c>
    </row>
    <row r="31" spans="1:10" s="179" customFormat="1" ht="15" customHeight="1" thickBot="1" x14ac:dyDescent="0.25">
      <c r="A31" s="17" t="s">
        <v>16</v>
      </c>
      <c r="B31" s="22" t="s">
        <v>548</v>
      </c>
      <c r="C31" s="458">
        <v>2420500000</v>
      </c>
      <c r="D31" s="458">
        <f>4019000000</f>
        <v>4019000000</v>
      </c>
      <c r="E31" s="458">
        <v>4150000000</v>
      </c>
      <c r="F31" s="215">
        <v>4300000000</v>
      </c>
    </row>
    <row r="32" spans="1:10" ht="12.2" customHeight="1" thickBot="1" x14ac:dyDescent="0.3">
      <c r="A32" s="238" t="s">
        <v>17</v>
      </c>
      <c r="B32" s="459" t="s">
        <v>549</v>
      </c>
      <c r="C32" s="460">
        <f>+C33+C34+C35</f>
        <v>457000000</v>
      </c>
      <c r="D32" s="460">
        <f>D33+D34+D35</f>
        <v>1160000000</v>
      </c>
      <c r="E32" s="460">
        <f>E33+E34+E35</f>
        <v>992800000</v>
      </c>
      <c r="F32" s="1200">
        <f>F33+F34+F35</f>
        <v>817800000</v>
      </c>
    </row>
    <row r="33" spans="1:6" ht="12.2" customHeight="1" x14ac:dyDescent="0.25">
      <c r="A33" s="12" t="s">
        <v>91</v>
      </c>
      <c r="B33" s="5" t="s">
        <v>157</v>
      </c>
      <c r="C33" s="461">
        <v>145000000</v>
      </c>
      <c r="D33" s="461">
        <v>650000000</v>
      </c>
      <c r="E33" s="461">
        <v>540000000</v>
      </c>
      <c r="F33" s="112">
        <v>500000000</v>
      </c>
    </row>
    <row r="34" spans="1:6" ht="12.2" customHeight="1" x14ac:dyDescent="0.25">
      <c r="A34" s="12" t="s">
        <v>92</v>
      </c>
      <c r="B34" s="9" t="s">
        <v>138</v>
      </c>
      <c r="C34" s="462">
        <v>292000000</v>
      </c>
      <c r="D34" s="462">
        <v>500000000</v>
      </c>
      <c r="E34" s="462">
        <v>442800000</v>
      </c>
      <c r="F34" s="111">
        <f>151000000+156800000</f>
        <v>307800000</v>
      </c>
    </row>
    <row r="35" spans="1:6" ht="12.2" customHeight="1" thickBot="1" x14ac:dyDescent="0.3">
      <c r="A35" s="12" t="s">
        <v>93</v>
      </c>
      <c r="B35" s="107" t="s">
        <v>159</v>
      </c>
      <c r="C35" s="462">
        <v>20000000</v>
      </c>
      <c r="D35" s="462">
        <v>10000000</v>
      </c>
      <c r="E35" s="462">
        <v>10000000</v>
      </c>
      <c r="F35" s="111">
        <v>10000000</v>
      </c>
    </row>
    <row r="36" spans="1:6" ht="12.2" customHeight="1" thickBot="1" x14ac:dyDescent="0.3">
      <c r="A36" s="17" t="s">
        <v>18</v>
      </c>
      <c r="B36" s="54" t="s">
        <v>406</v>
      </c>
      <c r="C36" s="463">
        <f>+C31+C32</f>
        <v>2877500000</v>
      </c>
      <c r="D36" s="463">
        <f>D31+D32</f>
        <v>5179000000</v>
      </c>
      <c r="E36" s="463">
        <f>E31+E32</f>
        <v>5142800000</v>
      </c>
      <c r="F36" s="110">
        <f>F31+F32</f>
        <v>5117800000</v>
      </c>
    </row>
    <row r="37" spans="1:6" ht="15" customHeight="1" thickBot="1" x14ac:dyDescent="0.3">
      <c r="A37" s="17" t="s">
        <v>19</v>
      </c>
      <c r="B37" s="54" t="s">
        <v>550</v>
      </c>
      <c r="C37" s="640">
        <v>155000000</v>
      </c>
      <c r="D37" s="640">
        <v>1200000000</v>
      </c>
      <c r="E37" s="640">
        <v>1300000000</v>
      </c>
      <c r="F37" s="1201">
        <v>1400000000</v>
      </c>
    </row>
    <row r="38" spans="1:6" s="179" customFormat="1" ht="12.95" customHeight="1" thickBot="1" x14ac:dyDescent="0.25">
      <c r="A38" s="108" t="s">
        <v>20</v>
      </c>
      <c r="B38" s="166" t="s">
        <v>551</v>
      </c>
      <c r="C38" s="464">
        <f>+C36+C37</f>
        <v>3032500000</v>
      </c>
      <c r="D38" s="464">
        <f>D36+D37</f>
        <v>6379000000</v>
      </c>
      <c r="E38" s="464">
        <f>E36+E37</f>
        <v>6442800000</v>
      </c>
      <c r="F38" s="189">
        <f>F36+F37</f>
        <v>6517800000</v>
      </c>
    </row>
    <row r="39" spans="1:6" x14ac:dyDescent="0.25">
      <c r="C39" s="167"/>
      <c r="D39" s="1199">
        <f>D25-D38</f>
        <v>0</v>
      </c>
      <c r="E39" s="1199">
        <f>E25-E38</f>
        <v>0</v>
      </c>
      <c r="F39" s="1199">
        <f>F25-F38</f>
        <v>0</v>
      </c>
    </row>
    <row r="40" spans="1:6" x14ac:dyDescent="0.25">
      <c r="C40" s="167"/>
    </row>
    <row r="41" spans="1:6" x14ac:dyDescent="0.25">
      <c r="C41" s="167"/>
    </row>
    <row r="42" spans="1:6" ht="16.5" customHeight="1" x14ac:dyDescent="0.25">
      <c r="C42" s="167"/>
    </row>
    <row r="43" spans="1:6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pans="3:3" x14ac:dyDescent="0.25">
      <c r="C49" s="167"/>
    </row>
    <row r="50" spans="3:3" x14ac:dyDescent="0.25">
      <c r="C50" s="167"/>
    </row>
    <row r="51" spans="3:3" x14ac:dyDescent="0.25">
      <c r="C51" s="167"/>
    </row>
  </sheetData>
  <mergeCells count="7">
    <mergeCell ref="A28:B28"/>
    <mergeCell ref="A1:F1"/>
    <mergeCell ref="A3:F3"/>
    <mergeCell ref="A5:E5"/>
    <mergeCell ref="A6:B6"/>
    <mergeCell ref="A27:E27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2"/>
  <sheetViews>
    <sheetView topLeftCell="D1" zoomScale="130" zoomScaleNormal="130" zoomScaleSheetLayoutView="160" workbookViewId="0">
      <selection activeCell="D2" sqref="D2:E2"/>
    </sheetView>
  </sheetViews>
  <sheetFormatPr defaultColWidth="10.6640625" defaultRowHeight="12.75" x14ac:dyDescent="0.2"/>
  <cols>
    <col min="1" max="2" width="9.33203125" style="284" hidden="1" customWidth="1"/>
    <col min="3" max="3" width="58.1640625" style="284" hidden="1" customWidth="1"/>
    <col min="4" max="4" width="70.1640625" style="284" customWidth="1"/>
    <col min="5" max="5" width="14.33203125" style="284" customWidth="1"/>
    <col min="6" max="6" width="9.6640625" style="284" customWidth="1"/>
    <col min="7" max="7" width="10.6640625" style="284" customWidth="1"/>
    <col min="8" max="16384" width="10.6640625" style="284"/>
  </cols>
  <sheetData>
    <row r="1" spans="4:9" x14ac:dyDescent="0.2">
      <c r="D1" s="1376" t="str">
        <f>CONCATENATE("31. melléklet ",ALAPADATOK!A7," ",ALAPADATOK!B7," ",ALAPADATOK!C7," ",ALAPADATOK!D7," ",ALAPADATOK!E7," ",ALAPADATOK!F7," ",ALAPADATOK!G7," ",ALAPADATOK!H7)</f>
        <v>31. melléklet a .. / 2023. ( …... ) önkormányzati rendelethez</v>
      </c>
      <c r="E1" s="1376"/>
      <c r="F1" s="282"/>
      <c r="G1" s="282"/>
    </row>
    <row r="2" spans="4:9" x14ac:dyDescent="0.2">
      <c r="D2" s="1339" t="s">
        <v>952</v>
      </c>
      <c r="E2" s="1339"/>
      <c r="F2" s="1046"/>
      <c r="G2" s="1046"/>
      <c r="H2" s="1046"/>
      <c r="I2" s="1046"/>
    </row>
    <row r="3" spans="4:9" x14ac:dyDescent="0.2">
      <c r="D3" s="282"/>
      <c r="E3" s="282"/>
      <c r="F3" s="282"/>
      <c r="G3" s="282"/>
    </row>
    <row r="4" spans="4:9" ht="19.5" x14ac:dyDescent="0.35">
      <c r="D4" s="1377" t="s">
        <v>561</v>
      </c>
      <c r="E4" s="1377"/>
      <c r="F4" s="283"/>
      <c r="G4" s="283"/>
    </row>
    <row r="5" spans="4:9" ht="19.5" x14ac:dyDescent="0.35">
      <c r="D5" s="1377"/>
      <c r="E5" s="1377"/>
      <c r="F5" s="283"/>
      <c r="G5" s="283"/>
    </row>
    <row r="6" spans="4:9" x14ac:dyDescent="0.2">
      <c r="D6" s="282"/>
      <c r="E6" s="282"/>
      <c r="F6" s="282"/>
      <c r="G6" s="282"/>
    </row>
    <row r="8" spans="4:9" ht="13.5" thickBot="1" x14ac:dyDescent="0.25"/>
    <row r="9" spans="4:9" ht="21.75" thickBot="1" x14ac:dyDescent="0.25">
      <c r="D9" s="961" t="s">
        <v>2</v>
      </c>
      <c r="E9" s="962" t="s">
        <v>644</v>
      </c>
    </row>
    <row r="10" spans="4:9" x14ac:dyDescent="0.2">
      <c r="D10" s="566" t="s">
        <v>939</v>
      </c>
      <c r="E10" s="853">
        <v>53</v>
      </c>
    </row>
    <row r="11" spans="4:9" x14ac:dyDescent="0.2">
      <c r="D11" s="952" t="s">
        <v>938</v>
      </c>
      <c r="E11" s="853">
        <v>19.75</v>
      </c>
    </row>
    <row r="12" spans="4:9" x14ac:dyDescent="0.2">
      <c r="D12" s="566" t="s">
        <v>558</v>
      </c>
      <c r="E12" s="628">
        <v>21</v>
      </c>
    </row>
    <row r="13" spans="4:9" x14ac:dyDescent="0.2">
      <c r="D13" s="566" t="s">
        <v>937</v>
      </c>
      <c r="E13" s="628">
        <v>150</v>
      </c>
    </row>
    <row r="14" spans="4:9" x14ac:dyDescent="0.2">
      <c r="D14" s="566" t="s">
        <v>827</v>
      </c>
      <c r="E14" s="628">
        <v>90</v>
      </c>
    </row>
    <row r="15" spans="4:9" s="567" customFormat="1" x14ac:dyDescent="0.2">
      <c r="D15" s="949" t="s">
        <v>940</v>
      </c>
      <c r="E15" s="950">
        <v>0</v>
      </c>
    </row>
    <row r="16" spans="4:9" s="567" customFormat="1" x14ac:dyDescent="0.2">
      <c r="D16" s="951" t="s">
        <v>479</v>
      </c>
      <c r="E16" s="950">
        <v>50.38</v>
      </c>
    </row>
    <row r="17" spans="4:5" s="567" customFormat="1" ht="13.5" thickBot="1" x14ac:dyDescent="0.25">
      <c r="D17" s="949" t="s">
        <v>1074</v>
      </c>
      <c r="E17" s="950">
        <v>2</v>
      </c>
    </row>
    <row r="18" spans="4:5" ht="13.5" thickBot="1" x14ac:dyDescent="0.25">
      <c r="D18" s="523" t="s">
        <v>559</v>
      </c>
      <c r="E18" s="835">
        <f>SUM(E10:E17)</f>
        <v>386.13</v>
      </c>
    </row>
    <row r="19" spans="4:5" ht="13.5" thickBot="1" x14ac:dyDescent="0.25">
      <c r="D19" s="836" t="s">
        <v>560</v>
      </c>
      <c r="E19" s="835">
        <f>E18-E14-E15-E17</f>
        <v>294.13</v>
      </c>
    </row>
    <row r="20" spans="4:5" ht="13.5" thickBot="1" x14ac:dyDescent="0.25">
      <c r="D20" s="1049" t="s">
        <v>953</v>
      </c>
      <c r="E20" s="1048">
        <v>6</v>
      </c>
    </row>
    <row r="21" spans="4:5" ht="13.5" thickBot="1" x14ac:dyDescent="0.25">
      <c r="D21" s="1049" t="s">
        <v>966</v>
      </c>
      <c r="E21" s="1048">
        <v>1.67</v>
      </c>
    </row>
    <row r="22" spans="4:5" ht="13.5" thickBot="1" x14ac:dyDescent="0.25">
      <c r="D22" s="523" t="s">
        <v>643</v>
      </c>
      <c r="E22" s="835">
        <f>E19+E20+E21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01" sqref="C101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227" t="str">
        <f>CONCATENATE("4. melléklet"," ",ALAPADATOK!A7," ",ALAPADATOK!B7," ",ALAPADATOK!C7," ",ALAPADATOK!D7," ",ALAPADATOK!E7," ",ALAPADATOK!F7," ",ALAPADATOK!G7," ",ALAPADATOK!H7)</f>
        <v>4. melléklet a .. / 2023. ( …... ) önkormányzati rendelethez</v>
      </c>
      <c r="B1" s="1227"/>
      <c r="C1" s="1227"/>
    </row>
    <row r="2" spans="1:3" x14ac:dyDescent="0.25">
      <c r="A2" s="591"/>
      <c r="B2" s="591"/>
      <c r="C2" s="591"/>
    </row>
    <row r="3" spans="1:3" x14ac:dyDescent="0.25">
      <c r="A3" s="1226" t="str">
        <f>CONCATENATE(ALAPADATOK!A3)</f>
        <v>Tiszavasvári Város Önkormányzat</v>
      </c>
      <c r="B3" s="1226"/>
      <c r="C3" s="1226"/>
    </row>
    <row r="4" spans="1:3" x14ac:dyDescent="0.25">
      <c r="A4" s="1225" t="str">
        <f>CONCATENATE(ALAPADATOK!D7," ÉVI KÖLTSÉGVETÉS")</f>
        <v>2023. ÉVI KÖLTSÉGVETÉS</v>
      </c>
      <c r="B4" s="1225"/>
      <c r="C4" s="1225"/>
    </row>
    <row r="5" spans="1:3" x14ac:dyDescent="0.25">
      <c r="A5" s="1225" t="s">
        <v>667</v>
      </c>
      <c r="B5" s="1225"/>
      <c r="C5" s="1225"/>
    </row>
    <row r="7" spans="1:3" ht="15.95" customHeight="1" x14ac:dyDescent="0.25">
      <c r="A7" s="1229" t="s">
        <v>13</v>
      </c>
      <c r="B7" s="1229"/>
      <c r="C7" s="1229"/>
    </row>
    <row r="8" spans="1:3" ht="15.95" customHeight="1" thickBot="1" x14ac:dyDescent="0.3">
      <c r="A8" s="1228" t="s">
        <v>114</v>
      </c>
      <c r="B8" s="1228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976</v>
      </c>
    </row>
    <row r="10" spans="1:3" s="178" customFormat="1" ht="12.2" customHeight="1" thickBot="1" x14ac:dyDescent="0.25">
      <c r="A10" s="173" t="s">
        <v>382</v>
      </c>
      <c r="B10" s="661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1557418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4">
        <f>1557418</f>
        <v>1557418</v>
      </c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100000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972"/>
    </row>
    <row r="46" spans="1:3" s="179" customFormat="1" ht="12.2" customHeight="1" x14ac:dyDescent="0.2">
      <c r="A46" s="11" t="s">
        <v>127</v>
      </c>
      <c r="B46" s="181" t="s">
        <v>211</v>
      </c>
      <c r="C46" s="972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972"/>
    </row>
    <row r="49" spans="1:3" s="179" customFormat="1" ht="12.2" customHeight="1" x14ac:dyDescent="0.2">
      <c r="A49" s="11" t="s">
        <v>130</v>
      </c>
      <c r="B49" s="181" t="s">
        <v>474</v>
      </c>
      <c r="C49" s="972"/>
    </row>
    <row r="50" spans="1:3" s="179" customFormat="1" ht="12.2" customHeight="1" x14ac:dyDescent="0.2">
      <c r="A50" s="11" t="s">
        <v>205</v>
      </c>
      <c r="B50" s="181" t="s">
        <v>215</v>
      </c>
      <c r="C50" s="972"/>
    </row>
    <row r="51" spans="1:3" s="179" customFormat="1" ht="12.2" customHeight="1" x14ac:dyDescent="0.2">
      <c r="A51" s="13" t="s">
        <v>206</v>
      </c>
      <c r="B51" s="182" t="s">
        <v>388</v>
      </c>
      <c r="C51" s="973"/>
    </row>
    <row r="52" spans="1:3" s="179" customFormat="1" ht="12.2" customHeight="1" thickBot="1" x14ac:dyDescent="0.25">
      <c r="A52" s="13" t="s">
        <v>389</v>
      </c>
      <c r="B52" s="107" t="s">
        <v>216</v>
      </c>
      <c r="C52" s="170">
        <v>100000</v>
      </c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1657418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1657418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229" t="s">
        <v>44</v>
      </c>
      <c r="B96" s="1229"/>
      <c r="C96" s="1229"/>
    </row>
    <row r="97" spans="1:3" ht="16.5" customHeight="1" thickBot="1" x14ac:dyDescent="0.3">
      <c r="A97" s="1230" t="s">
        <v>115</v>
      </c>
      <c r="B97" s="1230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301916670</v>
      </c>
    </row>
    <row r="101" spans="1:3" ht="12.2" customHeight="1" x14ac:dyDescent="0.25">
      <c r="A101" s="14" t="s">
        <v>85</v>
      </c>
      <c r="B101" s="7" t="s">
        <v>46</v>
      </c>
      <c r="C101" s="251">
        <f>216051852+1378246</f>
        <v>217430098</v>
      </c>
    </row>
    <row r="102" spans="1:3" ht="12.2" customHeight="1" x14ac:dyDescent="0.25">
      <c r="A102" s="11" t="s">
        <v>86</v>
      </c>
      <c r="B102" s="5" t="s">
        <v>134</v>
      </c>
      <c r="C102" s="114">
        <f>32641693+179172</f>
        <v>32820865</v>
      </c>
    </row>
    <row r="103" spans="1:3" ht="12.2" customHeight="1" x14ac:dyDescent="0.25">
      <c r="A103" s="11" t="s">
        <v>87</v>
      </c>
      <c r="B103" s="5" t="s">
        <v>110</v>
      </c>
      <c r="C103" s="170">
        <v>51665707</v>
      </c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4549197</v>
      </c>
    </row>
    <row r="122" spans="1:3" ht="12.2" customHeight="1" x14ac:dyDescent="0.25">
      <c r="A122" s="12" t="s">
        <v>91</v>
      </c>
      <c r="B122" s="5" t="s">
        <v>157</v>
      </c>
      <c r="C122" s="214">
        <v>4549197</v>
      </c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306465867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306465867</v>
      </c>
    </row>
    <row r="162" spans="1:3" ht="7.5" customHeight="1" x14ac:dyDescent="0.25"/>
    <row r="163" spans="1:3" x14ac:dyDescent="0.25">
      <c r="A163" s="1225" t="s">
        <v>306</v>
      </c>
      <c r="B163" s="1225"/>
      <c r="C163" s="1225"/>
    </row>
    <row r="164" spans="1:3" ht="15" customHeight="1" thickBot="1" x14ac:dyDescent="0.3">
      <c r="A164" s="1228" t="s">
        <v>116</v>
      </c>
      <c r="B164" s="1228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-304808449</v>
      </c>
    </row>
    <row r="166" spans="1:3" ht="21.75" thickBot="1" x14ac:dyDescent="0.3">
      <c r="A166" s="17" t="s">
        <v>17</v>
      </c>
      <c r="B166" s="22" t="s">
        <v>698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topLeftCell="A25" zoomScale="115" zoomScaleNormal="115" zoomScaleSheetLayoutView="100" workbookViewId="0">
      <selection activeCell="A7" sqref="A7:C7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227" t="str">
        <f>CONCATENATE("5. melléklet"," ",ALAPADATOK!A7," ",ALAPADATOK!B7," ",ALAPADATOK!C7," ",ALAPADATOK!D7," ",ALAPADATOK!E7," ",ALAPADATOK!F7," ",ALAPADATOK!G7," ",ALAPADATOK!H7)</f>
        <v>5. melléklet a .. / 2023. ( …... ) önkormányzati rendelethez</v>
      </c>
      <c r="B1" s="1227"/>
      <c r="C1" s="1227"/>
    </row>
    <row r="2" spans="1:3" x14ac:dyDescent="0.25">
      <c r="A2" s="591"/>
      <c r="B2" s="591"/>
      <c r="C2" s="591"/>
    </row>
    <row r="3" spans="1:3" x14ac:dyDescent="0.25">
      <c r="A3" s="1226" t="str">
        <f>CONCATENATE(ALAPADATOK!A3)</f>
        <v>Tiszavasvári Város Önkormányzat</v>
      </c>
      <c r="B3" s="1226"/>
      <c r="C3" s="1226"/>
    </row>
    <row r="4" spans="1:3" x14ac:dyDescent="0.25">
      <c r="A4" s="1225" t="str">
        <f>CONCATENATE(ALAPADATOK!D7," ÉVI KÖLTSÉGVETÉS")</f>
        <v>2023. ÉVI KÖLTSÉGVETÉS</v>
      </c>
      <c r="B4" s="1225"/>
      <c r="C4" s="1225"/>
    </row>
    <row r="5" spans="1:3" x14ac:dyDescent="0.25">
      <c r="A5" s="1225" t="s">
        <v>666</v>
      </c>
      <c r="B5" s="1225"/>
      <c r="C5" s="1225"/>
    </row>
    <row r="6" spans="1:3" x14ac:dyDescent="0.25">
      <c r="C6" s="168" t="s">
        <v>828</v>
      </c>
    </row>
    <row r="7" spans="1:3" ht="15.95" customHeight="1" x14ac:dyDescent="0.25">
      <c r="A7" s="1229" t="s">
        <v>13</v>
      </c>
      <c r="B7" s="1229"/>
      <c r="C7" s="1229"/>
    </row>
    <row r="8" spans="1:3" ht="15.95" customHeight="1" thickBot="1" x14ac:dyDescent="0.3">
      <c r="A8" s="1228" t="s">
        <v>114</v>
      </c>
      <c r="B8" s="1228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976</v>
      </c>
    </row>
    <row r="10" spans="1:3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1"/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114"/>
    </row>
    <row r="46" spans="1:3" s="179" customFormat="1" ht="12.2" customHeight="1" x14ac:dyDescent="0.2">
      <c r="A46" s="11" t="s">
        <v>127</v>
      </c>
      <c r="B46" s="181" t="s">
        <v>211</v>
      </c>
      <c r="C46" s="114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114"/>
    </row>
    <row r="49" spans="1:3" s="179" customFormat="1" ht="12.2" customHeight="1" x14ac:dyDescent="0.2">
      <c r="A49" s="11" t="s">
        <v>130</v>
      </c>
      <c r="B49" s="181" t="s">
        <v>474</v>
      </c>
      <c r="C49" s="114"/>
    </row>
    <row r="50" spans="1:3" s="179" customFormat="1" ht="12.2" customHeight="1" x14ac:dyDescent="0.2">
      <c r="A50" s="11" t="s">
        <v>205</v>
      </c>
      <c r="B50" s="181" t="s">
        <v>215</v>
      </c>
      <c r="C50" s="114"/>
    </row>
    <row r="51" spans="1:3" s="179" customFormat="1" ht="12.2" customHeight="1" x14ac:dyDescent="0.2">
      <c r="A51" s="13" t="s">
        <v>206</v>
      </c>
      <c r="B51" s="182" t="s">
        <v>388</v>
      </c>
      <c r="C51" s="170"/>
    </row>
    <row r="52" spans="1:3" s="179" customFormat="1" ht="12.2" customHeight="1" thickBot="1" x14ac:dyDescent="0.25">
      <c r="A52" s="13" t="s">
        <v>389</v>
      </c>
      <c r="B52" s="107" t="s">
        <v>216</v>
      </c>
      <c r="C52" s="170"/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0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229" t="s">
        <v>44</v>
      </c>
      <c r="B96" s="1229"/>
      <c r="C96" s="1229"/>
    </row>
    <row r="97" spans="1:3" ht="16.5" customHeight="1" thickBot="1" x14ac:dyDescent="0.3">
      <c r="A97" s="1230" t="s">
        <v>115</v>
      </c>
      <c r="B97" s="1230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0</v>
      </c>
    </row>
    <row r="101" spans="1:3" ht="12.2" customHeight="1" x14ac:dyDescent="0.25">
      <c r="A101" s="14" t="s">
        <v>85</v>
      </c>
      <c r="B101" s="7" t="s">
        <v>46</v>
      </c>
      <c r="C101" s="251"/>
    </row>
    <row r="102" spans="1:3" ht="12.2" customHeight="1" x14ac:dyDescent="0.25">
      <c r="A102" s="11" t="s">
        <v>86</v>
      </c>
      <c r="B102" s="5" t="s">
        <v>134</v>
      </c>
      <c r="C102" s="114"/>
    </row>
    <row r="103" spans="1:3" ht="12.2" customHeight="1" x14ac:dyDescent="0.25">
      <c r="A103" s="11" t="s">
        <v>87</v>
      </c>
      <c r="B103" s="5" t="s">
        <v>110</v>
      </c>
      <c r="C103" s="170"/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0</v>
      </c>
    </row>
    <row r="122" spans="1:3" ht="12.2" customHeight="1" x14ac:dyDescent="0.25">
      <c r="A122" s="12" t="s">
        <v>91</v>
      </c>
      <c r="B122" s="5" t="s">
        <v>157</v>
      </c>
      <c r="C122" s="214"/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0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0</v>
      </c>
    </row>
    <row r="162" spans="1:3" ht="7.5" customHeight="1" x14ac:dyDescent="0.25"/>
    <row r="163" spans="1:3" x14ac:dyDescent="0.25">
      <c r="A163" s="1225" t="s">
        <v>306</v>
      </c>
      <c r="B163" s="1225"/>
      <c r="C163" s="1225"/>
    </row>
    <row r="164" spans="1:3" ht="15" customHeight="1" thickBot="1" x14ac:dyDescent="0.3">
      <c r="A164" s="1228" t="s">
        <v>116</v>
      </c>
      <c r="B164" s="1228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432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6" zoomScale="115" zoomScaleNormal="115" zoomScaleSheetLayoutView="100" workbookViewId="0">
      <selection activeCell="E32" sqref="E32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236" t="s">
        <v>119</v>
      </c>
      <c r="B1" s="1236"/>
      <c r="C1" s="1236"/>
      <c r="D1" s="1236"/>
      <c r="E1" s="1236"/>
      <c r="F1" s="1232" t="str">
        <f>CONCATENATE("5. melléklet ",ALAPADATOK!A7," ",ALAPADATOK!B7," ",ALAPADATOK!C7," ",ALAPADATOK!D7," ",ALAPADATOK!E7," ",ALAPADATOK!F7," ",ALAPADATOK!G7," ",ALAPADATOK!H7)</f>
        <v>5. melléklet a .. / 2023. ( …... ) önkormányzati rendelethez</v>
      </c>
    </row>
    <row r="2" spans="1:6" ht="39.75" hidden="1" customHeight="1" thickBot="1" x14ac:dyDescent="0.25">
      <c r="A2" s="927"/>
      <c r="B2" s="923"/>
      <c r="C2" s="923"/>
      <c r="D2" s="923"/>
      <c r="E2" s="923"/>
      <c r="F2" s="1232"/>
    </row>
    <row r="3" spans="1:6" ht="18" customHeight="1" thickBot="1" x14ac:dyDescent="0.25">
      <c r="A3" s="1233" t="s">
        <v>63</v>
      </c>
      <c r="B3" s="472" t="s">
        <v>52</v>
      </c>
      <c r="C3" s="473"/>
      <c r="D3" s="472" t="s">
        <v>53</v>
      </c>
      <c r="E3" s="474"/>
      <c r="F3" s="1232"/>
    </row>
    <row r="4" spans="1:6" s="126" customFormat="1" ht="35.450000000000003" customHeight="1" thickBot="1" x14ac:dyDescent="0.25">
      <c r="A4" s="1234"/>
      <c r="B4" s="475" t="s">
        <v>57</v>
      </c>
      <c r="C4" s="476" t="s">
        <v>977</v>
      </c>
      <c r="D4" s="475" t="s">
        <v>57</v>
      </c>
      <c r="E4" s="477" t="str">
        <f>+C4</f>
        <v>2023.évi előirányzat</v>
      </c>
      <c r="F4" s="1232"/>
    </row>
    <row r="5" spans="1:6" s="131" customFormat="1" ht="12.2" customHeight="1" thickBot="1" x14ac:dyDescent="0.25">
      <c r="A5" s="127" t="s">
        <v>382</v>
      </c>
      <c r="B5" s="128" t="s">
        <v>383</v>
      </c>
      <c r="C5" s="129" t="s">
        <v>384</v>
      </c>
      <c r="D5" s="128" t="s">
        <v>434</v>
      </c>
      <c r="E5" s="130" t="s">
        <v>435</v>
      </c>
      <c r="F5" s="1232"/>
    </row>
    <row r="6" spans="1:6" ht="12.95" customHeight="1" x14ac:dyDescent="0.2">
      <c r="A6" s="132" t="s">
        <v>16</v>
      </c>
      <c r="B6" s="148" t="s">
        <v>307</v>
      </c>
      <c r="C6" s="468">
        <f>'1. sz.mell. '!C11</f>
        <v>2224660652</v>
      </c>
      <c r="D6" s="148" t="s">
        <v>58</v>
      </c>
      <c r="E6" s="34">
        <f>'1. sz.mell. '!C100</f>
        <v>1581958868</v>
      </c>
      <c r="F6" s="1232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360746486</v>
      </c>
      <c r="D7" s="138" t="s">
        <v>134</v>
      </c>
      <c r="E7" s="34">
        <f>'1. sz.mell. '!C101</f>
        <v>222495470</v>
      </c>
      <c r="F7" s="1232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112633555</v>
      </c>
      <c r="D8" s="138" t="s">
        <v>162</v>
      </c>
      <c r="E8" s="34">
        <f>'1. sz.mell. '!C102</f>
        <v>1769446280</v>
      </c>
      <c r="F8" s="1232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639195000</v>
      </c>
      <c r="D9" s="138" t="s">
        <v>135</v>
      </c>
      <c r="E9" s="36">
        <f>'1. sz.mell. '!C103</f>
        <v>45000000</v>
      </c>
      <c r="F9" s="1232"/>
    </row>
    <row r="10" spans="1:6" ht="12.95" customHeight="1" x14ac:dyDescent="0.2">
      <c r="A10" s="134" t="s">
        <v>20</v>
      </c>
      <c r="B10" s="478" t="s">
        <v>351</v>
      </c>
      <c r="C10" s="35">
        <f>'1. sz.mell. '!C41</f>
        <v>496802113</v>
      </c>
      <c r="D10" s="138" t="s">
        <v>136</v>
      </c>
      <c r="E10" s="36">
        <f>'1. sz.mell. '!C104</f>
        <v>200917499</v>
      </c>
      <c r="F10" s="1232"/>
    </row>
    <row r="11" spans="1:6" ht="12.95" customHeight="1" x14ac:dyDescent="0.2">
      <c r="A11" s="134" t="s">
        <v>21</v>
      </c>
      <c r="B11" s="138" t="s">
        <v>309</v>
      </c>
      <c r="C11" s="252">
        <f>'1. sz.mell. '!C59</f>
        <v>1200000</v>
      </c>
      <c r="D11" s="138" t="s">
        <v>47</v>
      </c>
      <c r="E11" s="36">
        <f>'1. sz.mell. '!C117-'7. sz.mell .'!E17</f>
        <v>15848438</v>
      </c>
      <c r="F11" s="1232"/>
    </row>
    <row r="12" spans="1:6" ht="12.95" customHeight="1" x14ac:dyDescent="0.2">
      <c r="A12" s="134" t="s">
        <v>22</v>
      </c>
      <c r="B12" s="138" t="s">
        <v>436</v>
      </c>
      <c r="C12" s="35">
        <f>'1. sz.mell. '!C63</f>
        <v>0</v>
      </c>
      <c r="D12" s="271"/>
      <c r="E12" s="36"/>
      <c r="F12" s="1232"/>
    </row>
    <row r="13" spans="1:6" ht="12.95" customHeight="1" x14ac:dyDescent="0.2">
      <c r="A13" s="134" t="s">
        <v>23</v>
      </c>
      <c r="B13" s="271"/>
      <c r="C13" s="35"/>
      <c r="D13" s="271"/>
      <c r="E13" s="36"/>
      <c r="F13" s="1232"/>
    </row>
    <row r="14" spans="1:6" ht="12.95" customHeight="1" x14ac:dyDescent="0.2">
      <c r="A14" s="134" t="s">
        <v>24</v>
      </c>
      <c r="B14" s="191"/>
      <c r="C14" s="252"/>
      <c r="D14" s="271"/>
      <c r="E14" s="36"/>
      <c r="F14" s="1232"/>
    </row>
    <row r="15" spans="1:6" ht="12.95" customHeight="1" x14ac:dyDescent="0.2">
      <c r="A15" s="134" t="s">
        <v>25</v>
      </c>
      <c r="B15" s="271"/>
      <c r="C15" s="35"/>
      <c r="D15" s="271"/>
      <c r="E15" s="36"/>
      <c r="F15" s="1232"/>
    </row>
    <row r="16" spans="1:6" ht="12.95" customHeight="1" x14ac:dyDescent="0.2">
      <c r="A16" s="134" t="s">
        <v>26</v>
      </c>
      <c r="B16" s="271"/>
      <c r="C16" s="35"/>
      <c r="D16" s="271"/>
      <c r="E16" s="36"/>
      <c r="F16" s="1232"/>
    </row>
    <row r="17" spans="1:6" ht="12.95" customHeight="1" thickBot="1" x14ac:dyDescent="0.25">
      <c r="A17" s="134" t="s">
        <v>27</v>
      </c>
      <c r="B17" s="479"/>
      <c r="C17" s="360"/>
      <c r="D17" s="271"/>
      <c r="E17" s="389"/>
      <c r="F17" s="1232"/>
    </row>
    <row r="18" spans="1:6" ht="15.95" customHeight="1" thickBot="1" x14ac:dyDescent="0.25">
      <c r="A18" s="136" t="s">
        <v>28</v>
      </c>
      <c r="B18" s="55" t="s">
        <v>437</v>
      </c>
      <c r="C18" s="120">
        <f>SUM(C6:C17)-C8</f>
        <v>3722604251</v>
      </c>
      <c r="D18" s="55" t="s">
        <v>314</v>
      </c>
      <c r="E18" s="124">
        <f>SUM(E6:E17)</f>
        <v>3835666555</v>
      </c>
      <c r="F18" s="1232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69750168</v>
      </c>
      <c r="D19" s="138" t="s">
        <v>142</v>
      </c>
      <c r="E19" s="125"/>
      <c r="F19" s="1232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69750168</v>
      </c>
      <c r="D20" s="138" t="s">
        <v>313</v>
      </c>
      <c r="E20" s="36">
        <f>'1. sz.mell. '!C137</f>
        <v>1100000000</v>
      </c>
      <c r="F20" s="1232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232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232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232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1100000000</v>
      </c>
      <c r="D24" s="138" t="s">
        <v>143</v>
      </c>
      <c r="E24" s="36"/>
      <c r="F24" s="1232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1100000000</v>
      </c>
      <c r="D25" s="148" t="s">
        <v>419</v>
      </c>
      <c r="E25" s="125"/>
      <c r="F25" s="1232"/>
    </row>
    <row r="26" spans="1:6" ht="12.95" customHeight="1" x14ac:dyDescent="0.2">
      <c r="A26" s="134" t="s">
        <v>36</v>
      </c>
      <c r="B26" s="138" t="s">
        <v>438</v>
      </c>
      <c r="C26" s="35"/>
      <c r="D26" s="138" t="s">
        <v>427</v>
      </c>
      <c r="E26" s="36"/>
      <c r="F26" s="1232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61842606</v>
      </c>
      <c r="D27" s="138" t="s">
        <v>428</v>
      </c>
      <c r="E27" s="36"/>
      <c r="F27" s="1232"/>
    </row>
    <row r="28" spans="1:6" ht="12.95" customHeight="1" thickBot="1" x14ac:dyDescent="0.25">
      <c r="A28" s="169" t="s">
        <v>38</v>
      </c>
      <c r="B28" s="137" t="s">
        <v>268</v>
      </c>
      <c r="C28" s="121"/>
      <c r="D28" s="480" t="s">
        <v>477</v>
      </c>
      <c r="E28" s="125">
        <f>'1. sz.mell. '!C148</f>
        <v>61842606</v>
      </c>
      <c r="F28" s="1232"/>
    </row>
    <row r="29" spans="1:6" ht="21.75" customHeight="1" thickBot="1" x14ac:dyDescent="0.25">
      <c r="A29" s="136" t="s">
        <v>39</v>
      </c>
      <c r="B29" s="55" t="s">
        <v>439</v>
      </c>
      <c r="C29" s="120">
        <f>+C19+C24+C27+C28</f>
        <v>1231592774</v>
      </c>
      <c r="D29" s="55" t="s">
        <v>440</v>
      </c>
      <c r="E29" s="124">
        <f>SUM(E19:E28)</f>
        <v>1161842606</v>
      </c>
      <c r="F29" s="1232"/>
    </row>
    <row r="30" spans="1:6" ht="13.5" thickBot="1" x14ac:dyDescent="0.25">
      <c r="A30" s="136" t="s">
        <v>40</v>
      </c>
      <c r="B30" s="140" t="s">
        <v>441</v>
      </c>
      <c r="C30" s="276">
        <f>+C18+C29</f>
        <v>4954197025</v>
      </c>
      <c r="D30" s="140" t="s">
        <v>442</v>
      </c>
      <c r="E30" s="276">
        <f>E29+E18</f>
        <v>4997509161</v>
      </c>
      <c r="F30" s="1232"/>
    </row>
    <row r="31" spans="1:6" ht="13.5" thickBot="1" x14ac:dyDescent="0.25">
      <c r="A31" s="136" t="s">
        <v>41</v>
      </c>
      <c r="B31" s="140" t="s">
        <v>120</v>
      </c>
      <c r="C31" s="276">
        <f>IF(C18-E18&lt;0,E18-C18,"-")</f>
        <v>113062304</v>
      </c>
      <c r="D31" s="140" t="s">
        <v>121</v>
      </c>
      <c r="E31" s="276" t="str">
        <f>IF(C18-E18&gt;0,C18-E18,"-")</f>
        <v>-</v>
      </c>
      <c r="F31" s="1232"/>
    </row>
    <row r="32" spans="1:6" ht="13.5" thickBot="1" x14ac:dyDescent="0.25">
      <c r="A32" s="136" t="s">
        <v>42</v>
      </c>
      <c r="B32" s="140" t="s">
        <v>713</v>
      </c>
      <c r="C32" s="276" t="str">
        <f>IF(C29-E29&lt;0,E29-C29,"-")</f>
        <v>-</v>
      </c>
      <c r="D32" s="140" t="s">
        <v>714</v>
      </c>
      <c r="E32" s="276">
        <f>IF(C29-E29&gt;0,C29-E29,"-")</f>
        <v>69750168</v>
      </c>
      <c r="F32" s="1232"/>
    </row>
    <row r="33" spans="1:6" ht="13.5" thickBot="1" x14ac:dyDescent="0.25">
      <c r="A33" s="136" t="s">
        <v>43</v>
      </c>
      <c r="B33" s="140" t="s">
        <v>164</v>
      </c>
      <c r="C33" s="141">
        <f>IF(C30-E30&lt;0,E30-C30,"-")</f>
        <v>43312136</v>
      </c>
      <c r="D33" s="140" t="s">
        <v>165</v>
      </c>
      <c r="E33" s="276" t="str">
        <f>IF(C30-E30&gt;0,C30-E30,"-")</f>
        <v>-</v>
      </c>
      <c r="F33" s="1232"/>
    </row>
    <row r="34" spans="1:6" ht="18.75" x14ac:dyDescent="0.2">
      <c r="B34" s="1235"/>
      <c r="C34" s="1235"/>
      <c r="D34" s="1235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G41"/>
  <sheetViews>
    <sheetView topLeftCell="A22" zoomScale="130" zoomScaleNormal="130" zoomScaleSheetLayoutView="115" workbookViewId="0">
      <selection activeCell="C33" sqref="C33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237" t="s">
        <v>495</v>
      </c>
      <c r="B2" s="1237"/>
      <c r="C2" s="1237"/>
      <c r="D2" s="1237"/>
      <c r="E2" s="1237"/>
      <c r="F2" s="1232" t="str">
        <f>CONCATENATE("6. melléklet ",ALAPADATOK!A7," ",ALAPADATOK!B7," ",ALAPADATOK!C7," ",ALAPADATOK!D7," ",ALAPADATOK!E7," ",ALAPADATOK!F7," ",ALAPADATOK!G7," ",ALAPADATOK!H7)</f>
        <v>6. melléklet a .. / 2023. ( …... ) önkormányzati rendelethez</v>
      </c>
    </row>
    <row r="3" spans="1:6" ht="37.5" hidden="1" customHeight="1" thickBot="1" x14ac:dyDescent="0.25">
      <c r="A3" s="618"/>
      <c r="B3" s="930"/>
      <c r="C3" s="930"/>
      <c r="D3" s="930"/>
      <c r="E3" s="930"/>
      <c r="F3" s="1232"/>
    </row>
    <row r="4" spans="1:6" ht="13.7" customHeight="1" thickBot="1" x14ac:dyDescent="0.25">
      <c r="A4" s="1233" t="s">
        <v>63</v>
      </c>
      <c r="B4" s="70" t="s">
        <v>52</v>
      </c>
      <c r="C4" s="932"/>
      <c r="D4" s="70" t="s">
        <v>53</v>
      </c>
      <c r="E4" s="933"/>
      <c r="F4" s="1232"/>
    </row>
    <row r="5" spans="1:6" s="126" customFormat="1" ht="24.75" thickBot="1" x14ac:dyDescent="0.25">
      <c r="A5" s="1234"/>
      <c r="B5" s="70" t="s">
        <v>57</v>
      </c>
      <c r="C5" s="29" t="s">
        <v>976</v>
      </c>
      <c r="D5" s="70" t="s">
        <v>57</v>
      </c>
      <c r="E5" s="29" t="str">
        <f>C5</f>
        <v>2023. évi előirányzat</v>
      </c>
      <c r="F5" s="1232"/>
    </row>
    <row r="6" spans="1:6" s="126" customFormat="1" ht="13.5" thickBot="1" x14ac:dyDescent="0.25">
      <c r="A6" s="127" t="s">
        <v>382</v>
      </c>
      <c r="B6" s="128" t="s">
        <v>383</v>
      </c>
      <c r="C6" s="129" t="s">
        <v>384</v>
      </c>
      <c r="D6" s="128" t="s">
        <v>434</v>
      </c>
      <c r="E6" s="130" t="s">
        <v>435</v>
      </c>
      <c r="F6" s="1232"/>
    </row>
    <row r="7" spans="1:6" ht="12.95" customHeight="1" x14ac:dyDescent="0.2">
      <c r="A7" s="132" t="s">
        <v>16</v>
      </c>
      <c r="B7" s="133" t="s">
        <v>315</v>
      </c>
      <c r="C7" s="468">
        <f>'1. sz.mell. '!C27</f>
        <v>580378505</v>
      </c>
      <c r="D7" s="148" t="s">
        <v>157</v>
      </c>
      <c r="E7" s="34">
        <f>'1. sz.mell. '!C121</f>
        <v>980738840</v>
      </c>
      <c r="F7" s="1232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544231505</v>
      </c>
      <c r="D8" s="138" t="s">
        <v>321</v>
      </c>
      <c r="E8" s="655">
        <f>'1. sz.mell. '!C122</f>
        <v>467202478</v>
      </c>
      <c r="F8" s="1232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60500000</v>
      </c>
      <c r="D9" s="138" t="s">
        <v>138</v>
      </c>
      <c r="E9" s="655">
        <f>'1. sz.mell. '!C123</f>
        <v>1817750243</v>
      </c>
      <c r="F9" s="1232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0</v>
      </c>
      <c r="D10" s="138" t="s">
        <v>322</v>
      </c>
      <c r="E10" s="655">
        <f>'1. sz.mell. '!C124</f>
        <v>1200783442</v>
      </c>
      <c r="F10" s="1232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4606442</v>
      </c>
      <c r="F11" s="1232"/>
    </row>
    <row r="12" spans="1:6" ht="12.95" customHeight="1" x14ac:dyDescent="0.2">
      <c r="A12" s="134" t="s">
        <v>21</v>
      </c>
      <c r="B12" s="135" t="s">
        <v>319</v>
      </c>
      <c r="C12" s="252"/>
      <c r="D12" s="242"/>
      <c r="E12" s="36"/>
      <c r="F12" s="1232"/>
    </row>
    <row r="13" spans="1:6" ht="12.95" customHeight="1" x14ac:dyDescent="0.2">
      <c r="A13" s="134" t="s">
        <v>22</v>
      </c>
      <c r="B13" s="30"/>
      <c r="C13" s="35"/>
      <c r="D13" s="242"/>
      <c r="E13" s="36"/>
      <c r="F13" s="1232"/>
    </row>
    <row r="14" spans="1:6" ht="12.95" customHeight="1" x14ac:dyDescent="0.2">
      <c r="A14" s="134" t="s">
        <v>23</v>
      </c>
      <c r="B14" s="30"/>
      <c r="C14" s="35"/>
      <c r="D14" s="242"/>
      <c r="E14" s="36"/>
      <c r="F14" s="1232"/>
    </row>
    <row r="15" spans="1:6" ht="12.95" customHeight="1" x14ac:dyDescent="0.2">
      <c r="A15" s="134" t="s">
        <v>24</v>
      </c>
      <c r="B15" s="243"/>
      <c r="C15" s="252"/>
      <c r="D15" s="242"/>
      <c r="E15" s="36"/>
      <c r="F15" s="1232"/>
    </row>
    <row r="16" spans="1:6" x14ac:dyDescent="0.2">
      <c r="A16" s="134" t="s">
        <v>25</v>
      </c>
      <c r="B16" s="30"/>
      <c r="C16" s="252"/>
      <c r="D16" s="242"/>
      <c r="E16" s="36"/>
      <c r="F16" s="1232"/>
    </row>
    <row r="17" spans="1:7" ht="12.95" customHeight="1" thickBot="1" x14ac:dyDescent="0.25">
      <c r="A17" s="169" t="s">
        <v>26</v>
      </c>
      <c r="B17" s="192"/>
      <c r="C17" s="272"/>
      <c r="D17" s="137" t="s">
        <v>47</v>
      </c>
      <c r="E17" s="125">
        <v>98240838</v>
      </c>
      <c r="F17" s="1232"/>
    </row>
    <row r="18" spans="1:7" ht="15.95" customHeight="1" thickBot="1" x14ac:dyDescent="0.25">
      <c r="A18" s="136" t="s">
        <v>27</v>
      </c>
      <c r="B18" s="55" t="s">
        <v>329</v>
      </c>
      <c r="C18" s="120">
        <f>+C7+C9+C10+C12+C13+C14+C15+C16+C17</f>
        <v>640878505</v>
      </c>
      <c r="D18" s="55" t="s">
        <v>330</v>
      </c>
      <c r="E18" s="124">
        <f>+E7+E9+E11+E12+E13+E14+E15+E16+E17</f>
        <v>2901336363</v>
      </c>
      <c r="F18" s="1232"/>
    </row>
    <row r="19" spans="1:7" ht="12.95" customHeight="1" x14ac:dyDescent="0.2">
      <c r="A19" s="132" t="s">
        <v>28</v>
      </c>
      <c r="B19" s="144" t="s">
        <v>177</v>
      </c>
      <c r="C19" s="151">
        <f>+C20+C21+C22+C23+C24</f>
        <v>2171629856</v>
      </c>
      <c r="D19" s="138" t="s">
        <v>142</v>
      </c>
      <c r="E19" s="34"/>
      <c r="F19" s="1232"/>
    </row>
    <row r="20" spans="1:7" ht="22.7" customHeight="1" x14ac:dyDescent="0.2">
      <c r="A20" s="134" t="s">
        <v>29</v>
      </c>
      <c r="B20" s="145" t="s">
        <v>941</v>
      </c>
      <c r="C20" s="35">
        <v>2171629856</v>
      </c>
      <c r="D20" s="138" t="s">
        <v>145</v>
      </c>
      <c r="E20" s="36">
        <f>SUM(E21:E22)</f>
        <v>21918686</v>
      </c>
      <c r="F20" s="1232"/>
      <c r="G20" s="1188"/>
    </row>
    <row r="21" spans="1:7" ht="12.95" customHeight="1" x14ac:dyDescent="0.2">
      <c r="A21" s="132" t="s">
        <v>30</v>
      </c>
      <c r="B21" s="145" t="s">
        <v>167</v>
      </c>
      <c r="C21" s="35"/>
      <c r="D21" s="524" t="s">
        <v>117</v>
      </c>
      <c r="E21" s="36"/>
      <c r="F21" s="1232"/>
    </row>
    <row r="22" spans="1:7" ht="12.95" customHeight="1" x14ac:dyDescent="0.2">
      <c r="A22" s="134" t="s">
        <v>31</v>
      </c>
      <c r="B22" s="145" t="s">
        <v>168</v>
      </c>
      <c r="C22" s="35"/>
      <c r="D22" s="524" t="s">
        <v>118</v>
      </c>
      <c r="E22" s="36">
        <f>'1. sz.mell. '!C136</f>
        <v>21918686</v>
      </c>
      <c r="F22" s="1232"/>
    </row>
    <row r="23" spans="1:7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232"/>
    </row>
    <row r="24" spans="1:7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232"/>
    </row>
    <row r="25" spans="1:7" ht="12.95" customHeight="1" x14ac:dyDescent="0.2">
      <c r="A25" s="132" t="s">
        <v>34</v>
      </c>
      <c r="B25" s="147" t="s">
        <v>171</v>
      </c>
      <c r="C25" s="361">
        <f>+C26+C27+C28+C29+C30</f>
        <v>154058824</v>
      </c>
      <c r="D25" s="148" t="s">
        <v>144</v>
      </c>
      <c r="E25" s="36"/>
      <c r="F25" s="1232"/>
    </row>
    <row r="26" spans="1:7" ht="12.95" customHeight="1" x14ac:dyDescent="0.2">
      <c r="A26" s="134" t="s">
        <v>35</v>
      </c>
      <c r="B26" s="146" t="s">
        <v>172</v>
      </c>
      <c r="C26" s="35">
        <f>'1. sz.mell. '!C71</f>
        <v>154058824</v>
      </c>
      <c r="D26" s="148" t="s">
        <v>323</v>
      </c>
      <c r="E26" s="36"/>
      <c r="F26" s="1232"/>
    </row>
    <row r="27" spans="1:7" ht="12.95" customHeight="1" x14ac:dyDescent="0.2">
      <c r="A27" s="132" t="s">
        <v>36</v>
      </c>
      <c r="B27" s="146" t="s">
        <v>173</v>
      </c>
      <c r="C27" s="35"/>
      <c r="D27" s="143"/>
      <c r="E27" s="36"/>
      <c r="F27" s="1232"/>
    </row>
    <row r="28" spans="1:7" ht="12.95" customHeight="1" x14ac:dyDescent="0.2">
      <c r="A28" s="134" t="s">
        <v>37</v>
      </c>
      <c r="B28" s="145" t="s">
        <v>174</v>
      </c>
      <c r="C28" s="35"/>
      <c r="D28" s="143"/>
      <c r="E28" s="36"/>
      <c r="F28" s="1232"/>
    </row>
    <row r="29" spans="1:7" ht="12.95" customHeight="1" x14ac:dyDescent="0.2">
      <c r="A29" s="132" t="s">
        <v>38</v>
      </c>
      <c r="B29" s="149" t="s">
        <v>175</v>
      </c>
      <c r="C29" s="35"/>
      <c r="D29" s="271"/>
      <c r="E29" s="36"/>
      <c r="F29" s="1232"/>
    </row>
    <row r="30" spans="1:7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232"/>
    </row>
    <row r="31" spans="1:7" ht="21.75" customHeight="1" thickBot="1" x14ac:dyDescent="0.25">
      <c r="A31" s="136" t="s">
        <v>40</v>
      </c>
      <c r="B31" s="55" t="s">
        <v>320</v>
      </c>
      <c r="C31" s="120">
        <f>+C19+C25</f>
        <v>2325688680</v>
      </c>
      <c r="D31" s="55" t="s">
        <v>324</v>
      </c>
      <c r="E31" s="124">
        <f>SUM(E19:E30)-E21-E22</f>
        <v>21918686</v>
      </c>
      <c r="F31" s="1232"/>
    </row>
    <row r="32" spans="1:7" ht="13.5" thickBot="1" x14ac:dyDescent="0.25">
      <c r="A32" s="136" t="s">
        <v>41</v>
      </c>
      <c r="B32" s="140" t="s">
        <v>325</v>
      </c>
      <c r="C32" s="141">
        <f>+C18+C31</f>
        <v>2966567185</v>
      </c>
      <c r="D32" s="140" t="s">
        <v>326</v>
      </c>
      <c r="E32" s="141">
        <f>+E18+E31</f>
        <v>2923255049</v>
      </c>
      <c r="F32" s="1232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2260457858</v>
      </c>
      <c r="D33" s="140" t="s">
        <v>121</v>
      </c>
      <c r="E33" s="141" t="str">
        <f>IF(C18-E18&gt;0,C18-E18,"-")</f>
        <v>-</v>
      </c>
      <c r="F33" s="1232"/>
    </row>
    <row r="34" spans="1:6" ht="13.5" thickBot="1" x14ac:dyDescent="0.25">
      <c r="A34" s="136" t="s">
        <v>43</v>
      </c>
      <c r="B34" s="140" t="s">
        <v>713</v>
      </c>
      <c r="C34" s="276" t="str">
        <f>IF(C31-E31&lt;0,E31-C31,"-")</f>
        <v>-</v>
      </c>
      <c r="D34" s="140" t="s">
        <v>714</v>
      </c>
      <c r="E34" s="276">
        <f>IF(C31-E31&gt;0,C31-E31,"-")</f>
        <v>2303769994</v>
      </c>
      <c r="F34" s="1232"/>
    </row>
    <row r="35" spans="1:6" ht="13.5" thickBot="1" x14ac:dyDescent="0.25">
      <c r="A35" s="136" t="s">
        <v>715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43312136</v>
      </c>
      <c r="F35" s="1232"/>
    </row>
    <row r="36" spans="1:6" x14ac:dyDescent="0.2">
      <c r="C36" s="321"/>
      <c r="D36" s="321"/>
      <c r="E36" s="321"/>
    </row>
    <row r="37" spans="1:6" x14ac:dyDescent="0.2">
      <c r="C37" s="321"/>
      <c r="D37" s="321"/>
      <c r="E37" s="321"/>
    </row>
    <row r="38" spans="1:6" x14ac:dyDescent="0.2">
      <c r="C38" s="321"/>
      <c r="D38" s="321"/>
      <c r="E38" s="321"/>
    </row>
    <row r="39" spans="1:6" x14ac:dyDescent="0.2">
      <c r="C39" s="321"/>
      <c r="D39" s="321"/>
      <c r="E39" s="321"/>
    </row>
    <row r="40" spans="1:6" x14ac:dyDescent="0.2">
      <c r="C40" s="321"/>
      <c r="D40" s="321"/>
      <c r="E40" s="321"/>
    </row>
    <row r="41" spans="1:6" x14ac:dyDescent="0.2">
      <c r="C41" s="321"/>
      <c r="D41" s="321"/>
      <c r="E41" s="321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C18" sqref="C18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582" t="s">
        <v>668</v>
      </c>
      <c r="E1" s="583" t="s">
        <v>669</v>
      </c>
    </row>
    <row r="3" spans="1:5" x14ac:dyDescent="0.2">
      <c r="A3" s="584"/>
      <c r="B3" s="585"/>
      <c r="C3" s="584"/>
      <c r="D3" s="586"/>
      <c r="E3" s="585"/>
    </row>
    <row r="4" spans="1:5" ht="15.75" x14ac:dyDescent="0.25">
      <c r="A4" s="587" t="s">
        <v>978</v>
      </c>
      <c r="B4" s="588"/>
      <c r="C4" s="589"/>
      <c r="D4" s="586"/>
      <c r="E4" s="585"/>
    </row>
    <row r="5" spans="1:5" x14ac:dyDescent="0.2">
      <c r="A5" s="584"/>
      <c r="B5" s="585"/>
      <c r="C5" s="584"/>
      <c r="D5" s="586"/>
      <c r="E5" s="585"/>
    </row>
    <row r="6" spans="1:5" x14ac:dyDescent="0.2">
      <c r="A6" s="584" t="s">
        <v>670</v>
      </c>
      <c r="B6" s="585">
        <f>'1. sz.mell. '!C69</f>
        <v>4363482756</v>
      </c>
      <c r="C6" s="584" t="s">
        <v>671</v>
      </c>
      <c r="D6" s="586">
        <f>'6. sz.mell '!C18+'7. sz.mell .'!C18</f>
        <v>4363482756</v>
      </c>
      <c r="E6" s="585">
        <f t="shared" ref="E6:E15" si="0">+B6-D6</f>
        <v>0</v>
      </c>
    </row>
    <row r="7" spans="1:5" x14ac:dyDescent="0.2">
      <c r="A7" s="584" t="s">
        <v>672</v>
      </c>
      <c r="B7" s="585">
        <f>'1. sz.mell. '!C93</f>
        <v>3557281454</v>
      </c>
      <c r="C7" s="584" t="s">
        <v>673</v>
      </c>
      <c r="D7" s="586">
        <f>'6. sz.mell '!C29+'7. sz.mell .'!C31</f>
        <v>3557281454</v>
      </c>
      <c r="E7" s="585">
        <f t="shared" si="0"/>
        <v>0</v>
      </c>
    </row>
    <row r="8" spans="1:5" x14ac:dyDescent="0.2">
      <c r="A8" s="584" t="s">
        <v>674</v>
      </c>
      <c r="B8" s="585">
        <f>'1. sz.mell. '!C94</f>
        <v>7920764210</v>
      </c>
      <c r="C8" s="584" t="s">
        <v>675</v>
      </c>
      <c r="D8" s="586">
        <f>'6. sz.mell '!C30+'7. sz.mell .'!C32</f>
        <v>7920764210</v>
      </c>
      <c r="E8" s="585">
        <f t="shared" si="0"/>
        <v>0</v>
      </c>
    </row>
    <row r="9" spans="1:5" x14ac:dyDescent="0.2">
      <c r="A9" s="584"/>
      <c r="B9" s="585"/>
      <c r="C9" s="584"/>
      <c r="D9" s="586"/>
      <c r="E9" s="585"/>
    </row>
    <row r="10" spans="1:5" x14ac:dyDescent="0.2">
      <c r="A10" s="584"/>
      <c r="B10" s="585"/>
      <c r="C10" s="584"/>
      <c r="D10" s="586"/>
      <c r="E10" s="585"/>
    </row>
    <row r="11" spans="1:5" ht="15.75" x14ac:dyDescent="0.25">
      <c r="A11" s="587" t="s">
        <v>979</v>
      </c>
      <c r="B11" s="588"/>
      <c r="C11" s="589"/>
      <c r="D11" s="586"/>
      <c r="E11" s="585"/>
    </row>
    <row r="12" spans="1:5" x14ac:dyDescent="0.2">
      <c r="A12" s="584"/>
      <c r="B12" s="585"/>
      <c r="C12" s="584"/>
      <c r="D12" s="586"/>
      <c r="E12" s="585"/>
    </row>
    <row r="13" spans="1:5" x14ac:dyDescent="0.2">
      <c r="A13" s="584" t="s">
        <v>676</v>
      </c>
      <c r="B13" s="585">
        <f>'1. sz.mell. '!C134</f>
        <v>6737002918</v>
      </c>
      <c r="C13" s="584" t="s">
        <v>677</v>
      </c>
      <c r="D13" s="586">
        <f>'6. sz.mell '!E18+'7. sz.mell .'!E18</f>
        <v>6737002918</v>
      </c>
      <c r="E13" s="585">
        <f t="shared" si="0"/>
        <v>0</v>
      </c>
    </row>
    <row r="14" spans="1:5" x14ac:dyDescent="0.2">
      <c r="A14" s="584" t="s">
        <v>678</v>
      </c>
      <c r="B14" s="585">
        <f>'1. sz.mell. '!C159</f>
        <v>1183761292</v>
      </c>
      <c r="C14" s="584" t="s">
        <v>679</v>
      </c>
      <c r="D14" s="586">
        <f>'6. sz.mell '!E29+'7. sz.mell .'!E31</f>
        <v>1183761292</v>
      </c>
      <c r="E14" s="585">
        <f t="shared" si="0"/>
        <v>0</v>
      </c>
    </row>
    <row r="15" spans="1:5" x14ac:dyDescent="0.2">
      <c r="A15" s="584" t="s">
        <v>680</v>
      </c>
      <c r="B15" s="585">
        <f>'1. sz.mell. '!C160</f>
        <v>7920764210</v>
      </c>
      <c r="C15" s="584" t="s">
        <v>681</v>
      </c>
      <c r="D15" s="586">
        <f>'6. sz.mell '!E30+'7. sz.mell .'!E32</f>
        <v>7920764210</v>
      </c>
      <c r="E15" s="585">
        <f t="shared" si="0"/>
        <v>0</v>
      </c>
    </row>
    <row r="16" spans="1:5" x14ac:dyDescent="0.2">
      <c r="A16" s="584"/>
      <c r="B16" s="584"/>
      <c r="C16" s="584"/>
      <c r="D16" s="586"/>
      <c r="E16" s="586"/>
    </row>
    <row r="17" spans="1:5" x14ac:dyDescent="0.2">
      <c r="A17" s="584"/>
      <c r="B17" s="584"/>
      <c r="C17" s="584"/>
      <c r="D17" s="584"/>
      <c r="E17" s="584"/>
    </row>
    <row r="18" spans="1:5" x14ac:dyDescent="0.2">
      <c r="A18" s="584"/>
      <c r="B18" s="584"/>
      <c r="C18" s="584"/>
      <c r="D18" s="584"/>
      <c r="E18" s="584"/>
    </row>
    <row r="19" spans="1:5" x14ac:dyDescent="0.2">
      <c r="A19" s="584"/>
      <c r="B19" s="584"/>
      <c r="C19" s="584"/>
      <c r="D19" s="584"/>
      <c r="E19" s="584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40</vt:i4>
      </vt:variant>
    </vt:vector>
  </HeadingPairs>
  <TitlesOfParts>
    <vt:vector size="86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'11.sz.mell. Beruházás'!Nyomtatási_terület</vt:lpstr>
      <vt:lpstr>'12.sz.mell. Felújítás'!Nyomtatási_terület</vt:lpstr>
      <vt:lpstr>'17. sz. mell. PH.'!Nyomtatási_terület</vt:lpstr>
      <vt:lpstr>'40.sz.m. (5.sz. tájékoztató)'!Nyomtatási_terület</vt:lpstr>
      <vt:lpstr>'42.sz.m. (7.sz táj. feladatos)'!Nyomtatási_terület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2023-04-21T06:26:05Z</cp:lastPrinted>
  <dcterms:created xsi:type="dcterms:W3CDTF">1999-10-30T10:30:45Z</dcterms:created>
  <dcterms:modified xsi:type="dcterms:W3CDTF">2023-04-24T12:45:19Z</dcterms:modified>
</cp:coreProperties>
</file>