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7\"/>
    </mc:Choice>
  </mc:AlternateContent>
  <xr:revisionPtr revIDLastSave="0" documentId="13_ncr:1_{F2B2E1E7-7FF5-404E-A379-1AE5063E688A}" xr6:coauthVersionLast="47" xr6:coauthVersionMax="47" xr10:uidLastSave="{00000000-0000-0000-0000-000000000000}"/>
  <bookViews>
    <workbookView xWindow="-20520" yWindow="885" windowWidth="2064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state="hidden" r:id="rId45"/>
    <sheet name="44. sz.m. (9.sz tájékoztató)" sheetId="1478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Beruházás'!$A$1:$G$53</definedName>
    <definedName name="Print_Area" localSheetId="13">'12.sz.mell. Felújítás'!$A$1:$G$24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4"/>
  <c r="A1" i="1452"/>
  <c r="A1" i="1451"/>
  <c r="A1" i="1450"/>
  <c r="A1" i="1473"/>
  <c r="A1" i="1472"/>
  <c r="A1" i="1471"/>
  <c r="A1" i="1466"/>
  <c r="A1" i="1465"/>
  <c r="A1" i="1429"/>
  <c r="A1" i="1428"/>
  <c r="A1" i="1427"/>
  <c r="A1" i="1480"/>
  <c r="A1" i="1420"/>
  <c r="A1" i="1419"/>
  <c r="F2" i="1362"/>
  <c r="F1" i="1361"/>
  <c r="I54" i="1458"/>
  <c r="C95" i="1428"/>
  <c r="C116" i="1428"/>
  <c r="C95" i="1427"/>
  <c r="C116" i="1427"/>
  <c r="F17" i="1420"/>
  <c r="B17" i="1420"/>
  <c r="D102" i="1358"/>
  <c r="D123" i="1358"/>
  <c r="D102" i="1357"/>
  <c r="D123" i="1357"/>
  <c r="M68" i="1458"/>
  <c r="I36" i="1458"/>
  <c r="C36" i="1458"/>
  <c r="J11" i="1458"/>
  <c r="I11" i="1458"/>
  <c r="I9" i="1458"/>
  <c r="I12" i="1458"/>
  <c r="J63" i="1458"/>
  <c r="I63" i="1458"/>
  <c r="J51" i="1458"/>
  <c r="J38" i="1458"/>
  <c r="J64" i="1458"/>
  <c r="I51" i="1458"/>
  <c r="I61" i="1458"/>
  <c r="I38" i="1458"/>
  <c r="I33" i="1458"/>
  <c r="C13" i="1458"/>
  <c r="N29" i="1458"/>
  <c r="H29" i="1458"/>
  <c r="C38" i="1458"/>
  <c r="E21" i="1478"/>
  <c r="D25" i="1457"/>
  <c r="D16" i="1457"/>
  <c r="D24" i="1457"/>
  <c r="D45" i="1456"/>
  <c r="D44" i="1456"/>
  <c r="D43" i="1456"/>
  <c r="D40" i="1456"/>
  <c r="D37" i="1456"/>
  <c r="D36" i="1456"/>
  <c r="D35" i="1456"/>
  <c r="D29" i="1456"/>
  <c r="D27" i="1456"/>
  <c r="D26" i="1456"/>
  <c r="D21" i="1456"/>
  <c r="D17" i="1456"/>
  <c r="D18" i="1456"/>
  <c r="D16" i="1456"/>
  <c r="D15" i="1456"/>
  <c r="N26" i="1455"/>
  <c r="H25" i="1455"/>
  <c r="I24" i="1455"/>
  <c r="J24" i="1455"/>
  <c r="M23" i="1455"/>
  <c r="N23" i="1455"/>
  <c r="L23" i="1455"/>
  <c r="I22" i="1455"/>
  <c r="N20" i="1455"/>
  <c r="M20" i="1455"/>
  <c r="L20" i="1455"/>
  <c r="K20" i="1455"/>
  <c r="J20" i="1455"/>
  <c r="I20" i="1455"/>
  <c r="N19" i="1455"/>
  <c r="M19" i="1455"/>
  <c r="L19" i="1455"/>
  <c r="K19" i="1455"/>
  <c r="J19" i="1455"/>
  <c r="M18" i="1455"/>
  <c r="N18" i="1455"/>
  <c r="L18" i="1455"/>
  <c r="K18" i="1455"/>
  <c r="J18" i="1455"/>
  <c r="I18" i="1455"/>
  <c r="C15" i="1455"/>
  <c r="J13" i="1455"/>
  <c r="J11" i="1455"/>
  <c r="J10" i="1455"/>
  <c r="I8" i="1455"/>
  <c r="G8" i="1455"/>
  <c r="F8" i="1455"/>
  <c r="J8" i="1455"/>
  <c r="K8" i="1455"/>
  <c r="N8" i="1455"/>
  <c r="M8" i="1455"/>
  <c r="L8" i="1455"/>
  <c r="N7" i="1455"/>
  <c r="M7" i="1455"/>
  <c r="L7" i="1455"/>
  <c r="K7" i="1455"/>
  <c r="J7" i="1455"/>
  <c r="I7" i="1455"/>
  <c r="B18" i="1451"/>
  <c r="B17" i="1451"/>
  <c r="B11" i="1451" l="1"/>
  <c r="C111" i="1428"/>
  <c r="C111" i="1427"/>
  <c r="C48" i="1467"/>
  <c r="C13" i="1467"/>
  <c r="C9" i="1467"/>
  <c r="C48" i="1466"/>
  <c r="C40" i="1466"/>
  <c r="C40" i="1465"/>
  <c r="C48" i="1465"/>
  <c r="C13" i="1465"/>
  <c r="C9" i="1465"/>
  <c r="C21" i="1427"/>
  <c r="C95" i="1429"/>
  <c r="C94" i="1429"/>
  <c r="C93" i="1429"/>
  <c r="C21" i="1429"/>
  <c r="C94" i="1427"/>
  <c r="C93" i="1427"/>
  <c r="D102" i="1359" l="1"/>
  <c r="D101" i="1359"/>
  <c r="D100" i="1359"/>
  <c r="D25" i="1359"/>
  <c r="D118" i="1358"/>
  <c r="D118" i="1357"/>
  <c r="D101" i="1357"/>
  <c r="D100" i="1357"/>
  <c r="D25" i="1357"/>
  <c r="C51" i="1463"/>
  <c r="C46" i="1463"/>
  <c r="C38" i="1463"/>
  <c r="C50" i="1462"/>
  <c r="C45" i="1462"/>
  <c r="C37" i="1462"/>
  <c r="C40" i="1431"/>
  <c r="C40" i="1433"/>
  <c r="C40" i="1430"/>
  <c r="C48" i="1433" l="1"/>
  <c r="C47" i="1433"/>
  <c r="C46" i="1433"/>
  <c r="C48" i="1431"/>
  <c r="C47" i="1431"/>
  <c r="C46" i="1431"/>
  <c r="C47" i="1430" l="1"/>
  <c r="C22" i="1431"/>
  <c r="C48" i="1430"/>
  <c r="C46" i="1430"/>
  <c r="C104" i="1428"/>
  <c r="C98" i="1428"/>
  <c r="C104" i="1427"/>
  <c r="C98" i="1427"/>
  <c r="C22" i="1430"/>
  <c r="C40" i="1428"/>
  <c r="C39" i="1427"/>
  <c r="C40" i="1427"/>
  <c r="C126" i="1429"/>
  <c r="C114" i="1429"/>
  <c r="C109" i="1429"/>
  <c r="C11" i="1429"/>
  <c r="C115" i="1428"/>
  <c r="C114" i="1428"/>
  <c r="C112" i="1428"/>
  <c r="C109" i="1428"/>
  <c r="C94" i="1428"/>
  <c r="C93" i="1428"/>
  <c r="C43" i="1428"/>
  <c r="C29" i="1428"/>
  <c r="C28" i="1428"/>
  <c r="C22" i="1428"/>
  <c r="C21" i="1428"/>
  <c r="C12" i="1428"/>
  <c r="C11" i="1428"/>
  <c r="C9" i="1428"/>
  <c r="C126" i="1427"/>
  <c r="C115" i="1427"/>
  <c r="C114" i="1427"/>
  <c r="C112" i="1427"/>
  <c r="C109" i="1427"/>
  <c r="C43" i="1427"/>
  <c r="C29" i="1427"/>
  <c r="C28" i="1427"/>
  <c r="C22" i="1427"/>
  <c r="C12" i="1427"/>
  <c r="C11" i="1427"/>
  <c r="C9" i="1427"/>
  <c r="D159" i="1480"/>
  <c r="B153" i="1480"/>
  <c r="B157" i="1480"/>
  <c r="B155" i="1480"/>
  <c r="B160" i="1480"/>
  <c r="E164" i="1480"/>
  <c r="C164" i="1480"/>
  <c r="B163" i="1480"/>
  <c r="B162" i="1480"/>
  <c r="B161" i="1480"/>
  <c r="B159" i="1480"/>
  <c r="E158" i="1480"/>
  <c r="C158" i="1480"/>
  <c r="B156" i="1480"/>
  <c r="B154" i="1480"/>
  <c r="E150" i="1480"/>
  <c r="D150" i="1480"/>
  <c r="C150" i="1480"/>
  <c r="B149" i="1480"/>
  <c r="D100" i="1480"/>
  <c r="D92" i="1480"/>
  <c r="D80" i="1480"/>
  <c r="D72" i="1480"/>
  <c r="G12" i="1420"/>
  <c r="F23" i="1420"/>
  <c r="B23" i="1420"/>
  <c r="G27" i="1419"/>
  <c r="G31" i="1419"/>
  <c r="F23" i="1419"/>
  <c r="B23" i="1419"/>
  <c r="B158" i="1480" l="1"/>
  <c r="B164" i="1480"/>
  <c r="D158" i="1480"/>
  <c r="D164" i="1480"/>
  <c r="D133" i="1359" l="1"/>
  <c r="D121" i="1359"/>
  <c r="D116" i="1359"/>
  <c r="D111" i="1359"/>
  <c r="D26" i="1358"/>
  <c r="C103" i="1360"/>
  <c r="C102" i="1360"/>
  <c r="C101" i="1360"/>
  <c r="D52" i="1359"/>
  <c r="D47" i="1359"/>
  <c r="D43" i="1359"/>
  <c r="D15" i="1359"/>
  <c r="D122" i="1358"/>
  <c r="D121" i="1358"/>
  <c r="D119" i="1358"/>
  <c r="D116" i="1358"/>
  <c r="D111" i="1358"/>
  <c r="D105" i="1358"/>
  <c r="D101" i="1358"/>
  <c r="D100" i="1358"/>
  <c r="D80" i="1358"/>
  <c r="D47" i="1358"/>
  <c r="D44" i="1358"/>
  <c r="D43" i="1358"/>
  <c r="D33" i="1358"/>
  <c r="D32" i="1358"/>
  <c r="D25" i="1358"/>
  <c r="D16" i="1358"/>
  <c r="D15" i="1358"/>
  <c r="D13" i="1358"/>
  <c r="D133" i="1357"/>
  <c r="D122" i="1357"/>
  <c r="D121" i="1357"/>
  <c r="D119" i="1357"/>
  <c r="D116" i="1357"/>
  <c r="D111" i="1357"/>
  <c r="D105" i="1357"/>
  <c r="D80" i="1357"/>
  <c r="D52" i="1357"/>
  <c r="D47" i="1357"/>
  <c r="D44" i="1357"/>
  <c r="D43" i="1357"/>
  <c r="D33" i="1357"/>
  <c r="D32" i="1357"/>
  <c r="D26" i="1357"/>
  <c r="D16" i="1357"/>
  <c r="D15" i="1357"/>
  <c r="D13" i="1357"/>
  <c r="F46" i="1419"/>
  <c r="B46" i="1419"/>
  <c r="C50" i="1473"/>
  <c r="C46" i="1473"/>
  <c r="C46" i="1472"/>
  <c r="C13" i="1472"/>
  <c r="C9" i="1472"/>
  <c r="C13" i="1471"/>
  <c r="C9" i="1471"/>
  <c r="C50" i="1471"/>
  <c r="C46" i="1471"/>
  <c r="I65" i="1458" l="1"/>
  <c r="J21" i="1458"/>
  <c r="I20" i="1458"/>
  <c r="J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F16" i="1420"/>
  <c r="B16" i="1420"/>
  <c r="G32" i="1419"/>
  <c r="G30" i="1419"/>
  <c r="F26" i="1419"/>
  <c r="B26" i="1419"/>
  <c r="D103" i="1358"/>
  <c r="D103" i="1357"/>
  <c r="I48" i="1458" l="1"/>
  <c r="D12" i="1457" l="1"/>
  <c r="N24" i="1455"/>
  <c r="G22" i="1455"/>
  <c r="G19" i="1455"/>
  <c r="F19" i="1455"/>
  <c r="E19" i="1455"/>
  <c r="C19" i="1455"/>
  <c r="G18" i="1455"/>
  <c r="F18" i="1455"/>
  <c r="E18" i="1455"/>
  <c r="C18" i="1455"/>
  <c r="H8" i="1455"/>
  <c r="H7" i="1455"/>
  <c r="B22" i="1451"/>
  <c r="B20" i="1451"/>
  <c r="C121" i="1480"/>
  <c r="F15" i="1420" l="1"/>
  <c r="B15" i="1420"/>
  <c r="G41" i="1419" l="1"/>
  <c r="E17" i="1420"/>
  <c r="C52" i="1466" l="1"/>
  <c r="C22" i="1466"/>
  <c r="C52" i="1465"/>
  <c r="C22" i="1465"/>
  <c r="C19" i="1465" s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C45" i="1473" l="1"/>
  <c r="C44" i="1473"/>
  <c r="C45" i="1472"/>
  <c r="C44" i="1472"/>
  <c r="C45" i="1471"/>
  <c r="C44" i="1471"/>
  <c r="A1" i="1467" l="1"/>
  <c r="A1" i="1463"/>
  <c r="A1" i="1462"/>
  <c r="A1" i="1433"/>
  <c r="A1" i="1431"/>
  <c r="A1" i="1430"/>
  <c r="I52" i="1458"/>
  <c r="J33" i="1458"/>
  <c r="J47" i="1458"/>
  <c r="I47" i="1458"/>
  <c r="I13" i="1458"/>
  <c r="C56" i="1463"/>
  <c r="C55" i="1462"/>
  <c r="E23" i="1455"/>
  <c r="D22" i="1455"/>
  <c r="H24" i="1455"/>
  <c r="H20" i="1455"/>
  <c r="F20" i="1455"/>
  <c r="I19" i="1455"/>
  <c r="H19" i="1455"/>
  <c r="N11" i="1455"/>
  <c r="M11" i="1455"/>
  <c r="L11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B15" i="1451"/>
  <c r="C40" i="1463"/>
  <c r="C45" i="1463"/>
  <c r="C39" i="1462"/>
  <c r="C44" i="1462"/>
  <c r="C13" i="1431"/>
  <c r="C10" i="1431"/>
  <c r="C13" i="1430"/>
  <c r="C10" i="1430"/>
  <c r="C98" i="1429"/>
  <c r="C14" i="1428"/>
  <c r="C14" i="1427"/>
  <c r="D140" i="1480"/>
  <c r="D133" i="1480"/>
  <c r="D137" i="1480"/>
  <c r="F21" i="1420"/>
  <c r="B21" i="1420"/>
  <c r="B9" i="1419"/>
  <c r="F9" i="1419"/>
  <c r="E102" i="1358" l="1"/>
  <c r="E47" i="1358"/>
  <c r="E44" i="1358"/>
  <c r="D18" i="1358" l="1"/>
  <c r="E47" i="1357"/>
  <c r="E44" i="1357"/>
  <c r="D18" i="1357"/>
  <c r="C40" i="1473"/>
  <c r="C40" i="1471"/>
  <c r="C59" i="1466" l="1"/>
  <c r="C59" i="1465"/>
  <c r="A1" i="1459" l="1"/>
  <c r="A1" i="1453"/>
  <c r="A1" i="1477"/>
  <c r="A1" i="1476"/>
  <c r="A1" i="1475"/>
  <c r="A1" i="1474"/>
  <c r="A1" i="1464"/>
  <c r="A1" i="1432"/>
  <c r="A1" i="1418"/>
  <c r="A1" i="1417"/>
  <c r="A1" i="1416"/>
  <c r="D124" i="1357"/>
  <c r="C20" i="1362" l="1"/>
  <c r="A1" i="1399" l="1"/>
  <c r="E17" i="1478" l="1"/>
  <c r="E18" i="1478" s="1"/>
  <c r="F35" i="1459" l="1"/>
  <c r="F34" i="1459"/>
  <c r="E35" i="1459"/>
  <c r="D35" i="1459"/>
  <c r="D34" i="1459"/>
  <c r="D32" i="1459"/>
  <c r="D39" i="1456"/>
  <c r="D31" i="1456"/>
  <c r="D28" i="1456"/>
  <c r="D25" i="1456"/>
  <c r="D24" i="1456"/>
  <c r="D23" i="1456"/>
  <c r="D19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K23" i="1455"/>
  <c r="G23" i="1455"/>
  <c r="N15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2" i="1420"/>
  <c r="G23" i="1420"/>
  <c r="F22" i="1420"/>
  <c r="D22" i="1420"/>
  <c r="D14" i="1419"/>
  <c r="G15" i="1420"/>
  <c r="B14" i="1420"/>
  <c r="G49" i="1419"/>
  <c r="G48" i="1419"/>
  <c r="G47" i="1419"/>
  <c r="G46" i="1419"/>
  <c r="C56" i="1473"/>
  <c r="C56" i="1472"/>
  <c r="C56" i="1471"/>
  <c r="B120" i="1480" l="1"/>
  <c r="C92" i="1429"/>
  <c r="C127" i="1429" s="1"/>
  <c r="G22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C153" i="1429" l="1"/>
  <c r="C90" i="1427"/>
  <c r="C90" i="1428"/>
  <c r="C90" i="1429"/>
  <c r="C153" i="1428"/>
  <c r="C127" i="1427"/>
  <c r="C153" i="1427" s="1"/>
  <c r="B8" i="1420"/>
  <c r="G21" i="1420" l="1"/>
  <c r="G18" i="1420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4" i="1419"/>
  <c r="F43" i="1419"/>
  <c r="B43" i="1419"/>
  <c r="C16" i="1418"/>
  <c r="F23" i="1416"/>
  <c r="G23" i="1416"/>
  <c r="H21" i="1416"/>
  <c r="G43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I19" i="1458" l="1"/>
  <c r="F19" i="1420" l="1"/>
  <c r="B19" i="1420"/>
  <c r="E7" i="1420"/>
  <c r="E24" i="1420" s="1"/>
  <c r="B24" i="1419"/>
  <c r="G23" i="1419"/>
  <c r="B22" i="1419"/>
  <c r="G22" i="1419" s="1"/>
  <c r="E21" i="1419"/>
  <c r="G16" i="1420" l="1"/>
  <c r="G19" i="1420"/>
  <c r="G17" i="1420"/>
  <c r="G24" i="1419"/>
  <c r="G16" i="1419"/>
  <c r="N19" i="1458" l="1"/>
  <c r="H19" i="1458"/>
  <c r="N48" i="1458"/>
  <c r="H48" i="1458"/>
  <c r="F13" i="1420" l="1"/>
  <c r="F7" i="1420" s="1"/>
  <c r="F24" i="1420" s="1"/>
  <c r="B13" i="1420"/>
  <c r="G13" i="1420" l="1"/>
  <c r="B21" i="1419"/>
  <c r="G21" i="1419" s="1"/>
  <c r="C19" i="1362"/>
  <c r="B14" i="1419" l="1"/>
  <c r="B10" i="1420"/>
  <c r="B7" i="1420" s="1"/>
  <c r="B24" i="1420" s="1"/>
  <c r="D50" i="1456" l="1"/>
  <c r="D46" i="1456"/>
  <c r="D34" i="1456" l="1"/>
  <c r="G20" i="1419" l="1"/>
  <c r="H57" i="1458"/>
  <c r="H58" i="1458"/>
  <c r="H59" i="1458"/>
  <c r="H60" i="1458"/>
  <c r="H61" i="1458"/>
  <c r="H62" i="1458"/>
  <c r="N57" i="1458"/>
  <c r="F50" i="1419" l="1"/>
  <c r="B50" i="1419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6" i="1458" l="1"/>
  <c r="H56" i="1458"/>
  <c r="N49" i="1458"/>
  <c r="H49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8" i="1419"/>
  <c r="G51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4" i="1420" s="1"/>
  <c r="D7" i="1419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4" i="1419"/>
  <c r="G40" i="1419"/>
  <c r="G36" i="1419"/>
  <c r="G35" i="1419"/>
  <c r="G34" i="1419" l="1"/>
  <c r="E7" i="1419" l="1"/>
  <c r="E53" i="1419" s="1"/>
  <c r="G19" i="1419"/>
  <c r="D41" i="1357" l="1"/>
  <c r="N54" i="1458" l="1"/>
  <c r="H54" i="1458"/>
  <c r="I22" i="1453"/>
  <c r="G9" i="1419"/>
  <c r="H22" i="1416"/>
  <c r="H20" i="1416"/>
  <c r="B7" i="1419" l="1"/>
  <c r="F45" i="1419"/>
  <c r="B45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0" i="1419"/>
  <c r="D45" i="1419"/>
  <c r="G45" i="1419" s="1"/>
  <c r="F39" i="1419"/>
  <c r="D39" i="1419"/>
  <c r="B39" i="1419"/>
  <c r="F37" i="1419"/>
  <c r="D37" i="1419"/>
  <c r="B37" i="1419"/>
  <c r="F33" i="1419"/>
  <c r="B33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2" i="1419"/>
  <c r="B52" i="1419"/>
  <c r="D52" i="1419"/>
  <c r="D53" i="1419" s="1"/>
  <c r="J117" i="1452"/>
  <c r="I117" i="1452"/>
  <c r="G39" i="1419"/>
  <c r="G50" i="1419"/>
  <c r="G7" i="1419"/>
  <c r="G33" i="1419"/>
  <c r="G37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2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3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3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3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4" i="1419"/>
  <c r="F55" i="1419" s="1"/>
  <c r="H120" i="1452"/>
  <c r="P24" i="1455"/>
  <c r="Q24" i="1455" s="1"/>
  <c r="F25" i="1420"/>
  <c r="F26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<sst xmlns="http://schemas.openxmlformats.org/spreadsheetml/2006/main" count="5903" uniqueCount="1065">
  <si>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</si>
  <si>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</si>
  <si>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</si>
  <si>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</si>
  <si>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</si>
  <si>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</si>
  <si>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</si>
  <si>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</si>
  <si>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</si>
  <si>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</si>
  <si>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</si>
  <si>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</si>
  <si>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</si>
  <si>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</si>
  <si>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</si>
  <si>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</si>
  <si>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</si>
  <si>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</si>
  <si>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</si>
  <si>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</si>
  <si>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</si>
  <si>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</si>
  <si>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</si>
  <si>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</si>
  <si>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</si>
  <si>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</si>
  <si>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</si>
  <si>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</si>
  <si>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</si>
  <si>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</si>
  <si>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</si>
  <si>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</si>
  <si>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</si>
  <si>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</si>
  <si>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</si>
  <si>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</si>
  <si>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</si>
  <si>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</si>
  <si>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</si>
  <si>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</si>
  <si>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</si>
  <si>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</si>
  <si>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</si>
  <si>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</si>
  <si>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</si>
  <si>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</si>
  <si>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</si>
  <si>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</si>
  <si>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</si>
  <si>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</si>
  <si>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</si>
  <si>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</si>
  <si>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</si>
  <si>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</si>
  <si>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</si>
  <si>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</si>
  <si>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</si>
  <si>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</si>
  <si>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</si>
  <si>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</si>
  <si>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</si>
  <si>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</si>
  <si>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</si>
  <si>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</si>
  <si>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</si>
  <si>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</si>
  <si>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</si>
  <si>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</si>
  <si>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</si>
  <si>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</si>
  <si>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</si>
  <si>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</si>
  <si>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</si>
  <si>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</si>
  <si>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</si>
  <si>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</si>
  <si>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</si>
  <si>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</si>
  <si>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</si>
  <si>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</si>
  <si>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</si>
  <si>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</si>
  <si>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</si>
  <si>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</si>
  <si>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</si>
  <si>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</si>
  <si>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</si>
  <si>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</si>
  <si>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</si>
  <si>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</si>
  <si>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</si>
  <si>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</si>
  <si>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</si>
  <si>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</si>
  <si>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</si>
  <si>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</si>
  <si>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</si>
  <si>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</si>
  <si>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</si>
  <si>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</si>
  <si>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</si>
  <si>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</si>
  <si>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</si>
  <si>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</si>
  <si>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</si>
  <si>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</si>
  <si>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</si>
  <si>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</si>
  <si>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</si>
  <si>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</si>
  <si>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</si>
  <si>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</si>
  <si>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</si>
  <si>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</si>
  <si>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</si>
  <si>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</si>
  <si>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</si>
  <si>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</si>
  <si>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</si>
  <si>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</si>
  <si>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</si>
  <si>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</si>
  <si>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</si>
  <si>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</si>
  <si>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</si>
  <si>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</si>
  <si>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</si>
  <si>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</si>
  <si>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</si>
  <si>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</si>
  <si>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</si>
  <si>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</si>
  <si>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</si>
  <si>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</si>
  <si>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</si>
  <si>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</si>
  <si>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</si>
  <si>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</si>
  <si>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</si>
  <si>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</si>
  <si>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</si>
  <si>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</si>
  <si>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</si>
  <si>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</si>
  <si>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</si>
  <si>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</si>
  <si>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</si>
  <si>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</si>
  <si>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</si>
  <si>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</si>
  <si>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</si>
  <si>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</si>
  <si>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</si>
  <si>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</si>
  <si>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</si>
  <si>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</si>
  <si>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</si>
  <si>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</si>
  <si>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</si>
  <si>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</si>
  <si>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</si>
  <si>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</si>
  <si>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</si>
  <si>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</si>
  <si>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</si>
  <si>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</si>
  <si>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</si>
  <si>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</si>
  <si>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</si>
  <si>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</si>
  <si>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</si>
  <si>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</si>
  <si>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</si>
  <si>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</si>
  <si>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</si>
  <si>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</si>
  <si>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</si>
  <si>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</si>
  <si>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</si>
  <si>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</si>
  <si>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</si>
  <si>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</si>
  <si>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</si>
  <si>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</si>
  <si>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</si>
  <si>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</si>
  <si>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</si>
  <si>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</si>
  <si>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</si>
  <si>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</si>
  <si>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</si>
  <si>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</si>
  <si>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</si>
  <si>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</si>
  <si>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</si>
  <si>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</si>
  <si>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</si>
  <si>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</si>
  <si>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</si>
  <si>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</si>
  <si>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</si>
  <si>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</si>
  <si>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</si>
  <si>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</si>
  <si>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</si>
  <si>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</si>
  <si>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</si>
  <si>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</si>
  <si>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</si>
  <si>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</si>
  <si>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</si>
  <si>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</si>
  <si>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</si>
  <si>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</si>
  <si>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</si>
  <si>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</si>
  <si>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</si>
  <si>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</si>
  <si>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</si>
  <si>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</si>
  <si>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</si>
  <si>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</si>
  <si>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</si>
  <si>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</si>
  <si>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</si>
  <si>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</si>
  <si>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</si>
  <si>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</si>
  <si>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</si>
  <si>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</si>
  <si>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</si>
  <si>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</si>
  <si>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</si>
  <si>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</si>
  <si>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</si>
  <si>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</si>
  <si>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</si>
  <si>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</si>
  <si>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</si>
  <si>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</si>
  <si>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</si>
  <si>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</si>
  <si>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</si>
  <si>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</si>
  <si>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</si>
  <si>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</si>
  <si>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</si>
  <si>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</si>
  <si>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</si>
  <si>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</si>
  <si>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</si>
  <si>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</si>
  <si>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</si>
  <si>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</si>
  <si>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</si>
  <si>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</si>
  <si>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</si>
  <si>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</si>
  <si>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</si>
  <si>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</si>
  <si>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</si>
  <si>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</si>
  <si>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</si>
  <si>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</si>
  <si>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</si>
  <si>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</si>
  <si>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</si>
  <si>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</si>
  <si>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</si>
  <si>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</si>
  <si>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</si>
  <si>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</si>
  <si>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</si>
  <si>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</si>
  <si>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</si>
  <si>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</si>
  <si>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</si>
  <si>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</si>
  <si>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</si>
  <si>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</si>
  <si>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</si>
  <si>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</si>
  <si>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</si>
  <si>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</si>
  <si>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</si>
  <si>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</si>
  <si>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</si>
  <si>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</si>
  <si>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</si>
  <si>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</si>
  <si>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</si>
  <si>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</si>
  <si>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</si>
  <si>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</si>
  <si>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</si>
  <si>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</si>
  <si>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</si>
  <si>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</si>
  <si>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</si>
  <si>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</si>
  <si>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</si>
  <si>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</si>
  <si>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</si>
  <si>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</si>
  <si>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</si>
  <si>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</si>
  <si>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</si>
  <si>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</si>
  <si>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</si>
  <si>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</si>
  <si>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</si>
  <si>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</si>
  <si>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</si>
  <si>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</si>
  <si>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</si>
  <si>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</si>
  <si>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</si>
  <si>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</si>
  <si>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</si>
  <si>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</si>
  <si>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</si>
  <si>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</si>
  <si>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</si>
  <si>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</si>
  <si>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</si>
  <si>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</si>
  <si>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</si>
  <si>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</si>
  <si>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</si>
  <si>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</si>
  <si>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</si>
  <si>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</si>
  <si>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</si>
  <si>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</si>
  <si>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</si>
  <si>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</si>
  <si>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</si>
  <si>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</si>
  <si>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</si>
  <si>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</si>
  <si>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</si>
  <si>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</si>
  <si>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</si>
  <si>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</si>
  <si>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</si>
  <si>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</si>
  <si>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</si>
  <si>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</si>
  <si>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</si>
  <si>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</si>
  <si>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</si>
  <si>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</si>
  <si>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</si>
  <si>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</si>
  <si>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</si>
  <si>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</si>
  <si>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</si>
  <si>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</si>
  <si>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</si>
  <si>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</si>
  <si>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</si>
  <si>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</si>
  <si>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</si>
  <si>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</si>
  <si>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</si>
  <si>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</si>
  <si>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</si>
  <si>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</si>
  <si>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</si>
  <si>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</si>
  <si>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</si>
  <si>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</si>
  <si>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</si>
  <si>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</si>
  <si>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</si>
  <si>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</si>
  <si>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</si>
  <si>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</si>
  <si>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</si>
  <si>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</si>
  <si>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</si>
  <si>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</si>
  <si>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</si>
  <si>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</si>
  <si>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</si>
  <si>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</si>
  <si>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</si>
  <si>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</si>
  <si>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</si>
  <si>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</si>
  <si>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</si>
  <si>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</si>
  <si>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</si>
  <si>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</si>
  <si>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</si>
  <si>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</si>
  <si>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</si>
  <si>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</si>
  <si>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</si>
  <si>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</si>
  <si>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</si>
  <si>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</si>
  <si>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</si>
  <si>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</si>
  <si>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</si>
  <si>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</si>
  <si>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</si>
  <si>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</si>
  <si>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</si>
  <si>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</si>
  <si>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</si>
  <si>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</si>
  <si>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</si>
  <si>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</si>
  <si>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</si>
  <si>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</si>
  <si>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</si>
  <si>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</si>
  <si>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</si>
  <si>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</si>
  <si>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</si>
  <si>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</si>
  <si>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</si>
  <si>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</si>
  <si>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</si>
  <si>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</si>
  <si>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</si>
  <si>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</si>
  <si>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</si>
  <si>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</si>
  <si>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</si>
  <si>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</si>
  <si>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</si>
  <si>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</si>
  <si>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</si>
  <si>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</si>
  <si>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</si>
  <si>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</si>
  <si>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</si>
  <si>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</si>
  <si>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</si>
  <si>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</si>
  <si>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</si>
  <si>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</si>
  <si>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</si>
  <si>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</si>
  <si>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</si>
  <si>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</si>
  <si>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</si>
  <si>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</si>
  <si>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</si>
  <si>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</si>
  <si>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</si>
  <si>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</si>
  <si>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</si>
  <si>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</si>
  <si>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</si>
  <si>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</si>
  <si>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</si>
  <si>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</si>
  <si>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</si>
  <si>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</si>
  <si>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</si>
  <si>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</si>
  <si>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</si>
  <si>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</si>
  <si>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</si>
  <si>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</si>
  <si>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</si>
  <si>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</si>
  <si>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</si>
  <si>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</si>
  <si>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</si>
  <si>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</si>
  <si>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</si>
  <si>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</si>
  <si>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</si>
  <si>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</si>
  <si>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</si>
  <si>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</si>
  <si>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</si>
  <si>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</si>
  <si>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</si>
  <si>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</si>
  <si>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</si>
  <si>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</si>
  <si>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</si>
  <si>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</si>
  <si>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</si>
  <si>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</si>
  <si>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</si>
  <si>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</si>
  <si>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</si>
  <si>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</si>
  <si>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</si>
  <si>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</si>
  <si>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</si>
  <si>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</si>
  <si>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</si>
  <si>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</si>
  <si>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</si>
  <si>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</si>
  <si>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</si>
  <si>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</si>
  <si>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</si>
  <si>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</si>
  <si>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</si>
  <si>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</si>
  <si>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</si>
  <si>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</si>
  <si>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</si>
  <si>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</si>
  <si>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</si>
  <si>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</si>
  <si>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</si>
  <si>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</si>
  <si>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</si>
  <si>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</si>
  <si>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</si>
  <si>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</si>
  <si>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</si>
  <si>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</si>
  <si>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</si>
  <si>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</si>
  <si>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</si>
  <si>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</si>
  <si>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</si>
  <si>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</si>
  <si>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</si>
  <si>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</si>
  <si>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</si>
  <si>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</si>
  <si>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</si>
  <si>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</si>
  <si>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</si>
  <si>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</si>
  <si>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</si>
  <si>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</si>
  <si>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</si>
  <si>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</si>
  <si>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</si>
  <si>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</si>
  <si>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</si>
  <si>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</si>
  <si>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</si>
  <si>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</si>
  <si>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</si>
  <si>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</si>
  <si>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</si>
  <si>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</si>
  <si>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</si>
  <si>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</si>
  <si>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</si>
  <si>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</si>
  <si>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</si>
  <si>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</si>
  <si>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</si>
  <si>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</si>
  <si>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</si>
  <si>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</si>
  <si>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</si>
  <si>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</si>
  <si>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</si>
  <si>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</si>
  <si>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</si>
  <si>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</si>
  <si>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</si>
  <si>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</si>
  <si>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</si>
  <si>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</si>
  <si>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</si>
  <si>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</si>
  <si>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</si>
  <si>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</si>
  <si>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</si>
  <si>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</si>
  <si>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</si>
  <si>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</si>
  <si>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</si>
  <si>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</si>
  <si>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</si>
  <si>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</si>
  <si>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</si>
  <si>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</si>
  <si>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</si>
  <si>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</si>
  <si>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</si>
  <si>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</si>
  <si>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</si>
  <si>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</si>
  <si>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</si>
  <si>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</si>
  <si>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</si>
  <si>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</si>
  <si>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</si>
  <si>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</si>
  <si>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</si>
  <si>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</si>
  <si>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</si>
  <si>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</si>
  <si>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</si>
  <si>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</si>
  <si>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</si>
  <si>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</si>
  <si>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</si>
  <si>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</si>
  <si>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</si>
  <si>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</si>
  <si>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</si>
  <si>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</si>
  <si>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</si>
  <si>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</si>
  <si>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</si>
  <si>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</si>
  <si>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</si>
  <si>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</si>
  <si>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</si>
  <si>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</si>
  <si>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</si>
  <si>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</si>
  <si>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</si>
  <si>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</si>
  <si>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</si>
  <si>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</si>
  <si>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</si>
  <si>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</si>
  <si>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</si>
  <si>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</si>
  <si>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</si>
  <si>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</si>
  <si>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</si>
  <si>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</si>
  <si>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</si>
  <si>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</si>
  <si>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</si>
  <si>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</si>
  <si>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</si>
  <si>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</si>
  <si>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</si>
  <si>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</si>
  <si>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</si>
  <si>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</si>
  <si>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</si>
  <si>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</si>
  <si>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</si>
  <si>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</si>
  <si>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</si>
  <si>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</si>
  <si>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</si>
  <si>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</si>
  <si>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</si>
  <si>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</si>
  <si>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</si>
  <si>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</si>
  <si>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</si>
  <si>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</si>
  <si>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</si>
  <si>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</si>
  <si>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</si>
  <si>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</si>
  <si>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</si>
  <si>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</si>
  <si>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</si>
  <si>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</si>
  <si>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</si>
  <si>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</si>
  <si>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</si>
  <si>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</si>
  <si>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</si>
  <si>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</si>
  <si>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</si>
  <si>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</si>
  <si>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</si>
  <si>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</si>
  <si>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</si>
  <si>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</si>
  <si>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</si>
  <si>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</si>
  <si>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</si>
  <si>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</si>
  <si>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</si>
  <si>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</si>
  <si>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</si>
  <si>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</si>
  <si>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</si>
  <si>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</si>
  <si>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</si>
  <si>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</si>
  <si>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</si>
  <si>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</si>
  <si>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</si>
  <si>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</si>
  <si>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</si>
  <si>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</si>
  <si>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</si>
  <si>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</si>
  <si>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</si>
  <si>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</si>
  <si>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</si>
  <si>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</si>
  <si>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</si>
  <si>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</si>
  <si>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</si>
  <si>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</si>
  <si>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</si>
  <si>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</si>
  <si>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</si>
  <si>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</si>
  <si>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</si>
  <si>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</si>
  <si>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</si>
  <si>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</si>
  <si>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</si>
  <si>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</si>
  <si>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</si>
  <si>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</si>
  <si>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</si>
  <si>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</si>
  <si>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</si>
  <si>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</si>
  <si>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</si>
  <si>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</si>
  <si>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</si>
  <si>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</si>
  <si>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</si>
  <si>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</si>
  <si>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</si>
  <si>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</si>
  <si>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</si>
  <si>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</si>
  <si>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</si>
  <si>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</si>
  <si>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</si>
  <si>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</si>
  <si>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</si>
  <si>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</si>
  <si>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</si>
  <si>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</si>
  <si>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</si>
  <si>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</si>
  <si>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</si>
  <si>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</si>
  <si>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</si>
  <si>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</si>
  <si>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</si>
  <si>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</si>
  <si>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</si>
  <si>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</si>
  <si>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</si>
  <si>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</si>
  <si>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</si>
  <si>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</si>
  <si>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</si>
  <si>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</si>
  <si>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</si>
  <si>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</si>
  <si>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</si>
  <si>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</si>
  <si>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</si>
  <si>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</si>
  <si>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</si>
  <si>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</si>
  <si>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</si>
  <si>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</si>
  <si>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</si>
  <si>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</si>
  <si>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</si>
  <si>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</si>
  <si>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</si>
  <si>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</si>
  <si>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</si>
  <si>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</si>
  <si>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</si>
  <si>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</si>
  <si>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</si>
  <si>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</si>
  <si>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</si>
  <si>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</si>
  <si>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</si>
  <si>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</si>
  <si>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</si>
  <si>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</si>
  <si>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</si>
  <si>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</si>
  <si>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</si>
  <si>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</si>
  <si>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</si>
  <si>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</si>
  <si>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</si>
  <si>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</si>
  <si>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</si>
  <si>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</si>
  <si>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</si>
  <si>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</si>
  <si>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</si>
  <si>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</si>
  <si>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</si>
  <si>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</si>
  <si>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</si>
  <si>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</si>
  <si>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</si>
  <si>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</si>
  <si>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</si>
  <si>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</si>
  <si>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</si>
  <si>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</si>
  <si>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</si>
  <si>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</si>
  <si>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</si>
  <si>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</si>
  <si>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</si>
  <si>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</si>
  <si>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</si>
  <si>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</si>
  <si>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</si>
  <si>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</si>
  <si>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</si>
  <si>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</si>
  <si>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</si>
  <si>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</si>
  <si>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</si>
  <si>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</si>
  <si>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</si>
  <si>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</si>
  <si>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</si>
  <si>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</si>
  <si>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</si>
  <si>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</si>
  <si>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</si>
  <si>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</si>
  <si>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</si>
  <si>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</si>
  <si>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</si>
  <si>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</si>
  <si>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</si>
  <si>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</si>
  <si>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</si>
  <si>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</si>
  <si>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</si>
  <si>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</si>
  <si>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</si>
  <si>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</si>
  <si>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</si>
  <si>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</si>
  <si>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</si>
  <si>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</si>
  <si>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</si>
  <si>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</si>
  <si>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</si>
  <si>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</si>
  <si>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</si>
  <si>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</si>
  <si>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</si>
  <si>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</si>
  <si>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</si>
  <si>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</si>
  <si>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</si>
  <si>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</si>
  <si>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</si>
  <si>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</si>
  <si>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</si>
  <si>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</si>
  <si>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</si>
  <si>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</si>
  <si>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</si>
  <si>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</si>
  <si>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</si>
  <si>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</si>
  <si>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</si>
  <si>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</si>
  <si>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</si>
  <si>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</si>
  <si>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</si>
  <si>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</si>
  <si>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</si>
  <si>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</si>
  <si>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</si>
  <si>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</si>
  <si>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</si>
  <si>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</si>
  <si>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</si>
  <si>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</si>
  <si>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</si>
  <si>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</si>
  <si>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</si>
  <si>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</si>
  <si>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</si>
  <si>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</si>
  <si>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</si>
  <si>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</si>
  <si>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</si>
  <si>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</si>
  <si>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</si>
  <si>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</si>
  <si>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</si>
  <si>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</si>
  <si>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</si>
  <si>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</si>
  <si>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</si>
  <si>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</si>
  <si>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</si>
  <si>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</si>
  <si>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</si>
  <si>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</si>
  <si>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</si>
  <si>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</si>
  <si>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</si>
  <si>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</si>
  <si>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</si>
  <si>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</si>
  <si>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</si>
  <si>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</si>
  <si>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</si>
  <si>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</si>
  <si>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</si>
  <si>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</si>
  <si>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</si>
  <si>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</si>
  <si>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</si>
  <si>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</si>
  <si>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</si>
  <si>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</si>
  <si>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</si>
  <si>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</si>
  <si>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</si>
  <si>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</si>
  <si>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</si>
  <si>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</si>
  <si>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</si>
  <si>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</si>
  <si>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</si>
  <si>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</si>
  <si>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</si>
  <si>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</si>
  <si>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</si>
  <si>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</si>
  <si>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</si>
  <si>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</si>
  <si>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</si>
  <si>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</si>
  <si>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</si>
  <si>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</si>
  <si>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</si>
  <si>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</si>
  <si>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</si>
  <si>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</si>
  <si>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</si>
  <si>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</si>
  <si>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</si>
  <si>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</si>
  <si>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</si>
  <si>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</si>
  <si>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</si>
  <si>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</si>
  <si>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</si>
  <si>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</si>
  <si>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</si>
  <si>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</si>
  <si>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</si>
  <si>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</si>
  <si>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</si>
  <si>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</si>
  <si>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</si>
  <si>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</si>
  <si>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</si>
  <si>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</si>
  <si>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</si>
  <si>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</si>
  <si>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</si>
  <si>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</si>
  <si>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</si>
  <si>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</si>
  <si>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</si>
  <si>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</si>
  <si>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</si>
  <si>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</si>
  <si>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</si>
  <si>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</si>
  <si>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</si>
  <si>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</si>
  <si>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</si>
  <si>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</si>
  <si>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</si>
  <si>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</si>
  <si>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</si>
  <si>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</si>
  <si>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</si>
  <si>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</si>
  <si>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</si>
  <si>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</si>
  <si>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</si>
  <si>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</si>
  <si>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</si>
  <si>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</si>
  <si>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</si>
  <si>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</si>
  <si>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</si>
  <si>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</si>
  <si>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</si>
  <si>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</si>
  <si>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</si>
  <si>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</si>
  <si>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</si>
  <si>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</si>
  <si>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</si>
  <si>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</si>
  <si>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</si>
  <si>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</si>
  <si>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</si>
  <si>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</si>
  <si>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</si>
  <si>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</si>
  <si>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</si>
  <si>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</si>
  <si>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</si>
  <si>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</si>
  <si>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</si>
  <si>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</si>
  <si>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</si>
  <si>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</si>
  <si>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</si>
  <si>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</si>
  <si>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</si>
  <si>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</si>
  <si>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</si>
  <si>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</si>
  <si>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</si>
  <si>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</si>
  <si>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</si>
  <si>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</si>
  <si>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</si>
  <si>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</si>
  <si>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</si>
  <si>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</si>
  <si>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</si>
  <si>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</si>
  <si>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</si>
  <si>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</si>
  <si>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</si>
  <si>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</si>
  <si>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</si>
  <si>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..</t>
  </si>
  <si>
    <t>…...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</si>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</sst>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623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167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14" xfId="0" applyNumberFormat="1" applyFont="1" applyFill="1" applyBorder="1" applyAlignment="1" applyProtection="1">
      <alignment horizontal="right"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18" xfId="26" applyNumberFormat="1" applyFont="1" applyFill="1" applyBorder="1" applyAlignment="1"/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3" fontId="66" fillId="0" borderId="2" xfId="25" applyNumberFormat="1" applyFont="1" applyFill="1" applyBorder="1" applyAlignment="1">
      <alignment horizontal="right"/>
    </xf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70" fontId="74" fillId="0" borderId="12" xfId="19" applyNumberFormat="1" applyFont="1" applyBorder="1"/>
    <xf numFmtId="166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5" applyNumberFormat="1" applyFont="1" applyFill="1" applyBorder="1" applyAlignment="1">
      <alignment horizontal="right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166" fontId="126" fillId="0" borderId="9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3" xfId="0" applyNumberFormat="1" applyFont="1" applyFill="1" applyBorder="1" applyAlignment="1" applyProtection="1">
      <alignment horizontal="right" vertical="center" wrapTex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22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</xf>
    <xf numFmtId="0" fontId="126" fillId="0" borderId="75" xfId="0" applyFont="1" applyFill="1" applyBorder="1" applyAlignment="1">
      <alignment wrapText="1"/>
    </xf>
    <xf numFmtId="166" fontId="67" fillId="0" borderId="39" xfId="28" applyNumberFormat="1" applyFont="1" applyFill="1" applyBorder="1" applyAlignment="1" applyProtection="1">
      <alignment vertical="center" wrapText="1"/>
      <protection locked="0"/>
    </xf>
    <xf numFmtId="49" fontId="67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25" xfId="0" applyNumberFormat="1" applyFont="1" applyFill="1" applyBorder="1" applyAlignment="1" applyProtection="1">
      <alignment vertical="center" wrapText="1"/>
      <protection locked="0"/>
    </xf>
    <xf numFmtId="166" fontId="67" fillId="0" borderId="26" xfId="0" applyNumberFormat="1" applyFont="1" applyFill="1" applyBorder="1" applyAlignment="1">
      <alignment vertical="center" wrapText="1"/>
    </xf>
    <xf numFmtId="166" fontId="67" fillId="0" borderId="31" xfId="28" applyNumberFormat="1" applyFont="1" applyFill="1" applyBorder="1" applyAlignment="1" applyProtection="1">
      <alignment horizontal="left"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126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43" xfId="28" applyNumberFormat="1" applyFont="1" applyFill="1" applyBorder="1" applyAlignment="1" applyProtection="1">
      <alignment horizontal="left"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Border="1" applyAlignment="1">
      <alignment vertical="center"/>
    </xf>
    <xf numFmtId="170" fontId="124" fillId="0" borderId="40" xfId="53" applyNumberFormat="1" applyFont="1" applyFill="1" applyBorder="1" applyAlignment="1">
      <alignment horizontal="right" vertical="center"/>
    </xf>
    <xf numFmtId="0" fontId="112" fillId="0" borderId="35" xfId="18" applyFont="1" applyBorder="1" applyAlignment="1">
      <alignment horizontal="right"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NumberFormat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NumberFormat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0" xfId="18" applyNumberFormat="1" applyFont="1" applyFill="1" applyBorder="1" applyAlignment="1">
      <alignment horizontal="right" vertical="center"/>
    </xf>
    <xf numFmtId="170" fontId="124" fillId="0" borderId="23" xfId="18" applyNumberFormat="1" applyFont="1" applyFill="1" applyBorder="1" applyAlignment="1">
      <alignment horizontal="right" vertical="center"/>
    </xf>
    <xf numFmtId="170" fontId="124" fillId="0" borderId="26" xfId="18" applyNumberFormat="1" applyFont="1" applyFill="1" applyBorder="1" applyAlignment="1">
      <alignment horizontal="right" vertical="center"/>
    </xf>
    <xf numFmtId="170" fontId="124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70" fontId="74" fillId="0" borderId="11" xfId="19" applyNumberFormat="1" applyFont="1" applyBorder="1"/>
    <xf numFmtId="170" fontId="74" fillId="0" borderId="7" xfId="19" applyNumberFormat="1" applyFont="1" applyBorder="1"/>
    <xf numFmtId="170" fontId="74" fillId="0" borderId="9" xfId="19" applyNumberFormat="1" applyFont="1" applyBorder="1"/>
    <xf numFmtId="170" fontId="74" fillId="0" borderId="10" xfId="19" applyNumberFormat="1" applyFont="1" applyBorder="1"/>
    <xf numFmtId="0" fontId="66" fillId="0" borderId="46" xfId="25" quotePrefix="1" applyFont="1" applyBorder="1"/>
    <xf numFmtId="2" fontId="127" fillId="0" borderId="27" xfId="25" applyNumberFormat="1" applyFont="1" applyFill="1" applyBorder="1"/>
    <xf numFmtId="0" fontId="128" fillId="0" borderId="34" xfId="0" applyFont="1" applyFill="1" applyBorder="1" applyAlignment="1" applyProtection="1">
      <alignment horizontal="left" vertical="center"/>
    </xf>
    <xf numFmtId="0" fontId="128" fillId="0" borderId="33" xfId="0" applyFont="1" applyFill="1" applyBorder="1" applyAlignment="1" applyProtection="1">
      <alignment horizontal="left" vertical="center"/>
    </xf>
    <xf numFmtId="171" fontId="1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34" xfId="0" applyFont="1" applyFill="1" applyBorder="1" applyAlignment="1" applyProtection="1">
      <alignment horizontal="left" vertical="center"/>
    </xf>
    <xf numFmtId="0" fontId="67" fillId="0" borderId="35" xfId="0" applyFont="1" applyFill="1" applyBorder="1" applyAlignment="1" applyProtection="1">
      <alignment horizontal="left" vertical="center"/>
    </xf>
    <xf numFmtId="171" fontId="67" fillId="0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H9" sqref="H9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4" t="s">
        <v>664</v>
      </c>
      <c r="B1" s="1414"/>
      <c r="C1" s="1414"/>
      <c r="D1" s="1414"/>
      <c r="E1" s="1414"/>
      <c r="F1" s="1414"/>
      <c r="G1" s="1414"/>
      <c r="H1" s="1414"/>
      <c r="I1" s="1414"/>
      <c r="J1" s="1414"/>
    </row>
    <row r="2" spans="1:10" x14ac:dyDescent="0.2">
      <c r="A2" s="648">
        <v>2022</v>
      </c>
      <c r="B2" s="648" t="s">
        <v>665</v>
      </c>
      <c r="C2" s="639"/>
      <c r="D2" s="639"/>
      <c r="E2" s="639"/>
      <c r="F2" s="639"/>
      <c r="G2" s="639"/>
      <c r="H2" s="639"/>
      <c r="I2" s="639"/>
      <c r="J2" s="639"/>
    </row>
    <row r="3" spans="1:10" ht="15.75" x14ac:dyDescent="0.25">
      <c r="A3" s="1415" t="s">
        <v>673</v>
      </c>
      <c r="B3" s="1415"/>
      <c r="C3" s="1415"/>
      <c r="D3" s="1415"/>
      <c r="E3" s="1415"/>
      <c r="F3" s="1415"/>
      <c r="G3" s="1415"/>
      <c r="H3" s="1415"/>
      <c r="I3" s="639"/>
      <c r="J3" s="639"/>
    </row>
    <row r="6" spans="1:10" ht="15" x14ac:dyDescent="0.25">
      <c r="A6" s="643" t="s">
        <v>666</v>
      </c>
      <c r="B6" s="639"/>
      <c r="C6" s="639"/>
      <c r="D6" s="639"/>
      <c r="E6" s="639"/>
      <c r="F6" s="639"/>
      <c r="G6" s="639"/>
      <c r="H6" s="639"/>
      <c r="I6" s="639"/>
      <c r="J6" s="639"/>
    </row>
    <row r="7" spans="1:10" x14ac:dyDescent="0.2">
      <c r="A7" s="644" t="s">
        <v>667</v>
      </c>
      <c r="B7" s="645" t="s">
        <v>1041</v>
      </c>
      <c r="C7" s="646" t="s">
        <v>668</v>
      </c>
      <c r="D7" s="646" t="s">
        <v>942</v>
      </c>
      <c r="E7" s="646" t="s">
        <v>669</v>
      </c>
      <c r="F7" s="645" t="s">
        <v>1042</v>
      </c>
      <c r="G7" s="646" t="s">
        <v>670</v>
      </c>
      <c r="H7" s="646" t="s">
        <v>734</v>
      </c>
      <c r="I7" s="646"/>
      <c r="J7" s="646"/>
    </row>
    <row r="8" spans="1:10" x14ac:dyDescent="0.2">
      <c r="A8" s="640"/>
      <c r="B8" s="640"/>
      <c r="C8" s="640"/>
      <c r="D8" s="640"/>
      <c r="E8" s="640"/>
      <c r="F8" s="640"/>
      <c r="G8" s="640"/>
      <c r="H8" s="640"/>
      <c r="I8" s="640"/>
      <c r="J8" s="640"/>
    </row>
    <row r="11" spans="1:10" ht="14.25" x14ac:dyDescent="0.2">
      <c r="A11" s="647" t="s">
        <v>671</v>
      </c>
      <c r="B11" s="1416" t="s">
        <v>672</v>
      </c>
      <c r="C11" s="1416"/>
      <c r="D11" s="1416"/>
      <c r="E11" s="1416"/>
      <c r="F11" s="1416"/>
      <c r="G11" s="1416"/>
      <c r="H11" s="1416"/>
      <c r="I11" s="642"/>
      <c r="J11" s="642"/>
    </row>
    <row r="12" spans="1:10" ht="14.25" x14ac:dyDescent="0.2">
      <c r="A12" s="647" t="s">
        <v>674</v>
      </c>
    </row>
    <row r="13" spans="1:10" ht="14.25" x14ac:dyDescent="0.2">
      <c r="A13" s="647" t="s">
        <v>675</v>
      </c>
    </row>
    <row r="14" spans="1:10" ht="14.25" x14ac:dyDescent="0.2">
      <c r="A14" s="647" t="s">
        <v>676</v>
      </c>
    </row>
    <row r="15" spans="1:10" ht="14.25" x14ac:dyDescent="0.2">
      <c r="A15" s="647" t="s">
        <v>671</v>
      </c>
    </row>
    <row r="16" spans="1:10" ht="14.25" x14ac:dyDescent="0.2">
      <c r="A16" s="647" t="s">
        <v>671</v>
      </c>
    </row>
    <row r="17" spans="1:1" ht="14.25" x14ac:dyDescent="0.2">
      <c r="A17" s="647" t="s">
        <v>671</v>
      </c>
    </row>
    <row r="18" spans="1:1" ht="14.25" x14ac:dyDescent="0.2">
      <c r="A18" s="647" t="s">
        <v>671</v>
      </c>
    </row>
    <row r="19" spans="1:1" ht="14.25" x14ac:dyDescent="0.2">
      <c r="A19" s="647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5" customWidth="1"/>
    <col min="2" max="2" width="41.1640625" style="665" customWidth="1"/>
    <col min="3" max="3" width="17.6640625" style="665" customWidth="1"/>
    <col min="4" max="7" width="14" style="665" customWidth="1"/>
    <col min="8" max="8" width="16.6640625" style="665" customWidth="1"/>
    <col min="9" max="256" width="9.33203125" style="665"/>
    <col min="257" max="257" width="5.6640625" style="665" customWidth="1"/>
    <col min="258" max="258" width="41.1640625" style="665" customWidth="1"/>
    <col min="259" max="259" width="17.6640625" style="665" customWidth="1"/>
    <col min="260" max="263" width="14" style="665" customWidth="1"/>
    <col min="264" max="264" width="16.6640625" style="665" customWidth="1"/>
    <col min="265" max="512" width="9.33203125" style="665"/>
    <col min="513" max="513" width="5.6640625" style="665" customWidth="1"/>
    <col min="514" max="514" width="41.1640625" style="665" customWidth="1"/>
    <col min="515" max="515" width="17.6640625" style="665" customWidth="1"/>
    <col min="516" max="519" width="14" style="665" customWidth="1"/>
    <col min="520" max="520" width="16.6640625" style="665" customWidth="1"/>
    <col min="521" max="768" width="9.33203125" style="665"/>
    <col min="769" max="769" width="5.6640625" style="665" customWidth="1"/>
    <col min="770" max="770" width="41.1640625" style="665" customWidth="1"/>
    <col min="771" max="771" width="17.6640625" style="665" customWidth="1"/>
    <col min="772" max="775" width="14" style="665" customWidth="1"/>
    <col min="776" max="776" width="16.6640625" style="665" customWidth="1"/>
    <col min="777" max="1024" width="9.33203125" style="665"/>
    <col min="1025" max="1025" width="5.6640625" style="665" customWidth="1"/>
    <col min="1026" max="1026" width="41.1640625" style="665" customWidth="1"/>
    <col min="1027" max="1027" width="17.6640625" style="665" customWidth="1"/>
    <col min="1028" max="1031" width="14" style="665" customWidth="1"/>
    <col min="1032" max="1032" width="16.6640625" style="665" customWidth="1"/>
    <col min="1033" max="1280" width="9.33203125" style="665"/>
    <col min="1281" max="1281" width="5.6640625" style="665" customWidth="1"/>
    <col min="1282" max="1282" width="41.1640625" style="665" customWidth="1"/>
    <col min="1283" max="1283" width="17.6640625" style="665" customWidth="1"/>
    <col min="1284" max="1287" width="14" style="665" customWidth="1"/>
    <col min="1288" max="1288" width="16.6640625" style="665" customWidth="1"/>
    <col min="1289" max="1536" width="9.33203125" style="665"/>
    <col min="1537" max="1537" width="5.6640625" style="665" customWidth="1"/>
    <col min="1538" max="1538" width="41.1640625" style="665" customWidth="1"/>
    <col min="1539" max="1539" width="17.6640625" style="665" customWidth="1"/>
    <col min="1540" max="1543" width="14" style="665" customWidth="1"/>
    <col min="1544" max="1544" width="16.6640625" style="665" customWidth="1"/>
    <col min="1545" max="1792" width="9.33203125" style="665"/>
    <col min="1793" max="1793" width="5.6640625" style="665" customWidth="1"/>
    <col min="1794" max="1794" width="41.1640625" style="665" customWidth="1"/>
    <col min="1795" max="1795" width="17.6640625" style="665" customWidth="1"/>
    <col min="1796" max="1799" width="14" style="665" customWidth="1"/>
    <col min="1800" max="1800" width="16.6640625" style="665" customWidth="1"/>
    <col min="1801" max="2048" width="9.33203125" style="665"/>
    <col min="2049" max="2049" width="5.6640625" style="665" customWidth="1"/>
    <col min="2050" max="2050" width="41.1640625" style="665" customWidth="1"/>
    <col min="2051" max="2051" width="17.6640625" style="665" customWidth="1"/>
    <col min="2052" max="2055" width="14" style="665" customWidth="1"/>
    <col min="2056" max="2056" width="16.6640625" style="665" customWidth="1"/>
    <col min="2057" max="2304" width="9.33203125" style="665"/>
    <col min="2305" max="2305" width="5.6640625" style="665" customWidth="1"/>
    <col min="2306" max="2306" width="41.1640625" style="665" customWidth="1"/>
    <col min="2307" max="2307" width="17.6640625" style="665" customWidth="1"/>
    <col min="2308" max="2311" width="14" style="665" customWidth="1"/>
    <col min="2312" max="2312" width="16.6640625" style="665" customWidth="1"/>
    <col min="2313" max="2560" width="9.33203125" style="665"/>
    <col min="2561" max="2561" width="5.6640625" style="665" customWidth="1"/>
    <col min="2562" max="2562" width="41.1640625" style="665" customWidth="1"/>
    <col min="2563" max="2563" width="17.6640625" style="665" customWidth="1"/>
    <col min="2564" max="2567" width="14" style="665" customWidth="1"/>
    <col min="2568" max="2568" width="16.6640625" style="665" customWidth="1"/>
    <col min="2569" max="2816" width="9.33203125" style="665"/>
    <col min="2817" max="2817" width="5.6640625" style="665" customWidth="1"/>
    <col min="2818" max="2818" width="41.1640625" style="665" customWidth="1"/>
    <col min="2819" max="2819" width="17.6640625" style="665" customWidth="1"/>
    <col min="2820" max="2823" width="14" style="665" customWidth="1"/>
    <col min="2824" max="2824" width="16.6640625" style="665" customWidth="1"/>
    <col min="2825" max="3072" width="9.33203125" style="665"/>
    <col min="3073" max="3073" width="5.6640625" style="665" customWidth="1"/>
    <col min="3074" max="3074" width="41.1640625" style="665" customWidth="1"/>
    <col min="3075" max="3075" width="17.6640625" style="665" customWidth="1"/>
    <col min="3076" max="3079" width="14" style="665" customWidth="1"/>
    <col min="3080" max="3080" width="16.6640625" style="665" customWidth="1"/>
    <col min="3081" max="3328" width="9.33203125" style="665"/>
    <col min="3329" max="3329" width="5.6640625" style="665" customWidth="1"/>
    <col min="3330" max="3330" width="41.1640625" style="665" customWidth="1"/>
    <col min="3331" max="3331" width="17.6640625" style="665" customWidth="1"/>
    <col min="3332" max="3335" width="14" style="665" customWidth="1"/>
    <col min="3336" max="3336" width="16.6640625" style="665" customWidth="1"/>
    <col min="3337" max="3584" width="9.33203125" style="665"/>
    <col min="3585" max="3585" width="5.6640625" style="665" customWidth="1"/>
    <col min="3586" max="3586" width="41.1640625" style="665" customWidth="1"/>
    <col min="3587" max="3587" width="17.6640625" style="665" customWidth="1"/>
    <col min="3588" max="3591" width="14" style="665" customWidth="1"/>
    <col min="3592" max="3592" width="16.6640625" style="665" customWidth="1"/>
    <col min="3593" max="3840" width="9.33203125" style="665"/>
    <col min="3841" max="3841" width="5.6640625" style="665" customWidth="1"/>
    <col min="3842" max="3842" width="41.1640625" style="665" customWidth="1"/>
    <col min="3843" max="3843" width="17.6640625" style="665" customWidth="1"/>
    <col min="3844" max="3847" width="14" style="665" customWidth="1"/>
    <col min="3848" max="3848" width="16.6640625" style="665" customWidth="1"/>
    <col min="3849" max="4096" width="9.33203125" style="665"/>
    <col min="4097" max="4097" width="5.6640625" style="665" customWidth="1"/>
    <col min="4098" max="4098" width="41.1640625" style="665" customWidth="1"/>
    <col min="4099" max="4099" width="17.6640625" style="665" customWidth="1"/>
    <col min="4100" max="4103" width="14" style="665" customWidth="1"/>
    <col min="4104" max="4104" width="16.6640625" style="665" customWidth="1"/>
    <col min="4105" max="4352" width="9.33203125" style="665"/>
    <col min="4353" max="4353" width="5.6640625" style="665" customWidth="1"/>
    <col min="4354" max="4354" width="41.1640625" style="665" customWidth="1"/>
    <col min="4355" max="4355" width="17.6640625" style="665" customWidth="1"/>
    <col min="4356" max="4359" width="14" style="665" customWidth="1"/>
    <col min="4360" max="4360" width="16.6640625" style="665" customWidth="1"/>
    <col min="4361" max="4608" width="9.33203125" style="665"/>
    <col min="4609" max="4609" width="5.6640625" style="665" customWidth="1"/>
    <col min="4610" max="4610" width="41.1640625" style="665" customWidth="1"/>
    <col min="4611" max="4611" width="17.6640625" style="665" customWidth="1"/>
    <col min="4612" max="4615" width="14" style="665" customWidth="1"/>
    <col min="4616" max="4616" width="16.6640625" style="665" customWidth="1"/>
    <col min="4617" max="4864" width="9.33203125" style="665"/>
    <col min="4865" max="4865" width="5.6640625" style="665" customWidth="1"/>
    <col min="4866" max="4866" width="41.1640625" style="665" customWidth="1"/>
    <col min="4867" max="4867" width="17.6640625" style="665" customWidth="1"/>
    <col min="4868" max="4871" width="14" style="665" customWidth="1"/>
    <col min="4872" max="4872" width="16.6640625" style="665" customWidth="1"/>
    <col min="4873" max="5120" width="9.33203125" style="665"/>
    <col min="5121" max="5121" width="5.6640625" style="665" customWidth="1"/>
    <col min="5122" max="5122" width="41.1640625" style="665" customWidth="1"/>
    <col min="5123" max="5123" width="17.6640625" style="665" customWidth="1"/>
    <col min="5124" max="5127" width="14" style="665" customWidth="1"/>
    <col min="5128" max="5128" width="16.6640625" style="665" customWidth="1"/>
    <col min="5129" max="5376" width="9.33203125" style="665"/>
    <col min="5377" max="5377" width="5.6640625" style="665" customWidth="1"/>
    <col min="5378" max="5378" width="41.1640625" style="665" customWidth="1"/>
    <col min="5379" max="5379" width="17.6640625" style="665" customWidth="1"/>
    <col min="5380" max="5383" width="14" style="665" customWidth="1"/>
    <col min="5384" max="5384" width="16.6640625" style="665" customWidth="1"/>
    <col min="5385" max="5632" width="9.33203125" style="665"/>
    <col min="5633" max="5633" width="5.6640625" style="665" customWidth="1"/>
    <col min="5634" max="5634" width="41.1640625" style="665" customWidth="1"/>
    <col min="5635" max="5635" width="17.6640625" style="665" customWidth="1"/>
    <col min="5636" max="5639" width="14" style="665" customWidth="1"/>
    <col min="5640" max="5640" width="16.6640625" style="665" customWidth="1"/>
    <col min="5641" max="5888" width="9.33203125" style="665"/>
    <col min="5889" max="5889" width="5.6640625" style="665" customWidth="1"/>
    <col min="5890" max="5890" width="41.1640625" style="665" customWidth="1"/>
    <col min="5891" max="5891" width="17.6640625" style="665" customWidth="1"/>
    <col min="5892" max="5895" width="14" style="665" customWidth="1"/>
    <col min="5896" max="5896" width="16.6640625" style="665" customWidth="1"/>
    <col min="5897" max="6144" width="9.33203125" style="665"/>
    <col min="6145" max="6145" width="5.6640625" style="665" customWidth="1"/>
    <col min="6146" max="6146" width="41.1640625" style="665" customWidth="1"/>
    <col min="6147" max="6147" width="17.6640625" style="665" customWidth="1"/>
    <col min="6148" max="6151" width="14" style="665" customWidth="1"/>
    <col min="6152" max="6152" width="16.6640625" style="665" customWidth="1"/>
    <col min="6153" max="6400" width="9.33203125" style="665"/>
    <col min="6401" max="6401" width="5.6640625" style="665" customWidth="1"/>
    <col min="6402" max="6402" width="41.1640625" style="665" customWidth="1"/>
    <col min="6403" max="6403" width="17.6640625" style="665" customWidth="1"/>
    <col min="6404" max="6407" width="14" style="665" customWidth="1"/>
    <col min="6408" max="6408" width="16.6640625" style="665" customWidth="1"/>
    <col min="6409" max="6656" width="9.33203125" style="665"/>
    <col min="6657" max="6657" width="5.6640625" style="665" customWidth="1"/>
    <col min="6658" max="6658" width="41.1640625" style="665" customWidth="1"/>
    <col min="6659" max="6659" width="17.6640625" style="665" customWidth="1"/>
    <col min="6660" max="6663" width="14" style="665" customWidth="1"/>
    <col min="6664" max="6664" width="16.6640625" style="665" customWidth="1"/>
    <col min="6665" max="6912" width="9.33203125" style="665"/>
    <col min="6913" max="6913" width="5.6640625" style="665" customWidth="1"/>
    <col min="6914" max="6914" width="41.1640625" style="665" customWidth="1"/>
    <col min="6915" max="6915" width="17.6640625" style="665" customWidth="1"/>
    <col min="6916" max="6919" width="14" style="665" customWidth="1"/>
    <col min="6920" max="6920" width="16.6640625" style="665" customWidth="1"/>
    <col min="6921" max="7168" width="9.33203125" style="665"/>
    <col min="7169" max="7169" width="5.6640625" style="665" customWidth="1"/>
    <col min="7170" max="7170" width="41.1640625" style="665" customWidth="1"/>
    <col min="7171" max="7171" width="17.6640625" style="665" customWidth="1"/>
    <col min="7172" max="7175" width="14" style="665" customWidth="1"/>
    <col min="7176" max="7176" width="16.6640625" style="665" customWidth="1"/>
    <col min="7177" max="7424" width="9.33203125" style="665"/>
    <col min="7425" max="7425" width="5.6640625" style="665" customWidth="1"/>
    <col min="7426" max="7426" width="41.1640625" style="665" customWidth="1"/>
    <col min="7427" max="7427" width="17.6640625" style="665" customWidth="1"/>
    <col min="7428" max="7431" width="14" style="665" customWidth="1"/>
    <col min="7432" max="7432" width="16.6640625" style="665" customWidth="1"/>
    <col min="7433" max="7680" width="9.33203125" style="665"/>
    <col min="7681" max="7681" width="5.6640625" style="665" customWidth="1"/>
    <col min="7682" max="7682" width="41.1640625" style="665" customWidth="1"/>
    <col min="7683" max="7683" width="17.6640625" style="665" customWidth="1"/>
    <col min="7684" max="7687" width="14" style="665" customWidth="1"/>
    <col min="7688" max="7688" width="16.6640625" style="665" customWidth="1"/>
    <col min="7689" max="7936" width="9.33203125" style="665"/>
    <col min="7937" max="7937" width="5.6640625" style="665" customWidth="1"/>
    <col min="7938" max="7938" width="41.1640625" style="665" customWidth="1"/>
    <col min="7939" max="7939" width="17.6640625" style="665" customWidth="1"/>
    <col min="7940" max="7943" width="14" style="665" customWidth="1"/>
    <col min="7944" max="7944" width="16.6640625" style="665" customWidth="1"/>
    <col min="7945" max="8192" width="9.33203125" style="665"/>
    <col min="8193" max="8193" width="5.6640625" style="665" customWidth="1"/>
    <col min="8194" max="8194" width="41.1640625" style="665" customWidth="1"/>
    <col min="8195" max="8195" width="17.6640625" style="665" customWidth="1"/>
    <col min="8196" max="8199" width="14" style="665" customWidth="1"/>
    <col min="8200" max="8200" width="16.6640625" style="665" customWidth="1"/>
    <col min="8201" max="8448" width="9.33203125" style="665"/>
    <col min="8449" max="8449" width="5.6640625" style="665" customWidth="1"/>
    <col min="8450" max="8450" width="41.1640625" style="665" customWidth="1"/>
    <col min="8451" max="8451" width="17.6640625" style="665" customWidth="1"/>
    <col min="8452" max="8455" width="14" style="665" customWidth="1"/>
    <col min="8456" max="8456" width="16.6640625" style="665" customWidth="1"/>
    <col min="8457" max="8704" width="9.33203125" style="665"/>
    <col min="8705" max="8705" width="5.6640625" style="665" customWidth="1"/>
    <col min="8706" max="8706" width="41.1640625" style="665" customWidth="1"/>
    <col min="8707" max="8707" width="17.6640625" style="665" customWidth="1"/>
    <col min="8708" max="8711" width="14" style="665" customWidth="1"/>
    <col min="8712" max="8712" width="16.6640625" style="665" customWidth="1"/>
    <col min="8713" max="8960" width="9.33203125" style="665"/>
    <col min="8961" max="8961" width="5.6640625" style="665" customWidth="1"/>
    <col min="8962" max="8962" width="41.1640625" style="665" customWidth="1"/>
    <col min="8963" max="8963" width="17.6640625" style="665" customWidth="1"/>
    <col min="8964" max="8967" width="14" style="665" customWidth="1"/>
    <col min="8968" max="8968" width="16.6640625" style="665" customWidth="1"/>
    <col min="8969" max="9216" width="9.33203125" style="665"/>
    <col min="9217" max="9217" width="5.6640625" style="665" customWidth="1"/>
    <col min="9218" max="9218" width="41.1640625" style="665" customWidth="1"/>
    <col min="9219" max="9219" width="17.6640625" style="665" customWidth="1"/>
    <col min="9220" max="9223" width="14" style="665" customWidth="1"/>
    <col min="9224" max="9224" width="16.6640625" style="665" customWidth="1"/>
    <col min="9225" max="9472" width="9.33203125" style="665"/>
    <col min="9473" max="9473" width="5.6640625" style="665" customWidth="1"/>
    <col min="9474" max="9474" width="41.1640625" style="665" customWidth="1"/>
    <col min="9475" max="9475" width="17.6640625" style="665" customWidth="1"/>
    <col min="9476" max="9479" width="14" style="665" customWidth="1"/>
    <col min="9480" max="9480" width="16.6640625" style="665" customWidth="1"/>
    <col min="9481" max="9728" width="9.33203125" style="665"/>
    <col min="9729" max="9729" width="5.6640625" style="665" customWidth="1"/>
    <col min="9730" max="9730" width="41.1640625" style="665" customWidth="1"/>
    <col min="9731" max="9731" width="17.6640625" style="665" customWidth="1"/>
    <col min="9732" max="9735" width="14" style="665" customWidth="1"/>
    <col min="9736" max="9736" width="16.6640625" style="665" customWidth="1"/>
    <col min="9737" max="9984" width="9.33203125" style="665"/>
    <col min="9985" max="9985" width="5.6640625" style="665" customWidth="1"/>
    <col min="9986" max="9986" width="41.1640625" style="665" customWidth="1"/>
    <col min="9987" max="9987" width="17.6640625" style="665" customWidth="1"/>
    <col min="9988" max="9991" width="14" style="665" customWidth="1"/>
    <col min="9992" max="9992" width="16.6640625" style="665" customWidth="1"/>
    <col min="9993" max="10240" width="9.33203125" style="665"/>
    <col min="10241" max="10241" width="5.6640625" style="665" customWidth="1"/>
    <col min="10242" max="10242" width="41.1640625" style="665" customWidth="1"/>
    <col min="10243" max="10243" width="17.6640625" style="665" customWidth="1"/>
    <col min="10244" max="10247" width="14" style="665" customWidth="1"/>
    <col min="10248" max="10248" width="16.6640625" style="665" customWidth="1"/>
    <col min="10249" max="10496" width="9.33203125" style="665"/>
    <col min="10497" max="10497" width="5.6640625" style="665" customWidth="1"/>
    <col min="10498" max="10498" width="41.1640625" style="665" customWidth="1"/>
    <col min="10499" max="10499" width="17.6640625" style="665" customWidth="1"/>
    <col min="10500" max="10503" width="14" style="665" customWidth="1"/>
    <col min="10504" max="10504" width="16.6640625" style="665" customWidth="1"/>
    <col min="10505" max="10752" width="9.33203125" style="665"/>
    <col min="10753" max="10753" width="5.6640625" style="665" customWidth="1"/>
    <col min="10754" max="10754" width="41.1640625" style="665" customWidth="1"/>
    <col min="10755" max="10755" width="17.6640625" style="665" customWidth="1"/>
    <col min="10756" max="10759" width="14" style="665" customWidth="1"/>
    <col min="10760" max="10760" width="16.6640625" style="665" customWidth="1"/>
    <col min="10761" max="11008" width="9.33203125" style="665"/>
    <col min="11009" max="11009" width="5.6640625" style="665" customWidth="1"/>
    <col min="11010" max="11010" width="41.1640625" style="665" customWidth="1"/>
    <col min="11011" max="11011" width="17.6640625" style="665" customWidth="1"/>
    <col min="11012" max="11015" width="14" style="665" customWidth="1"/>
    <col min="11016" max="11016" width="16.6640625" style="665" customWidth="1"/>
    <col min="11017" max="11264" width="9.33203125" style="665"/>
    <col min="11265" max="11265" width="5.6640625" style="665" customWidth="1"/>
    <col min="11266" max="11266" width="41.1640625" style="665" customWidth="1"/>
    <col min="11267" max="11267" width="17.6640625" style="665" customWidth="1"/>
    <col min="11268" max="11271" width="14" style="665" customWidth="1"/>
    <col min="11272" max="11272" width="16.6640625" style="665" customWidth="1"/>
    <col min="11273" max="11520" width="9.33203125" style="665"/>
    <col min="11521" max="11521" width="5.6640625" style="665" customWidth="1"/>
    <col min="11522" max="11522" width="41.1640625" style="665" customWidth="1"/>
    <col min="11523" max="11523" width="17.6640625" style="665" customWidth="1"/>
    <col min="11524" max="11527" width="14" style="665" customWidth="1"/>
    <col min="11528" max="11528" width="16.6640625" style="665" customWidth="1"/>
    <col min="11529" max="11776" width="9.33203125" style="665"/>
    <col min="11777" max="11777" width="5.6640625" style="665" customWidth="1"/>
    <col min="11778" max="11778" width="41.1640625" style="665" customWidth="1"/>
    <col min="11779" max="11779" width="17.6640625" style="665" customWidth="1"/>
    <col min="11780" max="11783" width="14" style="665" customWidth="1"/>
    <col min="11784" max="11784" width="16.6640625" style="665" customWidth="1"/>
    <col min="11785" max="12032" width="9.33203125" style="665"/>
    <col min="12033" max="12033" width="5.6640625" style="665" customWidth="1"/>
    <col min="12034" max="12034" width="41.1640625" style="665" customWidth="1"/>
    <col min="12035" max="12035" width="17.6640625" style="665" customWidth="1"/>
    <col min="12036" max="12039" width="14" style="665" customWidth="1"/>
    <col min="12040" max="12040" width="16.6640625" style="665" customWidth="1"/>
    <col min="12041" max="12288" width="9.33203125" style="665"/>
    <col min="12289" max="12289" width="5.6640625" style="665" customWidth="1"/>
    <col min="12290" max="12290" width="41.1640625" style="665" customWidth="1"/>
    <col min="12291" max="12291" width="17.6640625" style="665" customWidth="1"/>
    <col min="12292" max="12295" width="14" style="665" customWidth="1"/>
    <col min="12296" max="12296" width="16.6640625" style="665" customWidth="1"/>
    <col min="12297" max="12544" width="9.33203125" style="665"/>
    <col min="12545" max="12545" width="5.6640625" style="665" customWidth="1"/>
    <col min="12546" max="12546" width="41.1640625" style="665" customWidth="1"/>
    <col min="12547" max="12547" width="17.6640625" style="665" customWidth="1"/>
    <col min="12548" max="12551" width="14" style="665" customWidth="1"/>
    <col min="12552" max="12552" width="16.6640625" style="665" customWidth="1"/>
    <col min="12553" max="12800" width="9.33203125" style="665"/>
    <col min="12801" max="12801" width="5.6640625" style="665" customWidth="1"/>
    <col min="12802" max="12802" width="41.1640625" style="665" customWidth="1"/>
    <col min="12803" max="12803" width="17.6640625" style="665" customWidth="1"/>
    <col min="12804" max="12807" width="14" style="665" customWidth="1"/>
    <col min="12808" max="12808" width="16.6640625" style="665" customWidth="1"/>
    <col min="12809" max="13056" width="9.33203125" style="665"/>
    <col min="13057" max="13057" width="5.6640625" style="665" customWidth="1"/>
    <col min="13058" max="13058" width="41.1640625" style="665" customWidth="1"/>
    <col min="13059" max="13059" width="17.6640625" style="665" customWidth="1"/>
    <col min="13060" max="13063" width="14" style="665" customWidth="1"/>
    <col min="13064" max="13064" width="16.6640625" style="665" customWidth="1"/>
    <col min="13065" max="13312" width="9.33203125" style="665"/>
    <col min="13313" max="13313" width="5.6640625" style="665" customWidth="1"/>
    <col min="13314" max="13314" width="41.1640625" style="665" customWidth="1"/>
    <col min="13315" max="13315" width="17.6640625" style="665" customWidth="1"/>
    <col min="13316" max="13319" width="14" style="665" customWidth="1"/>
    <col min="13320" max="13320" width="16.6640625" style="665" customWidth="1"/>
    <col min="13321" max="13568" width="9.33203125" style="665"/>
    <col min="13569" max="13569" width="5.6640625" style="665" customWidth="1"/>
    <col min="13570" max="13570" width="41.1640625" style="665" customWidth="1"/>
    <col min="13571" max="13571" width="17.6640625" style="665" customWidth="1"/>
    <col min="13572" max="13575" width="14" style="665" customWidth="1"/>
    <col min="13576" max="13576" width="16.6640625" style="665" customWidth="1"/>
    <col min="13577" max="13824" width="9.33203125" style="665"/>
    <col min="13825" max="13825" width="5.6640625" style="665" customWidth="1"/>
    <col min="13826" max="13826" width="41.1640625" style="665" customWidth="1"/>
    <col min="13827" max="13827" width="17.6640625" style="665" customWidth="1"/>
    <col min="13828" max="13831" width="14" style="665" customWidth="1"/>
    <col min="13832" max="13832" width="16.6640625" style="665" customWidth="1"/>
    <col min="13833" max="14080" width="9.33203125" style="665"/>
    <col min="14081" max="14081" width="5.6640625" style="665" customWidth="1"/>
    <col min="14082" max="14082" width="41.1640625" style="665" customWidth="1"/>
    <col min="14083" max="14083" width="17.6640625" style="665" customWidth="1"/>
    <col min="14084" max="14087" width="14" style="665" customWidth="1"/>
    <col min="14088" max="14088" width="16.6640625" style="665" customWidth="1"/>
    <col min="14089" max="14336" width="9.33203125" style="665"/>
    <col min="14337" max="14337" width="5.6640625" style="665" customWidth="1"/>
    <col min="14338" max="14338" width="41.1640625" style="665" customWidth="1"/>
    <col min="14339" max="14339" width="17.6640625" style="665" customWidth="1"/>
    <col min="14340" max="14343" width="14" style="665" customWidth="1"/>
    <col min="14344" max="14344" width="16.6640625" style="665" customWidth="1"/>
    <col min="14345" max="14592" width="9.33203125" style="665"/>
    <col min="14593" max="14593" width="5.6640625" style="665" customWidth="1"/>
    <col min="14594" max="14594" width="41.1640625" style="665" customWidth="1"/>
    <col min="14595" max="14595" width="17.6640625" style="665" customWidth="1"/>
    <col min="14596" max="14599" width="14" style="665" customWidth="1"/>
    <col min="14600" max="14600" width="16.6640625" style="665" customWidth="1"/>
    <col min="14601" max="14848" width="9.33203125" style="665"/>
    <col min="14849" max="14849" width="5.6640625" style="665" customWidth="1"/>
    <col min="14850" max="14850" width="41.1640625" style="665" customWidth="1"/>
    <col min="14851" max="14851" width="17.6640625" style="665" customWidth="1"/>
    <col min="14852" max="14855" width="14" style="665" customWidth="1"/>
    <col min="14856" max="14856" width="16.6640625" style="665" customWidth="1"/>
    <col min="14857" max="15104" width="9.33203125" style="665"/>
    <col min="15105" max="15105" width="5.6640625" style="665" customWidth="1"/>
    <col min="15106" max="15106" width="41.1640625" style="665" customWidth="1"/>
    <col min="15107" max="15107" width="17.6640625" style="665" customWidth="1"/>
    <col min="15108" max="15111" width="14" style="665" customWidth="1"/>
    <col min="15112" max="15112" width="16.6640625" style="665" customWidth="1"/>
    <col min="15113" max="15360" width="9.33203125" style="665"/>
    <col min="15361" max="15361" width="5.6640625" style="665" customWidth="1"/>
    <col min="15362" max="15362" width="41.1640625" style="665" customWidth="1"/>
    <col min="15363" max="15363" width="17.6640625" style="665" customWidth="1"/>
    <col min="15364" max="15367" width="14" style="665" customWidth="1"/>
    <col min="15368" max="15368" width="16.6640625" style="665" customWidth="1"/>
    <col min="15369" max="15616" width="9.33203125" style="665"/>
    <col min="15617" max="15617" width="5.6640625" style="665" customWidth="1"/>
    <col min="15618" max="15618" width="41.1640625" style="665" customWidth="1"/>
    <col min="15619" max="15619" width="17.6640625" style="665" customWidth="1"/>
    <col min="15620" max="15623" width="14" style="665" customWidth="1"/>
    <col min="15624" max="15624" width="16.6640625" style="665" customWidth="1"/>
    <col min="15625" max="15872" width="9.33203125" style="665"/>
    <col min="15873" max="15873" width="5.6640625" style="665" customWidth="1"/>
    <col min="15874" max="15874" width="41.1640625" style="665" customWidth="1"/>
    <col min="15875" max="15875" width="17.6640625" style="665" customWidth="1"/>
    <col min="15876" max="15879" width="14" style="665" customWidth="1"/>
    <col min="15880" max="15880" width="16.6640625" style="665" customWidth="1"/>
    <col min="15881" max="16128" width="9.33203125" style="665"/>
    <col min="16129" max="16129" width="5.6640625" style="665" customWidth="1"/>
    <col min="16130" max="16130" width="41.1640625" style="665" customWidth="1"/>
    <col min="16131" max="16131" width="17.6640625" style="665" customWidth="1"/>
    <col min="16132" max="16135" width="14" style="665" customWidth="1"/>
    <col min="16136" max="16136" width="16.6640625" style="665" customWidth="1"/>
    <col min="16137" max="16384" width="9.33203125" style="665"/>
  </cols>
  <sheetData>
    <row r="1" spans="1:11" x14ac:dyDescent="0.25">
      <c r="A1" s="1430" t="str">
        <f>CONCATENATE("8. melléklet ",ALAPADATOK!A7," ",ALAPADATOK!B7," ",ALAPADATOK!C7," ",ALAPADATOK!D7," ",ALAPADATOK!E7," ",ALAPADATOK!F7," ",ALAPADATOK!G7," ",ALAPADATOK!H7)</f>
        <v>8. melléklet a .. / 2022. ( …... ) önkormányzati rendelethez</v>
      </c>
      <c r="B1" s="1430"/>
      <c r="C1" s="1430"/>
      <c r="D1" s="1430"/>
      <c r="E1" s="1430"/>
      <c r="F1" s="1430"/>
      <c r="G1" s="1430"/>
      <c r="H1" s="1430"/>
    </row>
    <row r="3" spans="1:11" x14ac:dyDescent="0.25">
      <c r="A3" s="1431" t="s">
        <v>383</v>
      </c>
      <c r="B3" s="1431"/>
      <c r="C3" s="1431"/>
      <c r="D3" s="1431"/>
      <c r="E3" s="1431"/>
      <c r="F3" s="1431"/>
      <c r="G3" s="1431"/>
      <c r="H3" s="1431"/>
    </row>
    <row r="4" spans="1:11" ht="15.75" thickBot="1" x14ac:dyDescent="0.3">
      <c r="A4" s="666"/>
      <c r="B4" s="667"/>
      <c r="C4" s="667"/>
      <c r="D4" s="1432"/>
      <c r="E4" s="1432"/>
      <c r="F4" s="1432"/>
      <c r="G4" s="1433" t="s">
        <v>496</v>
      </c>
      <c r="H4" s="1433"/>
      <c r="I4" s="778"/>
    </row>
    <row r="5" spans="1:11" ht="25.5" x14ac:dyDescent="0.25">
      <c r="A5" s="1434" t="s">
        <v>14</v>
      </c>
      <c r="B5" s="1436" t="s">
        <v>147</v>
      </c>
      <c r="C5" s="668" t="s">
        <v>949</v>
      </c>
      <c r="D5" s="1436" t="s">
        <v>178</v>
      </c>
      <c r="E5" s="1436"/>
      <c r="F5" s="1436"/>
      <c r="G5" s="1436"/>
      <c r="H5" s="1438" t="s">
        <v>498</v>
      </c>
    </row>
    <row r="6" spans="1:11" ht="15.75" thickBot="1" x14ac:dyDescent="0.3">
      <c r="A6" s="1435"/>
      <c r="B6" s="1437"/>
      <c r="C6" s="828"/>
      <c r="D6" s="828">
        <v>2022</v>
      </c>
      <c r="E6" s="828">
        <v>2023</v>
      </c>
      <c r="F6" s="828">
        <v>2024</v>
      </c>
      <c r="G6" s="1001">
        <v>2025</v>
      </c>
      <c r="H6" s="1439"/>
    </row>
    <row r="7" spans="1:11" ht="15.75" thickBot="1" x14ac:dyDescent="0.3">
      <c r="A7" s="669" t="s">
        <v>16</v>
      </c>
      <c r="B7" s="670">
        <v>2</v>
      </c>
      <c r="C7" s="671">
        <v>3</v>
      </c>
      <c r="D7" s="671">
        <v>4</v>
      </c>
      <c r="E7" s="671">
        <v>5</v>
      </c>
      <c r="F7" s="671">
        <v>6</v>
      </c>
      <c r="G7" s="672">
        <v>7</v>
      </c>
      <c r="H7" s="672">
        <v>8</v>
      </c>
    </row>
    <row r="8" spans="1:11" ht="26.25" x14ac:dyDescent="0.25">
      <c r="A8" s="673" t="s">
        <v>16</v>
      </c>
      <c r="B8" s="674" t="s">
        <v>749</v>
      </c>
      <c r="C8" s="675">
        <v>0</v>
      </c>
      <c r="D8" s="779">
        <v>0</v>
      </c>
      <c r="E8" s="779">
        <v>0</v>
      </c>
      <c r="F8" s="779">
        <v>0</v>
      </c>
      <c r="G8" s="779">
        <v>0</v>
      </c>
      <c r="H8" s="780">
        <f t="shared" ref="H8:H22" si="0">SUM(D8:G8)</f>
        <v>0</v>
      </c>
    </row>
    <row r="9" spans="1:11" ht="39" x14ac:dyDescent="0.25">
      <c r="A9" s="673" t="s">
        <v>17</v>
      </c>
      <c r="B9" s="674" t="s">
        <v>503</v>
      </c>
      <c r="C9" s="675">
        <v>4415000</v>
      </c>
      <c r="D9" s="781">
        <v>1472000</v>
      </c>
      <c r="E9" s="781">
        <v>1472000</v>
      </c>
      <c r="F9" s="779">
        <v>1471000</v>
      </c>
      <c r="G9" s="779">
        <v>0</v>
      </c>
      <c r="H9" s="780">
        <f t="shared" si="0"/>
        <v>4415000</v>
      </c>
      <c r="I9" s="676"/>
      <c r="J9" s="677"/>
      <c r="K9" s="678"/>
    </row>
    <row r="10" spans="1:11" ht="26.25" customHeight="1" x14ac:dyDescent="0.25">
      <c r="A10" s="673" t="s">
        <v>18</v>
      </c>
      <c r="B10" s="679" t="s">
        <v>499</v>
      </c>
      <c r="C10" s="680">
        <v>26281155</v>
      </c>
      <c r="D10" s="779">
        <v>4940000</v>
      </c>
      <c r="E10" s="779">
        <v>4940000</v>
      </c>
      <c r="F10" s="779">
        <v>4940000</v>
      </c>
      <c r="G10" s="779">
        <v>4940000</v>
      </c>
      <c r="H10" s="780">
        <f t="shared" si="0"/>
        <v>19760000</v>
      </c>
    </row>
    <row r="11" spans="1:11" ht="39" x14ac:dyDescent="0.25">
      <c r="A11" s="673" t="s">
        <v>19</v>
      </c>
      <c r="B11" s="681" t="s">
        <v>504</v>
      </c>
      <c r="C11" s="682">
        <v>1108000</v>
      </c>
      <c r="D11" s="782">
        <v>1108000</v>
      </c>
      <c r="E11" s="782">
        <v>0</v>
      </c>
      <c r="F11" s="783">
        <v>0</v>
      </c>
      <c r="G11" s="783">
        <v>0</v>
      </c>
      <c r="H11" s="780">
        <f t="shared" si="0"/>
        <v>1108000</v>
      </c>
    </row>
    <row r="12" spans="1:11" ht="26.25" x14ac:dyDescent="0.25">
      <c r="A12" s="673" t="s">
        <v>20</v>
      </c>
      <c r="B12" s="683" t="s">
        <v>576</v>
      </c>
      <c r="C12" s="675">
        <v>741452</v>
      </c>
      <c r="D12" s="779">
        <v>741452</v>
      </c>
      <c r="E12" s="779">
        <v>0</v>
      </c>
      <c r="F12" s="779">
        <v>0</v>
      </c>
      <c r="G12" s="779">
        <v>0</v>
      </c>
      <c r="H12" s="780">
        <f t="shared" si="0"/>
        <v>741452</v>
      </c>
    </row>
    <row r="13" spans="1:11" ht="26.25" x14ac:dyDescent="0.25">
      <c r="A13" s="673" t="s">
        <v>21</v>
      </c>
      <c r="B13" s="683" t="s">
        <v>577</v>
      </c>
      <c r="C13" s="675">
        <v>2011242</v>
      </c>
      <c r="D13" s="779">
        <v>1270000</v>
      </c>
      <c r="E13" s="779">
        <v>741242</v>
      </c>
      <c r="F13" s="779">
        <v>0</v>
      </c>
      <c r="G13" s="779">
        <v>0</v>
      </c>
      <c r="H13" s="780">
        <f t="shared" si="0"/>
        <v>2011242</v>
      </c>
    </row>
    <row r="14" spans="1:11" ht="26.25" x14ac:dyDescent="0.25">
      <c r="A14" s="673" t="s">
        <v>22</v>
      </c>
      <c r="B14" s="679" t="s">
        <v>578</v>
      </c>
      <c r="C14" s="675">
        <v>5725526</v>
      </c>
      <c r="D14" s="779">
        <v>1668000</v>
      </c>
      <c r="E14" s="779">
        <v>1668000</v>
      </c>
      <c r="F14" s="779">
        <v>1668000</v>
      </c>
      <c r="G14" s="779">
        <v>721526</v>
      </c>
      <c r="H14" s="780">
        <f t="shared" si="0"/>
        <v>5725526</v>
      </c>
    </row>
    <row r="15" spans="1:11" ht="27.75" customHeight="1" x14ac:dyDescent="0.25">
      <c r="A15" s="673" t="s">
        <v>23</v>
      </c>
      <c r="B15" s="679" t="s">
        <v>579</v>
      </c>
      <c r="C15" s="675">
        <v>5373754</v>
      </c>
      <c r="D15" s="779">
        <v>1834504</v>
      </c>
      <c r="E15" s="779">
        <v>1834504</v>
      </c>
      <c r="F15" s="779">
        <v>1704746</v>
      </c>
      <c r="G15" s="779">
        <v>0</v>
      </c>
      <c r="H15" s="780">
        <f t="shared" si="0"/>
        <v>5373754</v>
      </c>
    </row>
    <row r="16" spans="1:11" ht="27" customHeight="1" x14ac:dyDescent="0.25">
      <c r="A16" s="673" t="s">
        <v>24</v>
      </c>
      <c r="B16" s="679" t="s">
        <v>580</v>
      </c>
      <c r="C16" s="675">
        <v>19444800</v>
      </c>
      <c r="D16" s="779">
        <v>2777600</v>
      </c>
      <c r="E16" s="779">
        <v>2777600</v>
      </c>
      <c r="F16" s="779">
        <v>2777600</v>
      </c>
      <c r="G16" s="779">
        <v>2777600</v>
      </c>
      <c r="H16" s="780">
        <f t="shared" si="0"/>
        <v>11110400</v>
      </c>
    </row>
    <row r="17" spans="1:8" ht="26.25" customHeight="1" x14ac:dyDescent="0.25">
      <c r="A17" s="673" t="s">
        <v>25</v>
      </c>
      <c r="B17" s="679" t="s">
        <v>581</v>
      </c>
      <c r="C17" s="675">
        <v>2485644</v>
      </c>
      <c r="D17" s="779">
        <v>1016000</v>
      </c>
      <c r="E17" s="779">
        <v>1016000</v>
      </c>
      <c r="F17" s="779">
        <v>453644</v>
      </c>
      <c r="G17" s="779">
        <v>0</v>
      </c>
      <c r="H17" s="780">
        <f t="shared" si="0"/>
        <v>2485644</v>
      </c>
    </row>
    <row r="18" spans="1:8" ht="26.25" x14ac:dyDescent="0.25">
      <c r="A18" s="673" t="s">
        <v>26</v>
      </c>
      <c r="B18" s="679" t="s">
        <v>582</v>
      </c>
      <c r="C18" s="675">
        <v>12809597</v>
      </c>
      <c r="D18" s="779">
        <v>3600000</v>
      </c>
      <c r="E18" s="779">
        <v>3600000</v>
      </c>
      <c r="F18" s="779">
        <v>3600000</v>
      </c>
      <c r="G18" s="779">
        <v>2009597</v>
      </c>
      <c r="H18" s="780">
        <f t="shared" si="0"/>
        <v>12809597</v>
      </c>
    </row>
    <row r="19" spans="1:8" x14ac:dyDescent="0.25">
      <c r="A19" s="673" t="s">
        <v>27</v>
      </c>
      <c r="B19" s="1002" t="s">
        <v>860</v>
      </c>
      <c r="C19" s="837">
        <v>11502781</v>
      </c>
      <c r="D19" s="838">
        <v>2300740</v>
      </c>
      <c r="E19" s="838">
        <v>2300740</v>
      </c>
      <c r="F19" s="838">
        <v>2300740</v>
      </c>
      <c r="G19" s="839">
        <v>2300740</v>
      </c>
      <c r="H19" s="780">
        <f t="shared" si="0"/>
        <v>9202960</v>
      </c>
    </row>
    <row r="20" spans="1:8" ht="22.5" x14ac:dyDescent="0.25">
      <c r="A20" s="831" t="s">
        <v>28</v>
      </c>
      <c r="B20" s="840" t="s">
        <v>861</v>
      </c>
      <c r="C20" s="837">
        <v>0</v>
      </c>
      <c r="D20" s="838">
        <v>0</v>
      </c>
      <c r="E20" s="838">
        <v>1568620</v>
      </c>
      <c r="F20" s="838">
        <v>1568620</v>
      </c>
      <c r="G20" s="839">
        <v>1568620</v>
      </c>
      <c r="H20" s="841">
        <f t="shared" si="0"/>
        <v>4705860</v>
      </c>
    </row>
    <row r="21" spans="1:8" ht="22.5" x14ac:dyDescent="0.25">
      <c r="A21" s="1170" t="s">
        <v>29</v>
      </c>
      <c r="B21" s="1171" t="s">
        <v>934</v>
      </c>
      <c r="C21" s="837">
        <v>0</v>
      </c>
      <c r="D21" s="838">
        <v>0</v>
      </c>
      <c r="E21" s="838">
        <v>0</v>
      </c>
      <c r="F21" s="838">
        <v>13920000</v>
      </c>
      <c r="G21" s="839">
        <v>13920000</v>
      </c>
      <c r="H21" s="1172">
        <f>SUM(D21:G21)</f>
        <v>27840000</v>
      </c>
    </row>
    <row r="22" spans="1:8" ht="15.75" thickBot="1" x14ac:dyDescent="0.3">
      <c r="A22" s="830" t="s">
        <v>30</v>
      </c>
      <c r="B22" s="1173" t="s">
        <v>950</v>
      </c>
      <c r="C22" s="1167">
        <v>0</v>
      </c>
      <c r="D22" s="1168">
        <v>0</v>
      </c>
      <c r="E22" s="1168">
        <v>0</v>
      </c>
      <c r="F22" s="1168">
        <v>2280000</v>
      </c>
      <c r="G22" s="1169">
        <v>2280000</v>
      </c>
      <c r="H22" s="1174">
        <f t="shared" si="0"/>
        <v>4560000</v>
      </c>
    </row>
    <row r="23" spans="1:8" ht="24" customHeight="1" thickBot="1" x14ac:dyDescent="0.3">
      <c r="A23" s="669"/>
      <c r="B23" s="684" t="s">
        <v>148</v>
      </c>
      <c r="C23" s="685">
        <f t="shared" ref="C23:H23" si="1">SUM(C8:C22)</f>
        <v>91898951</v>
      </c>
      <c r="D23" s="685">
        <f t="shared" si="1"/>
        <v>22728296</v>
      </c>
      <c r="E23" s="685">
        <f t="shared" si="1"/>
        <v>21918706</v>
      </c>
      <c r="F23" s="685">
        <f t="shared" si="1"/>
        <v>36684350</v>
      </c>
      <c r="G23" s="685">
        <f t="shared" si="1"/>
        <v>30518083</v>
      </c>
      <c r="H23" s="688">
        <f t="shared" si="1"/>
        <v>111849435</v>
      </c>
    </row>
    <row r="25" spans="1:8" x14ac:dyDescent="0.25">
      <c r="B25" s="686" t="s">
        <v>583</v>
      </c>
    </row>
    <row r="27" spans="1:8" x14ac:dyDescent="0.25">
      <c r="B27" s="68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C13" sqref="C13"/>
    </sheetView>
  </sheetViews>
  <sheetFormatPr defaultRowHeight="15" x14ac:dyDescent="0.25"/>
  <cols>
    <col min="1" max="1" width="5.6640625" style="665" customWidth="1"/>
    <col min="2" max="2" width="68.6640625" style="665" customWidth="1"/>
    <col min="3" max="3" width="19.5" style="665" customWidth="1"/>
    <col min="4" max="4" width="11.33203125" style="665" customWidth="1"/>
    <col min="5" max="16384" width="9.33203125" style="665"/>
  </cols>
  <sheetData>
    <row r="1" spans="1:4" x14ac:dyDescent="0.25">
      <c r="A1" s="1430" t="str">
        <f>CONCATENATE("9. melléklet ",ALAPADATOK!A7," ",ALAPADATOK!B7," ",ALAPADATOK!C7," ",ALAPADATOK!D7," ",ALAPADATOK!E7," ",ALAPADATOK!F7," ",ALAPADATOK!G7," ",ALAPADATOK!H7)</f>
        <v>9. melléklet a .. / 2022. ( …... ) önkormányzati rendelethez</v>
      </c>
      <c r="B1" s="1430"/>
      <c r="C1" s="1430"/>
    </row>
    <row r="3" spans="1:4" ht="33" customHeight="1" x14ac:dyDescent="0.25">
      <c r="A3" s="1431" t="s">
        <v>512</v>
      </c>
      <c r="B3" s="1431"/>
      <c r="C3" s="1431"/>
    </row>
    <row r="4" spans="1:4" ht="15.95" customHeight="1" thickBot="1" x14ac:dyDescent="0.3">
      <c r="A4" s="666"/>
      <c r="B4" s="666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947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14" t="s">
        <v>723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15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40" t="s">
        <v>518</v>
      </c>
      <c r="B13" s="1441"/>
      <c r="C13" s="438">
        <f>SUM(C7:C12)</f>
        <v>449855000</v>
      </c>
    </row>
    <row r="14" spans="1:4" ht="23.25" customHeight="1" x14ac:dyDescent="0.25">
      <c r="A14" s="1442" t="s">
        <v>519</v>
      </c>
      <c r="B14" s="1442"/>
      <c r="C14" s="144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5" customWidth="1"/>
    <col min="2" max="2" width="66.83203125" style="665" customWidth="1"/>
    <col min="3" max="3" width="27" style="665" customWidth="1"/>
    <col min="4" max="16384" width="9.33203125" style="665"/>
  </cols>
  <sheetData>
    <row r="1" spans="1:5" x14ac:dyDescent="0.25">
      <c r="A1" s="1430" t="str">
        <f>CONCATENATE("10. melléklet ",ALAPADATOK!A7," ",ALAPADATOK!B7," ",ALAPADATOK!C7," ",ALAPADATOK!D7," ",ALAPADATOK!E7," ",ALAPADATOK!F7," ",ALAPADATOK!G7," ",ALAPADATOK!H7)</f>
        <v>10. melléklet a .. / 2022. ( …... ) önkormányzati rendelethez</v>
      </c>
      <c r="B1" s="1430"/>
      <c r="C1" s="1430"/>
    </row>
    <row r="3" spans="1:5" ht="33" customHeight="1" x14ac:dyDescent="0.25">
      <c r="A3" s="1431" t="s">
        <v>1016</v>
      </c>
      <c r="B3" s="1431"/>
      <c r="C3" s="1431"/>
    </row>
    <row r="4" spans="1:5" ht="15.95" customHeight="1" thickBot="1" x14ac:dyDescent="0.3">
      <c r="A4" s="666"/>
      <c r="B4" s="666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0" t="s">
        <v>951</v>
      </c>
      <c r="C7" s="519">
        <v>7058824</v>
      </c>
      <c r="D7" s="997"/>
      <c r="E7" s="997"/>
    </row>
    <row r="8" spans="1:5" ht="23.25" x14ac:dyDescent="0.25">
      <c r="A8" s="68" t="s">
        <v>17</v>
      </c>
      <c r="B8" s="1175" t="s">
        <v>952</v>
      </c>
      <c r="C8" s="1176">
        <v>167000000</v>
      </c>
    </row>
    <row r="9" spans="1:5" x14ac:dyDescent="0.25">
      <c r="A9" s="580" t="s">
        <v>18</v>
      </c>
      <c r="B9" s="840" t="s">
        <v>953</v>
      </c>
      <c r="C9" s="998">
        <v>13674426</v>
      </c>
    </row>
    <row r="10" spans="1:5" x14ac:dyDescent="0.25">
      <c r="A10" s="68" t="s">
        <v>19</v>
      </c>
      <c r="B10" s="840"/>
      <c r="C10" s="833"/>
    </row>
    <row r="11" spans="1:5" x14ac:dyDescent="0.25">
      <c r="A11" s="68" t="s">
        <v>20</v>
      </c>
      <c r="B11" s="832"/>
      <c r="C11" s="834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5"/>
  <sheetViews>
    <sheetView zoomScaleNormal="100" zoomScaleSheetLayoutView="100" workbookViewId="0">
      <selection activeCell="B2" sqref="B2"/>
    </sheetView>
  </sheetViews>
  <sheetFormatPr defaultColWidth="9.33203125" defaultRowHeight="12.75" x14ac:dyDescent="0.2"/>
  <cols>
    <col min="1" max="1" width="61.33203125" style="427" customWidth="1"/>
    <col min="2" max="2" width="15.6640625" style="609" customWidth="1"/>
    <col min="3" max="3" width="16.33203125" style="609" customWidth="1"/>
    <col min="4" max="5" width="18" style="609" customWidth="1"/>
    <col min="6" max="6" width="16.6640625" style="609" customWidth="1"/>
    <col min="7" max="7" width="18.83203125" style="419" customWidth="1"/>
    <col min="8" max="9" width="12.83203125" style="704" customWidth="1"/>
    <col min="10" max="10" width="13.83203125" style="704" customWidth="1"/>
    <col min="11" max="11" width="12.6640625" style="704" bestFit="1" customWidth="1"/>
    <col min="12" max="12" width="12.6640625" style="704" customWidth="1"/>
    <col min="13" max="13" width="11.1640625" style="704" bestFit="1" customWidth="1"/>
    <col min="14" max="16384" width="9.33203125" style="704"/>
  </cols>
  <sheetData>
    <row r="1" spans="1:8" x14ac:dyDescent="0.2">
      <c r="A1" s="1443" t="str">
        <f>CONCATENATE("7. melléklet"," ",ALAPADATOK!A7," ",ALAPADATOK!B7," ",ALAPADATOK!C7," ",ALAPADATOK!D7," ",ALAPADATOK!E7," ",ALAPADATOK!F7," ",ALAPADATOK!G7," ",ALAPADATOK!H7)</f>
        <v>7. melléklet a .. / 2022. ( …... ) önkormányzati rendelethez</v>
      </c>
      <c r="B1" s="1443"/>
      <c r="C1" s="1443"/>
      <c r="D1" s="1443"/>
      <c r="E1" s="1443"/>
      <c r="F1" s="1443"/>
      <c r="G1" s="1443"/>
    </row>
    <row r="3" spans="1:8" ht="25.5" customHeight="1" x14ac:dyDescent="0.2">
      <c r="A3" s="1444" t="s">
        <v>4</v>
      </c>
      <c r="B3" s="1444"/>
      <c r="C3" s="1444"/>
      <c r="D3" s="1444"/>
      <c r="E3" s="1444"/>
      <c r="F3" s="1444"/>
      <c r="G3" s="1444"/>
    </row>
    <row r="4" spans="1:8" ht="22.5" customHeight="1" thickBot="1" x14ac:dyDescent="0.3">
      <c r="B4" s="1102"/>
      <c r="C4" s="1102"/>
      <c r="D4" s="1102"/>
      <c r="E4" s="1102"/>
      <c r="F4" s="1102"/>
      <c r="G4" s="1097"/>
    </row>
    <row r="5" spans="1:8" s="606" customFormat="1" ht="44.25" customHeight="1" thickBot="1" x14ac:dyDescent="0.25">
      <c r="A5" s="903" t="s">
        <v>894</v>
      </c>
      <c r="B5" s="420" t="s">
        <v>60</v>
      </c>
      <c r="C5" s="421" t="s">
        <v>61</v>
      </c>
      <c r="D5" s="421" t="s">
        <v>955</v>
      </c>
      <c r="E5" s="421" t="s">
        <v>956</v>
      </c>
      <c r="F5" s="421" t="s">
        <v>947</v>
      </c>
      <c r="G5" s="422" t="s">
        <v>957</v>
      </c>
      <c r="H5" s="423"/>
    </row>
    <row r="6" spans="1:8" s="655" customFormat="1" ht="12" customHeight="1" thickBot="1" x14ac:dyDescent="0.25">
      <c r="A6" s="904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739</v>
      </c>
    </row>
    <row r="7" spans="1:8" s="655" customFormat="1" ht="12" customHeight="1" thickBot="1" x14ac:dyDescent="0.25">
      <c r="A7" s="902" t="s">
        <v>655</v>
      </c>
      <c r="B7" s="905">
        <f>SUM(B8:B32)</f>
        <v>1167494252</v>
      </c>
      <c r="C7" s="698"/>
      <c r="D7" s="699">
        <f>SUM(D8:D32)</f>
        <v>221746213</v>
      </c>
      <c r="E7" s="699">
        <f>SUM(E8:E32)</f>
        <v>90135753</v>
      </c>
      <c r="F7" s="699">
        <f>SUM(F8:F32)</f>
        <v>855612286</v>
      </c>
      <c r="G7" s="699">
        <f>SUM(G8:G32)</f>
        <v>0</v>
      </c>
    </row>
    <row r="8" spans="1:8" s="609" customFormat="1" ht="15.95" customHeight="1" x14ac:dyDescent="0.2">
      <c r="A8" s="1322" t="s">
        <v>651</v>
      </c>
      <c r="B8" s="1372">
        <f>267489554-142138515+16601097+401550+101600</f>
        <v>142455286</v>
      </c>
      <c r="C8" s="1373" t="s">
        <v>881</v>
      </c>
      <c r="D8" s="1374">
        <f>13586200-204600+41610877</f>
        <v>54992477</v>
      </c>
      <c r="E8" s="1374">
        <v>16601097</v>
      </c>
      <c r="F8" s="1374">
        <v>70861712</v>
      </c>
      <c r="G8" s="1375">
        <f>B8-D8-F8-E8</f>
        <v>0</v>
      </c>
    </row>
    <row r="9" spans="1:8" s="608" customFormat="1" ht="25.5" x14ac:dyDescent="0.2">
      <c r="A9" s="1322" t="s">
        <v>652</v>
      </c>
      <c r="B9" s="1323">
        <f>12274550-2533650-30445</f>
        <v>9710455</v>
      </c>
      <c r="C9" s="1324" t="s">
        <v>881</v>
      </c>
      <c r="D9" s="1325">
        <f>5715000+2978360</f>
        <v>8693360</v>
      </c>
      <c r="E9" s="1325"/>
      <c r="F9" s="1325">
        <f>1047540-30445</f>
        <v>1017095</v>
      </c>
      <c r="G9" s="692">
        <f t="shared" ref="G9:G49" si="0">B9-D9-F9-E9</f>
        <v>0</v>
      </c>
    </row>
    <row r="10" spans="1:8" s="609" customFormat="1" ht="18.75" customHeight="1" x14ac:dyDescent="0.2">
      <c r="A10" s="1326" t="s">
        <v>565</v>
      </c>
      <c r="B10" s="1327">
        <v>17562217</v>
      </c>
      <c r="C10" s="1217" t="s">
        <v>881</v>
      </c>
      <c r="D10" s="689">
        <v>17312217</v>
      </c>
      <c r="E10" s="689"/>
      <c r="F10" s="689">
        <v>250000</v>
      </c>
      <c r="G10" s="1219">
        <f t="shared" si="0"/>
        <v>0</v>
      </c>
    </row>
    <row r="11" spans="1:8" s="609" customFormat="1" ht="15.95" customHeight="1" x14ac:dyDescent="0.2">
      <c r="A11" s="1328" t="s">
        <v>566</v>
      </c>
      <c r="B11" s="1327">
        <v>127000</v>
      </c>
      <c r="C11" s="1217" t="s">
        <v>954</v>
      </c>
      <c r="D11" s="689"/>
      <c r="E11" s="689"/>
      <c r="F11" s="689">
        <v>127000</v>
      </c>
      <c r="G11" s="1220">
        <f t="shared" si="0"/>
        <v>0</v>
      </c>
    </row>
    <row r="12" spans="1:8" s="609" customFormat="1" ht="15.95" customHeight="1" x14ac:dyDescent="0.2">
      <c r="A12" s="1329" t="s">
        <v>963</v>
      </c>
      <c r="B12" s="1327">
        <v>5194300</v>
      </c>
      <c r="C12" s="1217" t="s">
        <v>954</v>
      </c>
      <c r="D12" s="689"/>
      <c r="E12" s="689"/>
      <c r="F12" s="689">
        <v>5194300</v>
      </c>
      <c r="G12" s="1220">
        <f t="shared" si="0"/>
        <v>0</v>
      </c>
    </row>
    <row r="13" spans="1:8" s="609" customFormat="1" ht="31.5" customHeight="1" x14ac:dyDescent="0.2">
      <c r="A13" s="1329" t="s">
        <v>964</v>
      </c>
      <c r="B13" s="1327">
        <v>350500</v>
      </c>
      <c r="C13" s="1217" t="s">
        <v>954</v>
      </c>
      <c r="D13" s="689"/>
      <c r="E13" s="689"/>
      <c r="F13" s="689">
        <v>350500</v>
      </c>
      <c r="G13" s="1220">
        <f t="shared" si="0"/>
        <v>0</v>
      </c>
    </row>
    <row r="14" spans="1:8" s="609" customFormat="1" ht="25.5" x14ac:dyDescent="0.2">
      <c r="A14" s="1328" t="s">
        <v>587</v>
      </c>
      <c r="B14" s="1327">
        <f>6704583+2425</f>
        <v>6707008</v>
      </c>
      <c r="C14" s="1217" t="s">
        <v>1021</v>
      </c>
      <c r="D14" s="689">
        <f>1295700+3842258+1568000</f>
        <v>6705958</v>
      </c>
      <c r="E14" s="689"/>
      <c r="F14" s="689">
        <v>1050</v>
      </c>
      <c r="G14" s="1220">
        <f t="shared" si="0"/>
        <v>0</v>
      </c>
    </row>
    <row r="15" spans="1:8" s="610" customFormat="1" ht="29.25" customHeight="1" x14ac:dyDescent="0.2">
      <c r="A15" s="1330" t="s">
        <v>838</v>
      </c>
      <c r="B15" s="1224">
        <v>127000</v>
      </c>
      <c r="C15" s="1221" t="s">
        <v>954</v>
      </c>
      <c r="D15" s="1222"/>
      <c r="E15" s="1222"/>
      <c r="F15" s="1222">
        <v>127000</v>
      </c>
      <c r="G15" s="693">
        <f t="shared" si="0"/>
        <v>0</v>
      </c>
    </row>
    <row r="16" spans="1:8" s="610" customFormat="1" ht="25.5" x14ac:dyDescent="0.2">
      <c r="A16" s="1330" t="s">
        <v>875</v>
      </c>
      <c r="B16" s="1224">
        <f>1369240+500000-50800+31390</f>
        <v>1849830</v>
      </c>
      <c r="C16" s="1221" t="s">
        <v>840</v>
      </c>
      <c r="D16" s="1222">
        <f>455240+694590</f>
        <v>1149830</v>
      </c>
      <c r="E16" s="1222"/>
      <c r="F16" s="1222">
        <f>700000</f>
        <v>700000</v>
      </c>
      <c r="G16" s="693">
        <f t="shared" si="0"/>
        <v>0</v>
      </c>
    </row>
    <row r="17" spans="1:7" s="608" customFormat="1" x14ac:dyDescent="0.2">
      <c r="A17" s="1328" t="s">
        <v>574</v>
      </c>
      <c r="B17" s="1327">
        <v>254000</v>
      </c>
      <c r="C17" s="1217" t="s">
        <v>954</v>
      </c>
      <c r="D17" s="689"/>
      <c r="E17" s="689"/>
      <c r="F17" s="689">
        <v>254000</v>
      </c>
      <c r="G17" s="1220">
        <f t="shared" si="0"/>
        <v>0</v>
      </c>
    </row>
    <row r="18" spans="1:7" s="611" customFormat="1" ht="15.75" customHeight="1" x14ac:dyDescent="0.2">
      <c r="A18" s="1328" t="s">
        <v>653</v>
      </c>
      <c r="B18" s="1327">
        <v>30000000</v>
      </c>
      <c r="C18" s="1217" t="s">
        <v>881</v>
      </c>
      <c r="D18" s="689">
        <f>2679620+26934922+85458</f>
        <v>29700000</v>
      </c>
      <c r="E18" s="689"/>
      <c r="F18" s="689">
        <v>300000</v>
      </c>
      <c r="G18" s="1220">
        <f t="shared" si="0"/>
        <v>0</v>
      </c>
    </row>
    <row r="19" spans="1:7" s="610" customFormat="1" ht="15.75" customHeight="1" x14ac:dyDescent="0.2">
      <c r="A19" s="1328" t="s">
        <v>654</v>
      </c>
      <c r="B19" s="1224">
        <v>184400236</v>
      </c>
      <c r="C19" s="1221" t="s">
        <v>881</v>
      </c>
      <c r="D19" s="1222">
        <v>8473000</v>
      </c>
      <c r="E19" s="1222">
        <v>26204408</v>
      </c>
      <c r="F19" s="1222">
        <v>149722828</v>
      </c>
      <c r="G19" s="693">
        <f t="shared" si="0"/>
        <v>0</v>
      </c>
    </row>
    <row r="20" spans="1:7" s="613" customFormat="1" ht="15.75" customHeight="1" x14ac:dyDescent="0.2">
      <c r="A20" s="1328" t="s">
        <v>837</v>
      </c>
      <c r="B20" s="1327">
        <f>97575000+1809000-524600</f>
        <v>98859400</v>
      </c>
      <c r="C20" s="1217" t="s">
        <v>745</v>
      </c>
      <c r="D20" s="689">
        <v>89909035</v>
      </c>
      <c r="E20" s="689"/>
      <c r="F20" s="689">
        <v>8950365</v>
      </c>
      <c r="G20" s="1220">
        <f t="shared" si="0"/>
        <v>0</v>
      </c>
    </row>
    <row r="21" spans="1:7" s="613" customFormat="1" ht="33" customHeight="1" x14ac:dyDescent="0.2">
      <c r="A21" s="1331" t="s">
        <v>874</v>
      </c>
      <c r="B21" s="1224">
        <f>39476378+212598+10311024</f>
        <v>50000000</v>
      </c>
      <c r="C21" s="1221" t="s">
        <v>745</v>
      </c>
      <c r="D21" s="1222">
        <v>1600000</v>
      </c>
      <c r="E21" s="1222">
        <f>10311024-553313</f>
        <v>9757711</v>
      </c>
      <c r="F21" s="1222">
        <v>38642289</v>
      </c>
      <c r="G21" s="693">
        <f t="shared" si="0"/>
        <v>0</v>
      </c>
    </row>
    <row r="22" spans="1:7" s="613" customFormat="1" ht="25.5" x14ac:dyDescent="0.2">
      <c r="A22" s="1331" t="s">
        <v>876</v>
      </c>
      <c r="B22" s="1224">
        <f>2360000+637200</f>
        <v>2997200</v>
      </c>
      <c r="C22" s="1221" t="s">
        <v>745</v>
      </c>
      <c r="D22" s="1222"/>
      <c r="E22" s="1222"/>
      <c r="F22" s="1222">
        <v>2997200</v>
      </c>
      <c r="G22" s="693">
        <f t="shared" si="0"/>
        <v>0</v>
      </c>
    </row>
    <row r="23" spans="1:7" s="613" customFormat="1" ht="25.5" x14ac:dyDescent="0.2">
      <c r="A23" s="1331" t="s">
        <v>877</v>
      </c>
      <c r="B23" s="1349">
        <f>3937008+1062992-747061-207385</f>
        <v>4045554</v>
      </c>
      <c r="C23" s="1221" t="s">
        <v>745</v>
      </c>
      <c r="D23" s="1222"/>
      <c r="E23" s="1222"/>
      <c r="F23" s="1348">
        <f>5000000-747061-207385</f>
        <v>4045554</v>
      </c>
      <c r="G23" s="693">
        <f t="shared" si="0"/>
        <v>0</v>
      </c>
    </row>
    <row r="24" spans="1:7" s="613" customFormat="1" ht="25.5" x14ac:dyDescent="0.2">
      <c r="A24" s="1331" t="s">
        <v>879</v>
      </c>
      <c r="B24" s="1224">
        <f>1547000+417690</f>
        <v>1964690</v>
      </c>
      <c r="C24" s="1221" t="s">
        <v>745</v>
      </c>
      <c r="D24" s="1222">
        <v>1964690</v>
      </c>
      <c r="E24" s="1222"/>
      <c r="F24" s="1222">
        <v>0</v>
      </c>
      <c r="G24" s="693">
        <f t="shared" si="0"/>
        <v>0</v>
      </c>
    </row>
    <row r="25" spans="1:7" s="613" customFormat="1" x14ac:dyDescent="0.2">
      <c r="A25" s="1331" t="s">
        <v>936</v>
      </c>
      <c r="B25" s="1224">
        <v>239013622</v>
      </c>
      <c r="C25" s="1221" t="s">
        <v>935</v>
      </c>
      <c r="D25" s="1222"/>
      <c r="E25" s="1222"/>
      <c r="F25" s="1222">
        <v>239013622</v>
      </c>
      <c r="G25" s="693">
        <f t="shared" si="0"/>
        <v>0</v>
      </c>
    </row>
    <row r="26" spans="1:7" s="613" customFormat="1" x14ac:dyDescent="0.2">
      <c r="A26" s="1331" t="s">
        <v>1046</v>
      </c>
      <c r="B26" s="1224">
        <f>8786521-10371-457258</f>
        <v>8318892</v>
      </c>
      <c r="C26" s="1403" t="s">
        <v>745</v>
      </c>
      <c r="D26" s="1222"/>
      <c r="E26" s="1222"/>
      <c r="F26" s="1222">
        <f>8786521-10371-457258</f>
        <v>8318892</v>
      </c>
      <c r="G26" s="1151">
        <f t="shared" si="0"/>
        <v>0</v>
      </c>
    </row>
    <row r="27" spans="1:7" s="613" customFormat="1" x14ac:dyDescent="0.2">
      <c r="A27" s="1402" t="s">
        <v>1045</v>
      </c>
      <c r="B27" s="1349">
        <v>4290000</v>
      </c>
      <c r="C27" s="1403" t="s">
        <v>1044</v>
      </c>
      <c r="D27" s="1348"/>
      <c r="E27" s="1348"/>
      <c r="F27" s="1348">
        <v>4290000</v>
      </c>
      <c r="G27" s="1151">
        <f>B27-D27-F27-E27</f>
        <v>0</v>
      </c>
    </row>
    <row r="28" spans="1:7" s="613" customFormat="1" ht="25.5" x14ac:dyDescent="0.2">
      <c r="A28" s="1331" t="s">
        <v>934</v>
      </c>
      <c r="B28" s="1224">
        <v>165000000</v>
      </c>
      <c r="C28" s="1221" t="s">
        <v>935</v>
      </c>
      <c r="D28" s="1222"/>
      <c r="E28" s="1222"/>
      <c r="F28" s="1222">
        <v>165000000</v>
      </c>
      <c r="G28" s="693">
        <f>B28-D28-F28-E28</f>
        <v>0</v>
      </c>
    </row>
    <row r="29" spans="1:7" s="613" customFormat="1" ht="25.5" x14ac:dyDescent="0.2">
      <c r="A29" s="1178" t="s">
        <v>959</v>
      </c>
      <c r="B29" s="1224">
        <v>3736941</v>
      </c>
      <c r="C29" s="1221" t="s">
        <v>745</v>
      </c>
      <c r="D29" s="1222">
        <v>1245646</v>
      </c>
      <c r="E29" s="1222"/>
      <c r="F29" s="1222">
        <v>2491295</v>
      </c>
      <c r="G29" s="693">
        <f>B29-D29-F29-E29</f>
        <v>0</v>
      </c>
    </row>
    <row r="30" spans="1:7" s="613" customFormat="1" x14ac:dyDescent="0.2">
      <c r="A30" s="1178" t="s">
        <v>961</v>
      </c>
      <c r="B30" s="1224">
        <v>300000</v>
      </c>
      <c r="C30" s="1221" t="s">
        <v>954</v>
      </c>
      <c r="D30" s="1222">
        <v>0</v>
      </c>
      <c r="E30" s="1222"/>
      <c r="F30" s="1222">
        <v>300000</v>
      </c>
      <c r="G30" s="693">
        <f>B30-D30-F30-E30</f>
        <v>0</v>
      </c>
    </row>
    <row r="31" spans="1:7" s="613" customFormat="1" ht="25.5" x14ac:dyDescent="0.2">
      <c r="A31" s="1371" t="s">
        <v>876</v>
      </c>
      <c r="B31" s="1380">
        <v>19331097</v>
      </c>
      <c r="C31" s="1217" t="s">
        <v>745</v>
      </c>
      <c r="D31" s="1218"/>
      <c r="E31" s="1218">
        <v>4109761</v>
      </c>
      <c r="F31" s="1218">
        <v>15221336</v>
      </c>
      <c r="G31" s="1220">
        <f>B31-D31-E31-F31</f>
        <v>0</v>
      </c>
    </row>
    <row r="32" spans="1:7" s="613" customFormat="1" ht="13.5" thickBot="1" x14ac:dyDescent="0.25">
      <c r="A32" s="1397" t="s">
        <v>1043</v>
      </c>
      <c r="B32" s="1398">
        <v>170899024</v>
      </c>
      <c r="C32" s="1399" t="s">
        <v>1044</v>
      </c>
      <c r="D32" s="1400"/>
      <c r="E32" s="1400">
        <v>33462776</v>
      </c>
      <c r="F32" s="1400">
        <v>137436248</v>
      </c>
      <c r="G32" s="1401">
        <f>B32-D32-E32-F32</f>
        <v>0</v>
      </c>
    </row>
    <row r="33" spans="1:7" s="609" customFormat="1" ht="13.5" thickBot="1" x14ac:dyDescent="0.25">
      <c r="A33" s="909" t="s">
        <v>697</v>
      </c>
      <c r="B33" s="910">
        <f>SUM(B34:B36)</f>
        <v>5095010</v>
      </c>
      <c r="C33" s="911"/>
      <c r="D33" s="912"/>
      <c r="E33" s="912"/>
      <c r="F33" s="912">
        <f>SUM(F34:F36)</f>
        <v>5095010</v>
      </c>
      <c r="G33" s="913">
        <f t="shared" si="0"/>
        <v>0</v>
      </c>
    </row>
    <row r="34" spans="1:7" s="608" customFormat="1" x14ac:dyDescent="0.2">
      <c r="A34" s="1109" t="s">
        <v>563</v>
      </c>
      <c r="B34" s="906">
        <v>4450010</v>
      </c>
      <c r="C34" s="901" t="s">
        <v>954</v>
      </c>
      <c r="D34" s="907"/>
      <c r="E34" s="907"/>
      <c r="F34" s="907">
        <v>4450010</v>
      </c>
      <c r="G34" s="908">
        <f t="shared" si="0"/>
        <v>0</v>
      </c>
    </row>
    <row r="35" spans="1:7" s="609" customFormat="1" x14ac:dyDescent="0.2">
      <c r="A35" s="1110" t="s">
        <v>696</v>
      </c>
      <c r="B35" s="691">
        <v>565000</v>
      </c>
      <c r="C35" s="1217" t="s">
        <v>954</v>
      </c>
      <c r="D35" s="689"/>
      <c r="E35" s="689"/>
      <c r="F35" s="689">
        <v>565000</v>
      </c>
      <c r="G35" s="694">
        <f t="shared" si="0"/>
        <v>0</v>
      </c>
    </row>
    <row r="36" spans="1:7" s="609" customFormat="1" ht="27" customHeight="1" thickBot="1" x14ac:dyDescent="0.25">
      <c r="A36" s="1111" t="s">
        <v>839</v>
      </c>
      <c r="B36" s="695">
        <v>80000</v>
      </c>
      <c r="C36" s="663" t="s">
        <v>954</v>
      </c>
      <c r="D36" s="696"/>
      <c r="E36" s="696"/>
      <c r="F36" s="696">
        <v>80000</v>
      </c>
      <c r="G36" s="697">
        <f t="shared" si="0"/>
        <v>0</v>
      </c>
    </row>
    <row r="37" spans="1:7" s="611" customFormat="1" ht="15.75" customHeight="1" thickBot="1" x14ac:dyDescent="0.25">
      <c r="A37" s="1231" t="s">
        <v>698</v>
      </c>
      <c r="B37" s="1229">
        <f>SUM(B38:B38)</f>
        <v>1206500</v>
      </c>
      <c r="C37" s="1230"/>
      <c r="D37" s="1229">
        <f>SUM(D38:D38)</f>
        <v>0</v>
      </c>
      <c r="E37" s="1229"/>
      <c r="F37" s="1229">
        <f>SUM(F38:F38)</f>
        <v>1206500</v>
      </c>
      <c r="G37" s="1216">
        <f t="shared" si="0"/>
        <v>0</v>
      </c>
    </row>
    <row r="38" spans="1:7" s="610" customFormat="1" ht="15.75" customHeight="1" thickBot="1" x14ac:dyDescent="0.25">
      <c r="A38" s="1232" t="s">
        <v>662</v>
      </c>
      <c r="B38" s="1225">
        <v>1206500</v>
      </c>
      <c r="C38" s="1226" t="s">
        <v>954</v>
      </c>
      <c r="D38" s="1227"/>
      <c r="E38" s="1227"/>
      <c r="F38" s="1227">
        <v>1206500</v>
      </c>
      <c r="G38" s="1228">
        <f t="shared" si="0"/>
        <v>0</v>
      </c>
    </row>
    <row r="39" spans="1:7" s="609" customFormat="1" ht="15.75" customHeight="1" thickBot="1" x14ac:dyDescent="0.25">
      <c r="A39" s="1112" t="s">
        <v>699</v>
      </c>
      <c r="B39" s="1229">
        <f>SUM(B40:B44)</f>
        <v>8426128</v>
      </c>
      <c r="C39" s="1230"/>
      <c r="D39" s="1229">
        <f>SUM(D40:D44)</f>
        <v>0</v>
      </c>
      <c r="E39" s="1229"/>
      <c r="F39" s="1229">
        <f>SUM(F40:F44)</f>
        <v>8426128</v>
      </c>
      <c r="G39" s="1216">
        <f t="shared" si="0"/>
        <v>0</v>
      </c>
    </row>
    <row r="40" spans="1:7" s="609" customFormat="1" ht="15.75" customHeight="1" x14ac:dyDescent="0.2">
      <c r="A40" s="1113" t="s">
        <v>663</v>
      </c>
      <c r="B40" s="1225">
        <v>2887500</v>
      </c>
      <c r="C40" s="1226" t="s">
        <v>954</v>
      </c>
      <c r="D40" s="1227"/>
      <c r="E40" s="992"/>
      <c r="F40" s="1227">
        <v>2887500</v>
      </c>
      <c r="G40" s="993">
        <f t="shared" si="0"/>
        <v>0</v>
      </c>
    </row>
    <row r="41" spans="1:7" s="609" customFormat="1" ht="15.75" customHeight="1" x14ac:dyDescent="0.2">
      <c r="A41" s="1115" t="s">
        <v>1036</v>
      </c>
      <c r="B41" s="990">
        <v>112338</v>
      </c>
      <c r="C41" s="991" t="s">
        <v>745</v>
      </c>
      <c r="D41" s="992"/>
      <c r="E41" s="992"/>
      <c r="F41" s="992">
        <v>112338</v>
      </c>
      <c r="G41" s="993">
        <f>B41-D41-F41-E41</f>
        <v>0</v>
      </c>
    </row>
    <row r="42" spans="1:7" s="609" customFormat="1" ht="15.75" customHeight="1" x14ac:dyDescent="0.2">
      <c r="A42" s="1115" t="s">
        <v>1037</v>
      </c>
      <c r="B42" s="990">
        <v>1455000</v>
      </c>
      <c r="C42" s="991" t="s">
        <v>954</v>
      </c>
      <c r="D42" s="992"/>
      <c r="E42" s="992"/>
      <c r="F42" s="992">
        <v>1455000</v>
      </c>
      <c r="G42" s="993"/>
    </row>
    <row r="43" spans="1:7" s="609" customFormat="1" ht="15.75" customHeight="1" x14ac:dyDescent="0.2">
      <c r="A43" s="1115" t="s">
        <v>958</v>
      </c>
      <c r="B43" s="990">
        <f>660400+72390</f>
        <v>732790</v>
      </c>
      <c r="C43" s="991" t="s">
        <v>954</v>
      </c>
      <c r="D43" s="992"/>
      <c r="E43" s="992"/>
      <c r="F43" s="992">
        <f>660400+72390</f>
        <v>732790</v>
      </c>
      <c r="G43" s="1145">
        <f t="shared" si="0"/>
        <v>0</v>
      </c>
    </row>
    <row r="44" spans="1:7" s="630" customFormat="1" ht="15.75" customHeight="1" thickBot="1" x14ac:dyDescent="0.25">
      <c r="A44" s="1115" t="s">
        <v>851</v>
      </c>
      <c r="B44" s="990">
        <f>3238500</f>
        <v>3238500</v>
      </c>
      <c r="C44" s="991" t="s">
        <v>954</v>
      </c>
      <c r="D44" s="992"/>
      <c r="E44" s="992"/>
      <c r="F44" s="992">
        <v>3238500</v>
      </c>
      <c r="G44" s="1144">
        <f t="shared" si="0"/>
        <v>0</v>
      </c>
    </row>
    <row r="45" spans="1:7" s="631" customFormat="1" ht="35.25" customHeight="1" thickBot="1" x14ac:dyDescent="0.25">
      <c r="A45" s="1114" t="s">
        <v>701</v>
      </c>
      <c r="B45" s="1229">
        <f>SUM(B46:B49)</f>
        <v>26518494</v>
      </c>
      <c r="C45" s="1230"/>
      <c r="D45" s="1229">
        <f>SUM(D46:D49)</f>
        <v>0</v>
      </c>
      <c r="E45" s="1229"/>
      <c r="F45" s="1229">
        <f>SUM(F46:F49)</f>
        <v>26518494</v>
      </c>
      <c r="G45" s="1216">
        <f t="shared" si="0"/>
        <v>0</v>
      </c>
    </row>
    <row r="46" spans="1:7" s="611" customFormat="1" ht="21" customHeight="1" x14ac:dyDescent="0.2">
      <c r="A46" s="1332" t="s">
        <v>662</v>
      </c>
      <c r="B46" s="1392">
        <f>5321151+774553</f>
        <v>6095704</v>
      </c>
      <c r="C46" s="1334" t="s">
        <v>954</v>
      </c>
      <c r="D46" s="1335"/>
      <c r="E46" s="1335"/>
      <c r="F46" s="1393">
        <f>5321151+774553</f>
        <v>6095704</v>
      </c>
      <c r="G46" s="993">
        <f t="shared" si="0"/>
        <v>0</v>
      </c>
    </row>
    <row r="47" spans="1:7" s="611" customFormat="1" ht="21" customHeight="1" x14ac:dyDescent="0.2">
      <c r="A47" s="1332" t="s">
        <v>563</v>
      </c>
      <c r="B47" s="1333">
        <v>508000</v>
      </c>
      <c r="C47" s="1334" t="s">
        <v>954</v>
      </c>
      <c r="D47" s="1335"/>
      <c r="E47" s="1335"/>
      <c r="F47" s="1335">
        <v>508000</v>
      </c>
      <c r="G47" s="993">
        <f t="shared" si="0"/>
        <v>0</v>
      </c>
    </row>
    <row r="48" spans="1:7" s="611" customFormat="1" ht="21" customHeight="1" x14ac:dyDescent="0.2">
      <c r="A48" s="1336" t="s">
        <v>852</v>
      </c>
      <c r="B48" s="1225">
        <v>1053800</v>
      </c>
      <c r="C48" s="1226" t="s">
        <v>954</v>
      </c>
      <c r="D48" s="1227">
        <v>0</v>
      </c>
      <c r="E48" s="1227"/>
      <c r="F48" s="1227">
        <v>1053800</v>
      </c>
      <c r="G48" s="1228">
        <f t="shared" si="0"/>
        <v>0</v>
      </c>
    </row>
    <row r="49" spans="1:7" s="611" customFormat="1" ht="21" customHeight="1" thickBot="1" x14ac:dyDescent="0.25">
      <c r="A49" s="1113" t="s">
        <v>853</v>
      </c>
      <c r="B49" s="1225">
        <v>18860990</v>
      </c>
      <c r="C49" s="1226" t="s">
        <v>954</v>
      </c>
      <c r="D49" s="1227"/>
      <c r="E49" s="1337"/>
      <c r="F49" s="1225">
        <v>18860990</v>
      </c>
      <c r="G49" s="1228">
        <f t="shared" si="0"/>
        <v>0</v>
      </c>
    </row>
    <row r="50" spans="1:7" s="609" customFormat="1" ht="21" customHeight="1" thickBot="1" x14ac:dyDescent="0.25">
      <c r="A50" s="1116" t="s">
        <v>700</v>
      </c>
      <c r="B50" s="994">
        <f>SUM(B51:B51)</f>
        <v>523597</v>
      </c>
      <c r="C50" s="995"/>
      <c r="D50" s="994">
        <f>SUM(D51:D51)</f>
        <v>0</v>
      </c>
      <c r="E50" s="994"/>
      <c r="F50" s="994">
        <f>SUM(F51:F51)</f>
        <v>523597</v>
      </c>
      <c r="G50" s="996">
        <f>B50-D50-F50-E50</f>
        <v>0</v>
      </c>
    </row>
    <row r="51" spans="1:7" s="608" customFormat="1" ht="19.5" customHeight="1" thickBot="1" x14ac:dyDescent="0.25">
      <c r="A51" s="1147" t="s">
        <v>854</v>
      </c>
      <c r="B51" s="1150">
        <v>523597</v>
      </c>
      <c r="C51" s="1017" t="s">
        <v>954</v>
      </c>
      <c r="D51" s="1016"/>
      <c r="E51" s="1016"/>
      <c r="F51" s="1016">
        <v>523597</v>
      </c>
      <c r="G51" s="1149">
        <f>B51-D51-F51-E51</f>
        <v>0</v>
      </c>
    </row>
    <row r="52" spans="1:7" s="609" customFormat="1" ht="19.5" customHeight="1" thickBot="1" x14ac:dyDescent="0.25">
      <c r="A52" s="632" t="s">
        <v>661</v>
      </c>
      <c r="B52" s="1117">
        <f>B50+B45+B39+B37+B33</f>
        <v>41769729</v>
      </c>
      <c r="C52" s="690"/>
      <c r="D52" s="690">
        <f>D50+D45+D39+D37+D33</f>
        <v>0</v>
      </c>
      <c r="E52" s="690"/>
      <c r="F52" s="690">
        <f>F50+F45+F39+F37+F33</f>
        <v>41769729</v>
      </c>
      <c r="G52" s="1216">
        <f>B52-D52-F52-E52</f>
        <v>0</v>
      </c>
    </row>
    <row r="53" spans="1:7" s="609" customFormat="1" ht="19.5" customHeight="1" thickBot="1" x14ac:dyDescent="0.25">
      <c r="A53" s="632" t="s">
        <v>702</v>
      </c>
      <c r="B53" s="1117">
        <f>B52+B7</f>
        <v>1209263981</v>
      </c>
      <c r="C53" s="690"/>
      <c r="D53" s="690">
        <f>D52+D7</f>
        <v>221746213</v>
      </c>
      <c r="E53" s="690">
        <f>+E52+E7</f>
        <v>90135753</v>
      </c>
      <c r="F53" s="690">
        <f>F52+F7</f>
        <v>897382015</v>
      </c>
      <c r="G53" s="1216">
        <f>B53-D53-F53-E53</f>
        <v>0</v>
      </c>
    </row>
    <row r="54" spans="1:7" x14ac:dyDescent="0.2">
      <c r="F54" s="609">
        <f>'1. sz.mell. '!C121</f>
        <v>897382015</v>
      </c>
    </row>
    <row r="55" spans="1:7" x14ac:dyDescent="0.2">
      <c r="F55" s="609">
        <f>F53-F54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6"/>
  <sheetViews>
    <sheetView zoomScaleSheetLayoutView="115" workbookViewId="0">
      <selection activeCell="A2" sqref="A2"/>
    </sheetView>
  </sheetViews>
  <sheetFormatPr defaultRowHeight="12.75" x14ac:dyDescent="0.2"/>
  <cols>
    <col min="1" max="1" width="60.6640625" style="612" customWidth="1"/>
    <col min="2" max="2" width="15.6640625" style="613" customWidth="1"/>
    <col min="3" max="3" width="16.33203125" style="613" customWidth="1"/>
    <col min="4" max="5" width="18" style="613" customWidth="1"/>
    <col min="6" max="6" width="16.6640625" style="613" customWidth="1"/>
    <col min="7" max="7" width="18.83203125" style="613" customWidth="1"/>
    <col min="8" max="9" width="12.83203125" style="704" customWidth="1"/>
    <col min="10" max="10" width="13.83203125" style="704" customWidth="1"/>
    <col min="11" max="16384" width="9.33203125" style="704"/>
  </cols>
  <sheetData>
    <row r="1" spans="1:8" s="613" customFormat="1" ht="15.75" x14ac:dyDescent="0.2">
      <c r="A1" s="1445" t="str">
        <f>CONCATENATE("8. melléklet"," ",ALAPADATOK!A7," ",ALAPADATOK!B7," ",ALAPADATOK!C7," ",ALAPADATOK!D7," ",ALAPADATOK!E7," ",ALAPADATOK!F7," ",ALAPADATOK!G7," ",ALAPADATOK!H7)</f>
        <v>8. melléklet a .. / 2022. ( …... ) önkormányzati rendelethez</v>
      </c>
      <c r="B1" s="1445"/>
      <c r="C1" s="1445"/>
      <c r="D1" s="1445"/>
      <c r="E1" s="1445"/>
      <c r="F1" s="1445"/>
      <c r="G1" s="1445"/>
    </row>
    <row r="3" spans="1:8" ht="24.75" customHeight="1" x14ac:dyDescent="0.2">
      <c r="A3" s="1446" t="s">
        <v>5</v>
      </c>
      <c r="B3" s="1446"/>
      <c r="C3" s="1446"/>
      <c r="D3" s="1446"/>
      <c r="E3" s="1446"/>
      <c r="F3" s="1446"/>
      <c r="G3" s="1446"/>
    </row>
    <row r="4" spans="1:8" ht="23.25" customHeight="1" thickBot="1" x14ac:dyDescent="0.3">
      <c r="B4" s="1103"/>
      <c r="C4" s="1103"/>
      <c r="D4" s="1103"/>
      <c r="E4" s="1103"/>
      <c r="F4" s="1103"/>
      <c r="G4" s="1098"/>
    </row>
    <row r="5" spans="1:8" s="606" customFormat="1" ht="48.75" customHeight="1" thickBot="1" x14ac:dyDescent="0.25">
      <c r="A5" s="633" t="s">
        <v>895</v>
      </c>
      <c r="B5" s="634" t="s">
        <v>60</v>
      </c>
      <c r="C5" s="634" t="s">
        <v>61</v>
      </c>
      <c r="D5" s="634" t="s">
        <v>955</v>
      </c>
      <c r="E5" s="421" t="s">
        <v>956</v>
      </c>
      <c r="F5" s="634" t="s">
        <v>947</v>
      </c>
      <c r="G5" s="635" t="s">
        <v>962</v>
      </c>
      <c r="H5" s="276"/>
    </row>
    <row r="6" spans="1:8" s="655" customFormat="1" ht="15" customHeight="1" thickBot="1" x14ac:dyDescent="0.25">
      <c r="A6" s="1383">
        <v>1</v>
      </c>
      <c r="B6" s="636">
        <v>2</v>
      </c>
      <c r="C6" s="637">
        <v>3</v>
      </c>
      <c r="D6" s="637">
        <v>4</v>
      </c>
      <c r="E6" s="637">
        <v>5</v>
      </c>
      <c r="F6" s="637">
        <v>6</v>
      </c>
      <c r="G6" s="638">
        <v>7</v>
      </c>
    </row>
    <row r="7" spans="1:8" s="655" customFormat="1" ht="15" customHeight="1" thickBot="1" x14ac:dyDescent="0.25">
      <c r="A7" s="1231" t="s">
        <v>575</v>
      </c>
      <c r="B7" s="1229">
        <f>SUM(B8:B21)</f>
        <v>2042586260</v>
      </c>
      <c r="C7" s="1230"/>
      <c r="D7" s="1229">
        <f>SUM(D8:D21)</f>
        <v>69447155</v>
      </c>
      <c r="E7" s="1229">
        <f>SUM(E8:E21)</f>
        <v>65570346</v>
      </c>
      <c r="F7" s="1229">
        <f>SUM(F8:F21)</f>
        <v>1907568759</v>
      </c>
      <c r="G7" s="1384">
        <f>SUM(G8:G21)</f>
        <v>0</v>
      </c>
    </row>
    <row r="8" spans="1:8" s="608" customFormat="1" ht="15.95" customHeight="1" x14ac:dyDescent="0.2">
      <c r="A8" s="1328" t="s">
        <v>651</v>
      </c>
      <c r="B8" s="1378">
        <f>80112238+101702816+14410+27198151</f>
        <v>209027615</v>
      </c>
      <c r="C8" s="1373" t="s">
        <v>881</v>
      </c>
      <c r="D8" s="1379">
        <f>80000+18962079</f>
        <v>19042079</v>
      </c>
      <c r="E8" s="1379">
        <v>27198151</v>
      </c>
      <c r="F8" s="1379">
        <v>162787385</v>
      </c>
      <c r="G8" s="1375">
        <f>B8-D8-E8-F8</f>
        <v>0</v>
      </c>
    </row>
    <row r="9" spans="1:8" ht="15.95" customHeight="1" x14ac:dyDescent="0.2">
      <c r="A9" s="1328" t="s">
        <v>564</v>
      </c>
      <c r="B9" s="1380">
        <v>6350000</v>
      </c>
      <c r="C9" s="1217" t="s">
        <v>954</v>
      </c>
      <c r="D9" s="1218"/>
      <c r="E9" s="1218"/>
      <c r="F9" s="1218">
        <v>6350000</v>
      </c>
      <c r="G9" s="1219">
        <f t="shared" ref="G9:G21" si="0">B9-D9-E9-F9</f>
        <v>0</v>
      </c>
    </row>
    <row r="10" spans="1:8" s="314" customFormat="1" ht="15.95" customHeight="1" x14ac:dyDescent="0.2">
      <c r="A10" s="1328" t="s">
        <v>588</v>
      </c>
      <c r="B10" s="1380">
        <f>48292993+677185+322815+317500-202993-2424</f>
        <v>49405076</v>
      </c>
      <c r="C10" s="1217" t="s">
        <v>1021</v>
      </c>
      <c r="D10" s="1218">
        <f>36051833-1206500+14559743</f>
        <v>49405076</v>
      </c>
      <c r="E10" s="1218"/>
      <c r="F10" s="1218">
        <v>0</v>
      </c>
      <c r="G10" s="1219">
        <f t="shared" si="0"/>
        <v>0</v>
      </c>
    </row>
    <row r="11" spans="1:8" ht="15.95" customHeight="1" x14ac:dyDescent="0.2">
      <c r="A11" s="1329" t="s">
        <v>966</v>
      </c>
      <c r="B11" s="1380">
        <v>2794000</v>
      </c>
      <c r="C11" s="1217" t="s">
        <v>954</v>
      </c>
      <c r="D11" s="1218"/>
      <c r="E11" s="1218"/>
      <c r="F11" s="1218">
        <v>2794000</v>
      </c>
      <c r="G11" s="1219">
        <f t="shared" si="0"/>
        <v>0</v>
      </c>
    </row>
    <row r="12" spans="1:8" s="1223" customFormat="1" ht="15.95" customHeight="1" x14ac:dyDescent="0.2">
      <c r="A12" s="1406" t="s">
        <v>1047</v>
      </c>
      <c r="B12" s="1381">
        <v>400000</v>
      </c>
      <c r="C12" s="1407" t="s">
        <v>954</v>
      </c>
      <c r="D12" s="1368"/>
      <c r="E12" s="1368"/>
      <c r="F12" s="1368">
        <v>400000</v>
      </c>
      <c r="G12" s="1219">
        <f t="shared" si="0"/>
        <v>0</v>
      </c>
    </row>
    <row r="13" spans="1:8" x14ac:dyDescent="0.2">
      <c r="A13" s="1376" t="s">
        <v>880</v>
      </c>
      <c r="B13" s="1380">
        <f>47940700-1062168-286785</f>
        <v>46591747</v>
      </c>
      <c r="C13" s="1217" t="s">
        <v>745</v>
      </c>
      <c r="D13" s="1218"/>
      <c r="E13" s="1218"/>
      <c r="F13" s="1218">
        <f>36786462+9805285</f>
        <v>46591747</v>
      </c>
      <c r="G13" s="1220">
        <f t="shared" si="0"/>
        <v>0</v>
      </c>
    </row>
    <row r="14" spans="1:8" x14ac:dyDescent="0.2">
      <c r="A14" s="1371" t="s">
        <v>740</v>
      </c>
      <c r="B14" s="1380">
        <f>5627218+3175000</f>
        <v>8802218</v>
      </c>
      <c r="C14" s="1217" t="s">
        <v>840</v>
      </c>
      <c r="D14" s="1218"/>
      <c r="E14" s="1218"/>
      <c r="F14" s="1218">
        <v>8802218</v>
      </c>
      <c r="G14" s="1220">
        <f t="shared" si="0"/>
        <v>0</v>
      </c>
    </row>
    <row r="15" spans="1:8" s="1223" customFormat="1" x14ac:dyDescent="0.2">
      <c r="A15" s="1371" t="s">
        <v>965</v>
      </c>
      <c r="B15" s="1380">
        <f>40987313-8476181</f>
        <v>32511132</v>
      </c>
      <c r="C15" s="1217" t="s">
        <v>745</v>
      </c>
      <c r="D15" s="1218"/>
      <c r="E15" s="1218"/>
      <c r="F15" s="1218">
        <f>40987313-8476181</f>
        <v>32511132</v>
      </c>
      <c r="G15" s="1220">
        <f t="shared" si="0"/>
        <v>0</v>
      </c>
    </row>
    <row r="16" spans="1:8" ht="25.5" x14ac:dyDescent="0.2">
      <c r="A16" s="1371" t="s">
        <v>876</v>
      </c>
      <c r="B16" s="1380">
        <f>586618264+158386931-1937394-523096-19331097</f>
        <v>723213608</v>
      </c>
      <c r="C16" s="1217" t="s">
        <v>745</v>
      </c>
      <c r="D16" s="1218"/>
      <c r="E16" s="1218"/>
      <c r="F16" s="1218">
        <f>586618264+158386931-1937394-523096-19331097</f>
        <v>723213608</v>
      </c>
      <c r="G16" s="1220">
        <f t="shared" si="0"/>
        <v>0</v>
      </c>
    </row>
    <row r="17" spans="1:7" ht="25.5" x14ac:dyDescent="0.2">
      <c r="A17" s="1371" t="s">
        <v>877</v>
      </c>
      <c r="B17" s="1381">
        <f>189589237+747061+207385-44090</f>
        <v>190499593</v>
      </c>
      <c r="C17" s="1217" t="s">
        <v>745</v>
      </c>
      <c r="D17" s="1218"/>
      <c r="E17" s="1218">
        <f>39317017-1103646+158824</f>
        <v>38372195</v>
      </c>
      <c r="F17" s="1368">
        <f>153782518+1673065-4081388+1671+588237+207385-44090</f>
        <v>152127398</v>
      </c>
      <c r="G17" s="1220">
        <f t="shared" si="0"/>
        <v>0</v>
      </c>
    </row>
    <row r="18" spans="1:7" ht="25.5" x14ac:dyDescent="0.2">
      <c r="A18" s="1371" t="s">
        <v>878</v>
      </c>
      <c r="B18" s="1380">
        <v>50000000</v>
      </c>
      <c r="C18" s="1217" t="s">
        <v>745</v>
      </c>
      <c r="D18" s="1218">
        <v>1000000</v>
      </c>
      <c r="E18" s="1218"/>
      <c r="F18" s="1218">
        <v>49000000</v>
      </c>
      <c r="G18" s="1220">
        <f t="shared" si="0"/>
        <v>0</v>
      </c>
    </row>
    <row r="19" spans="1:7" ht="25.5" x14ac:dyDescent="0.2">
      <c r="A19" s="1371" t="s">
        <v>879</v>
      </c>
      <c r="B19" s="1380">
        <f>200000000-3871338-260000-1056062-40000-3788820-491783</f>
        <v>190491997</v>
      </c>
      <c r="C19" s="1217" t="s">
        <v>745</v>
      </c>
      <c r="D19" s="1218"/>
      <c r="E19" s="1218"/>
      <c r="F19" s="1218">
        <f>153782518+40990082-3788820-491783</f>
        <v>190491997</v>
      </c>
      <c r="G19" s="1220">
        <f t="shared" si="0"/>
        <v>0</v>
      </c>
    </row>
    <row r="20" spans="1:7" x14ac:dyDescent="0.2">
      <c r="A20" s="1371" t="s">
        <v>937</v>
      </c>
      <c r="B20" s="1380">
        <v>295820280</v>
      </c>
      <c r="C20" s="1217" t="s">
        <v>935</v>
      </c>
      <c r="D20" s="1218"/>
      <c r="E20" s="1218"/>
      <c r="F20" s="1218">
        <v>295820280</v>
      </c>
      <c r="G20" s="1220">
        <f>B20-D20-E20-F20</f>
        <v>0</v>
      </c>
    </row>
    <row r="21" spans="1:7" ht="26.25" thickBot="1" x14ac:dyDescent="0.25">
      <c r="A21" s="1385" t="s">
        <v>959</v>
      </c>
      <c r="B21" s="1224">
        <f>236673086+5908</f>
        <v>236678994</v>
      </c>
      <c r="C21" s="1221" t="s">
        <v>960</v>
      </c>
      <c r="D21" s="1222"/>
      <c r="E21" s="1222"/>
      <c r="F21" s="1222">
        <f>236673086+5908</f>
        <v>236678994</v>
      </c>
      <c r="G21" s="1220">
        <f t="shared" si="0"/>
        <v>0</v>
      </c>
    </row>
    <row r="22" spans="1:7" s="1223" customFormat="1" ht="13.5" thickBot="1" x14ac:dyDescent="0.25">
      <c r="A22" s="1231" t="s">
        <v>698</v>
      </c>
      <c r="B22" s="1229">
        <f>SUM(B23:B23)</f>
        <v>784218</v>
      </c>
      <c r="C22" s="1230"/>
      <c r="D22" s="1229">
        <f>SUM(D23:D23)</f>
        <v>0</v>
      </c>
      <c r="E22" s="1229"/>
      <c r="F22" s="1229">
        <f>SUM(F23:F23)</f>
        <v>784218</v>
      </c>
      <c r="G22" s="1216">
        <f>B22-D22-F22-E22</f>
        <v>0</v>
      </c>
    </row>
    <row r="23" spans="1:7" s="1223" customFormat="1" ht="13.5" thickBot="1" x14ac:dyDescent="0.25">
      <c r="A23" s="1232" t="s">
        <v>967</v>
      </c>
      <c r="B23" s="1404">
        <f>596900+187318</f>
        <v>784218</v>
      </c>
      <c r="C23" s="1226" t="s">
        <v>954</v>
      </c>
      <c r="D23" s="1227"/>
      <c r="E23" s="1227"/>
      <c r="F23" s="1405">
        <f>596900+187318</f>
        <v>784218</v>
      </c>
      <c r="G23" s="1228">
        <f>B23-D23-F23-E23</f>
        <v>0</v>
      </c>
    </row>
    <row r="24" spans="1:7" ht="13.5" thickBot="1" x14ac:dyDescent="0.25">
      <c r="A24" s="1377" t="s">
        <v>59</v>
      </c>
      <c r="B24" s="1382">
        <f>B7+B22</f>
        <v>2043370478</v>
      </c>
      <c r="C24" s="1215"/>
      <c r="D24" s="1215">
        <f>D7+D22</f>
        <v>69447155</v>
      </c>
      <c r="E24" s="1215">
        <f>E7+E22</f>
        <v>65570346</v>
      </c>
      <c r="F24" s="1215">
        <f>F7+F22</f>
        <v>1908352977</v>
      </c>
      <c r="G24" s="607">
        <v>0</v>
      </c>
    </row>
    <row r="25" spans="1:7" x14ac:dyDescent="0.2">
      <c r="F25" s="613">
        <f>'1. sz.mell. '!C123</f>
        <v>1908352977</v>
      </c>
    </row>
    <row r="26" spans="1:7" x14ac:dyDescent="0.2">
      <c r="F26" s="613">
        <f>F24-F25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164"/>
  <sheetViews>
    <sheetView view="pageBreakPreview" zoomScale="60" zoomScaleNormal="120" workbookViewId="0">
      <selection activeCell="C7" sqref="C7:E7"/>
    </sheetView>
  </sheetViews>
  <sheetFormatPr defaultRowHeight="12.75" x14ac:dyDescent="0.2"/>
  <cols>
    <col min="1" max="1" width="38.6640625" style="1233" customWidth="1"/>
    <col min="2" max="4" width="24.83203125" style="1233" customWidth="1"/>
    <col min="5" max="5" width="26.83203125" style="1233" customWidth="1"/>
    <col min="6" max="6" width="9.33203125" style="1233"/>
    <col min="7" max="7" width="12.6640625" style="1233" customWidth="1"/>
    <col min="8" max="8" width="16.33203125" style="1233" customWidth="1"/>
    <col min="9" max="9" width="15.1640625" style="1233" bestFit="1" customWidth="1"/>
    <col min="10" max="10" width="17.83203125" style="1233" customWidth="1"/>
    <col min="11" max="11" width="14" style="1233" bestFit="1" customWidth="1"/>
    <col min="12" max="255" width="9.33203125" style="1233"/>
    <col min="256" max="256" width="38.6640625" style="1233" customWidth="1"/>
    <col min="257" max="259" width="24.83203125" style="1233" customWidth="1"/>
    <col min="260" max="260" width="26.83203125" style="1233" customWidth="1"/>
    <col min="261" max="261" width="5" style="1233" bestFit="1" customWidth="1"/>
    <col min="262" max="511" width="9.33203125" style="1233"/>
    <col min="512" max="512" width="38.6640625" style="1233" customWidth="1"/>
    <col min="513" max="515" width="24.83203125" style="1233" customWidth="1"/>
    <col min="516" max="516" width="26.83203125" style="1233" customWidth="1"/>
    <col min="517" max="517" width="5" style="1233" bestFit="1" customWidth="1"/>
    <col min="518" max="767" width="9.33203125" style="1233"/>
    <col min="768" max="768" width="38.6640625" style="1233" customWidth="1"/>
    <col min="769" max="771" width="24.83203125" style="1233" customWidth="1"/>
    <col min="772" max="772" width="26.83203125" style="1233" customWidth="1"/>
    <col min="773" max="773" width="5" style="1233" bestFit="1" customWidth="1"/>
    <col min="774" max="1023" width="9.33203125" style="1233"/>
    <col min="1024" max="1024" width="38.6640625" style="1233" customWidth="1"/>
    <col min="1025" max="1027" width="24.83203125" style="1233" customWidth="1"/>
    <col min="1028" max="1028" width="26.83203125" style="1233" customWidth="1"/>
    <col min="1029" max="1029" width="5" style="1233" bestFit="1" customWidth="1"/>
    <col min="1030" max="1279" width="9.33203125" style="1233"/>
    <col min="1280" max="1280" width="38.6640625" style="1233" customWidth="1"/>
    <col min="1281" max="1283" width="24.83203125" style="1233" customWidth="1"/>
    <col min="1284" max="1284" width="26.83203125" style="1233" customWidth="1"/>
    <col min="1285" max="1285" width="5" style="1233" bestFit="1" customWidth="1"/>
    <col min="1286" max="1535" width="9.33203125" style="1233"/>
    <col min="1536" max="1536" width="38.6640625" style="1233" customWidth="1"/>
    <col min="1537" max="1539" width="24.83203125" style="1233" customWidth="1"/>
    <col min="1540" max="1540" width="26.83203125" style="1233" customWidth="1"/>
    <col min="1541" max="1541" width="5" style="1233" bestFit="1" customWidth="1"/>
    <col min="1542" max="1791" width="9.33203125" style="1233"/>
    <col min="1792" max="1792" width="38.6640625" style="1233" customWidth="1"/>
    <col min="1793" max="1795" width="24.83203125" style="1233" customWidth="1"/>
    <col min="1796" max="1796" width="26.83203125" style="1233" customWidth="1"/>
    <col min="1797" max="1797" width="5" style="1233" bestFit="1" customWidth="1"/>
    <col min="1798" max="2047" width="9.33203125" style="1233"/>
    <col min="2048" max="2048" width="38.6640625" style="1233" customWidth="1"/>
    <col min="2049" max="2051" width="24.83203125" style="1233" customWidth="1"/>
    <col min="2052" max="2052" width="26.83203125" style="1233" customWidth="1"/>
    <col min="2053" max="2053" width="5" style="1233" bestFit="1" customWidth="1"/>
    <col min="2054" max="2303" width="9.33203125" style="1233"/>
    <col min="2304" max="2304" width="38.6640625" style="1233" customWidth="1"/>
    <col min="2305" max="2307" width="24.83203125" style="1233" customWidth="1"/>
    <col min="2308" max="2308" width="26.83203125" style="1233" customWidth="1"/>
    <col min="2309" max="2309" width="5" style="1233" bestFit="1" customWidth="1"/>
    <col min="2310" max="2559" width="9.33203125" style="1233"/>
    <col min="2560" max="2560" width="38.6640625" style="1233" customWidth="1"/>
    <col min="2561" max="2563" width="24.83203125" style="1233" customWidth="1"/>
    <col min="2564" max="2564" width="26.83203125" style="1233" customWidth="1"/>
    <col min="2565" max="2565" width="5" style="1233" bestFit="1" customWidth="1"/>
    <col min="2566" max="2815" width="9.33203125" style="1233"/>
    <col min="2816" max="2816" width="38.6640625" style="1233" customWidth="1"/>
    <col min="2817" max="2819" width="24.83203125" style="1233" customWidth="1"/>
    <col min="2820" max="2820" width="26.83203125" style="1233" customWidth="1"/>
    <col min="2821" max="2821" width="5" style="1233" bestFit="1" customWidth="1"/>
    <col min="2822" max="3071" width="9.33203125" style="1233"/>
    <col min="3072" max="3072" width="38.6640625" style="1233" customWidth="1"/>
    <col min="3073" max="3075" width="24.83203125" style="1233" customWidth="1"/>
    <col min="3076" max="3076" width="26.83203125" style="1233" customWidth="1"/>
    <col min="3077" max="3077" width="5" style="1233" bestFit="1" customWidth="1"/>
    <col min="3078" max="3327" width="9.33203125" style="1233"/>
    <col min="3328" max="3328" width="38.6640625" style="1233" customWidth="1"/>
    <col min="3329" max="3331" width="24.83203125" style="1233" customWidth="1"/>
    <col min="3332" max="3332" width="26.83203125" style="1233" customWidth="1"/>
    <col min="3333" max="3333" width="5" style="1233" bestFit="1" customWidth="1"/>
    <col min="3334" max="3583" width="9.33203125" style="1233"/>
    <col min="3584" max="3584" width="38.6640625" style="1233" customWidth="1"/>
    <col min="3585" max="3587" width="24.83203125" style="1233" customWidth="1"/>
    <col min="3588" max="3588" width="26.83203125" style="1233" customWidth="1"/>
    <col min="3589" max="3589" width="5" style="1233" bestFit="1" customWidth="1"/>
    <col min="3590" max="3839" width="9.33203125" style="1233"/>
    <col min="3840" max="3840" width="38.6640625" style="1233" customWidth="1"/>
    <col min="3841" max="3843" width="24.83203125" style="1233" customWidth="1"/>
    <col min="3844" max="3844" width="26.83203125" style="1233" customWidth="1"/>
    <col min="3845" max="3845" width="5" style="1233" bestFit="1" customWidth="1"/>
    <col min="3846" max="4095" width="9.33203125" style="1233"/>
    <col min="4096" max="4096" width="38.6640625" style="1233" customWidth="1"/>
    <col min="4097" max="4099" width="24.83203125" style="1233" customWidth="1"/>
    <col min="4100" max="4100" width="26.83203125" style="1233" customWidth="1"/>
    <col min="4101" max="4101" width="5" style="1233" bestFit="1" customWidth="1"/>
    <col min="4102" max="4351" width="9.33203125" style="1233"/>
    <col min="4352" max="4352" width="38.6640625" style="1233" customWidth="1"/>
    <col min="4353" max="4355" width="24.83203125" style="1233" customWidth="1"/>
    <col min="4356" max="4356" width="26.83203125" style="1233" customWidth="1"/>
    <col min="4357" max="4357" width="5" style="1233" bestFit="1" customWidth="1"/>
    <col min="4358" max="4607" width="9.33203125" style="1233"/>
    <col min="4608" max="4608" width="38.6640625" style="1233" customWidth="1"/>
    <col min="4609" max="4611" width="24.83203125" style="1233" customWidth="1"/>
    <col min="4612" max="4612" width="26.83203125" style="1233" customWidth="1"/>
    <col min="4613" max="4613" width="5" style="1233" bestFit="1" customWidth="1"/>
    <col min="4614" max="4863" width="9.33203125" style="1233"/>
    <col min="4864" max="4864" width="38.6640625" style="1233" customWidth="1"/>
    <col min="4865" max="4867" width="24.83203125" style="1233" customWidth="1"/>
    <col min="4868" max="4868" width="26.83203125" style="1233" customWidth="1"/>
    <col min="4869" max="4869" width="5" style="1233" bestFit="1" customWidth="1"/>
    <col min="4870" max="5119" width="9.33203125" style="1233"/>
    <col min="5120" max="5120" width="38.6640625" style="1233" customWidth="1"/>
    <col min="5121" max="5123" width="24.83203125" style="1233" customWidth="1"/>
    <col min="5124" max="5124" width="26.83203125" style="1233" customWidth="1"/>
    <col min="5125" max="5125" width="5" style="1233" bestFit="1" customWidth="1"/>
    <col min="5126" max="5375" width="9.33203125" style="1233"/>
    <col min="5376" max="5376" width="38.6640625" style="1233" customWidth="1"/>
    <col min="5377" max="5379" width="24.83203125" style="1233" customWidth="1"/>
    <col min="5380" max="5380" width="26.83203125" style="1233" customWidth="1"/>
    <col min="5381" max="5381" width="5" style="1233" bestFit="1" customWidth="1"/>
    <col min="5382" max="5631" width="9.33203125" style="1233"/>
    <col min="5632" max="5632" width="38.6640625" style="1233" customWidth="1"/>
    <col min="5633" max="5635" width="24.83203125" style="1233" customWidth="1"/>
    <col min="5636" max="5636" width="26.83203125" style="1233" customWidth="1"/>
    <col min="5637" max="5637" width="5" style="1233" bestFit="1" customWidth="1"/>
    <col min="5638" max="5887" width="9.33203125" style="1233"/>
    <col min="5888" max="5888" width="38.6640625" style="1233" customWidth="1"/>
    <col min="5889" max="5891" width="24.83203125" style="1233" customWidth="1"/>
    <col min="5892" max="5892" width="26.83203125" style="1233" customWidth="1"/>
    <col min="5893" max="5893" width="5" style="1233" bestFit="1" customWidth="1"/>
    <col min="5894" max="6143" width="9.33203125" style="1233"/>
    <col min="6144" max="6144" width="38.6640625" style="1233" customWidth="1"/>
    <col min="6145" max="6147" width="24.83203125" style="1233" customWidth="1"/>
    <col min="6148" max="6148" width="26.83203125" style="1233" customWidth="1"/>
    <col min="6149" max="6149" width="5" style="1233" bestFit="1" customWidth="1"/>
    <col min="6150" max="6399" width="9.33203125" style="1233"/>
    <col min="6400" max="6400" width="38.6640625" style="1233" customWidth="1"/>
    <col min="6401" max="6403" width="24.83203125" style="1233" customWidth="1"/>
    <col min="6404" max="6404" width="26.83203125" style="1233" customWidth="1"/>
    <col min="6405" max="6405" width="5" style="1233" bestFit="1" customWidth="1"/>
    <col min="6406" max="6655" width="9.33203125" style="1233"/>
    <col min="6656" max="6656" width="38.6640625" style="1233" customWidth="1"/>
    <col min="6657" max="6659" width="24.83203125" style="1233" customWidth="1"/>
    <col min="6660" max="6660" width="26.83203125" style="1233" customWidth="1"/>
    <col min="6661" max="6661" width="5" style="1233" bestFit="1" customWidth="1"/>
    <col min="6662" max="6911" width="9.33203125" style="1233"/>
    <col min="6912" max="6912" width="38.6640625" style="1233" customWidth="1"/>
    <col min="6913" max="6915" width="24.83203125" style="1233" customWidth="1"/>
    <col min="6916" max="6916" width="26.83203125" style="1233" customWidth="1"/>
    <col min="6917" max="6917" width="5" style="1233" bestFit="1" customWidth="1"/>
    <col min="6918" max="7167" width="9.33203125" style="1233"/>
    <col min="7168" max="7168" width="38.6640625" style="1233" customWidth="1"/>
    <col min="7169" max="7171" width="24.83203125" style="1233" customWidth="1"/>
    <col min="7172" max="7172" width="26.83203125" style="1233" customWidth="1"/>
    <col min="7173" max="7173" width="5" style="1233" bestFit="1" customWidth="1"/>
    <col min="7174" max="7423" width="9.33203125" style="1233"/>
    <col min="7424" max="7424" width="38.6640625" style="1233" customWidth="1"/>
    <col min="7425" max="7427" width="24.83203125" style="1233" customWidth="1"/>
    <col min="7428" max="7428" width="26.83203125" style="1233" customWidth="1"/>
    <col min="7429" max="7429" width="5" style="1233" bestFit="1" customWidth="1"/>
    <col min="7430" max="7679" width="9.33203125" style="1233"/>
    <col min="7680" max="7680" width="38.6640625" style="1233" customWidth="1"/>
    <col min="7681" max="7683" width="24.83203125" style="1233" customWidth="1"/>
    <col min="7684" max="7684" width="26.83203125" style="1233" customWidth="1"/>
    <col min="7685" max="7685" width="5" style="1233" bestFit="1" customWidth="1"/>
    <col min="7686" max="7935" width="9.33203125" style="1233"/>
    <col min="7936" max="7936" width="38.6640625" style="1233" customWidth="1"/>
    <col min="7937" max="7939" width="24.83203125" style="1233" customWidth="1"/>
    <col min="7940" max="7940" width="26.83203125" style="1233" customWidth="1"/>
    <col min="7941" max="7941" width="5" style="1233" bestFit="1" customWidth="1"/>
    <col min="7942" max="8191" width="9.33203125" style="1233"/>
    <col min="8192" max="8192" width="38.6640625" style="1233" customWidth="1"/>
    <col min="8193" max="8195" width="24.83203125" style="1233" customWidth="1"/>
    <col min="8196" max="8196" width="26.83203125" style="1233" customWidth="1"/>
    <col min="8197" max="8197" width="5" style="1233" bestFit="1" customWidth="1"/>
    <col min="8198" max="8447" width="9.33203125" style="1233"/>
    <col min="8448" max="8448" width="38.6640625" style="1233" customWidth="1"/>
    <col min="8449" max="8451" width="24.83203125" style="1233" customWidth="1"/>
    <col min="8452" max="8452" width="26.83203125" style="1233" customWidth="1"/>
    <col min="8453" max="8453" width="5" style="1233" bestFit="1" customWidth="1"/>
    <col min="8454" max="8703" width="9.33203125" style="1233"/>
    <col min="8704" max="8704" width="38.6640625" style="1233" customWidth="1"/>
    <col min="8705" max="8707" width="24.83203125" style="1233" customWidth="1"/>
    <col min="8708" max="8708" width="26.83203125" style="1233" customWidth="1"/>
    <col min="8709" max="8709" width="5" style="1233" bestFit="1" customWidth="1"/>
    <col min="8710" max="8959" width="9.33203125" style="1233"/>
    <col min="8960" max="8960" width="38.6640625" style="1233" customWidth="1"/>
    <col min="8961" max="8963" width="24.83203125" style="1233" customWidth="1"/>
    <col min="8964" max="8964" width="26.83203125" style="1233" customWidth="1"/>
    <col min="8965" max="8965" width="5" style="1233" bestFit="1" customWidth="1"/>
    <col min="8966" max="9215" width="9.33203125" style="1233"/>
    <col min="9216" max="9216" width="38.6640625" style="1233" customWidth="1"/>
    <col min="9217" max="9219" width="24.83203125" style="1233" customWidth="1"/>
    <col min="9220" max="9220" width="26.83203125" style="1233" customWidth="1"/>
    <col min="9221" max="9221" width="5" style="1233" bestFit="1" customWidth="1"/>
    <col min="9222" max="9471" width="9.33203125" style="1233"/>
    <col min="9472" max="9472" width="38.6640625" style="1233" customWidth="1"/>
    <col min="9473" max="9475" width="24.83203125" style="1233" customWidth="1"/>
    <col min="9476" max="9476" width="26.83203125" style="1233" customWidth="1"/>
    <col min="9477" max="9477" width="5" style="1233" bestFit="1" customWidth="1"/>
    <col min="9478" max="9727" width="9.33203125" style="1233"/>
    <col min="9728" max="9728" width="38.6640625" style="1233" customWidth="1"/>
    <col min="9729" max="9731" width="24.83203125" style="1233" customWidth="1"/>
    <col min="9732" max="9732" width="26.83203125" style="1233" customWidth="1"/>
    <col min="9733" max="9733" width="5" style="1233" bestFit="1" customWidth="1"/>
    <col min="9734" max="9983" width="9.33203125" style="1233"/>
    <col min="9984" max="9984" width="38.6640625" style="1233" customWidth="1"/>
    <col min="9985" max="9987" width="24.83203125" style="1233" customWidth="1"/>
    <col min="9988" max="9988" width="26.83203125" style="1233" customWidth="1"/>
    <col min="9989" max="9989" width="5" style="1233" bestFit="1" customWidth="1"/>
    <col min="9990" max="10239" width="9.33203125" style="1233"/>
    <col min="10240" max="10240" width="38.6640625" style="1233" customWidth="1"/>
    <col min="10241" max="10243" width="24.83203125" style="1233" customWidth="1"/>
    <col min="10244" max="10244" width="26.83203125" style="1233" customWidth="1"/>
    <col min="10245" max="10245" width="5" style="1233" bestFit="1" customWidth="1"/>
    <col min="10246" max="10495" width="9.33203125" style="1233"/>
    <col min="10496" max="10496" width="38.6640625" style="1233" customWidth="1"/>
    <col min="10497" max="10499" width="24.83203125" style="1233" customWidth="1"/>
    <col min="10500" max="10500" width="26.83203125" style="1233" customWidth="1"/>
    <col min="10501" max="10501" width="5" style="1233" bestFit="1" customWidth="1"/>
    <col min="10502" max="10751" width="9.33203125" style="1233"/>
    <col min="10752" max="10752" width="38.6640625" style="1233" customWidth="1"/>
    <col min="10753" max="10755" width="24.83203125" style="1233" customWidth="1"/>
    <col min="10756" max="10756" width="26.83203125" style="1233" customWidth="1"/>
    <col min="10757" max="10757" width="5" style="1233" bestFit="1" customWidth="1"/>
    <col min="10758" max="11007" width="9.33203125" style="1233"/>
    <col min="11008" max="11008" width="38.6640625" style="1233" customWidth="1"/>
    <col min="11009" max="11011" width="24.83203125" style="1233" customWidth="1"/>
    <col min="11012" max="11012" width="26.83203125" style="1233" customWidth="1"/>
    <col min="11013" max="11013" width="5" style="1233" bestFit="1" customWidth="1"/>
    <col min="11014" max="11263" width="9.33203125" style="1233"/>
    <col min="11264" max="11264" width="38.6640625" style="1233" customWidth="1"/>
    <col min="11265" max="11267" width="24.83203125" style="1233" customWidth="1"/>
    <col min="11268" max="11268" width="26.83203125" style="1233" customWidth="1"/>
    <col min="11269" max="11269" width="5" style="1233" bestFit="1" customWidth="1"/>
    <col min="11270" max="11519" width="9.33203125" style="1233"/>
    <col min="11520" max="11520" width="38.6640625" style="1233" customWidth="1"/>
    <col min="11521" max="11523" width="24.83203125" style="1233" customWidth="1"/>
    <col min="11524" max="11524" width="26.83203125" style="1233" customWidth="1"/>
    <col min="11525" max="11525" width="5" style="1233" bestFit="1" customWidth="1"/>
    <col min="11526" max="11775" width="9.33203125" style="1233"/>
    <col min="11776" max="11776" width="38.6640625" style="1233" customWidth="1"/>
    <col min="11777" max="11779" width="24.83203125" style="1233" customWidth="1"/>
    <col min="11780" max="11780" width="26.83203125" style="1233" customWidth="1"/>
    <col min="11781" max="11781" width="5" style="1233" bestFit="1" customWidth="1"/>
    <col min="11782" max="12031" width="9.33203125" style="1233"/>
    <col min="12032" max="12032" width="38.6640625" style="1233" customWidth="1"/>
    <col min="12033" max="12035" width="24.83203125" style="1233" customWidth="1"/>
    <col min="12036" max="12036" width="26.83203125" style="1233" customWidth="1"/>
    <col min="12037" max="12037" width="5" style="1233" bestFit="1" customWidth="1"/>
    <col min="12038" max="12287" width="9.33203125" style="1233"/>
    <col min="12288" max="12288" width="38.6640625" style="1233" customWidth="1"/>
    <col min="12289" max="12291" width="24.83203125" style="1233" customWidth="1"/>
    <col min="12292" max="12292" width="26.83203125" style="1233" customWidth="1"/>
    <col min="12293" max="12293" width="5" style="1233" bestFit="1" customWidth="1"/>
    <col min="12294" max="12543" width="9.33203125" style="1233"/>
    <col min="12544" max="12544" width="38.6640625" style="1233" customWidth="1"/>
    <col min="12545" max="12547" width="24.83203125" style="1233" customWidth="1"/>
    <col min="12548" max="12548" width="26.83203125" style="1233" customWidth="1"/>
    <col min="12549" max="12549" width="5" style="1233" bestFit="1" customWidth="1"/>
    <col min="12550" max="12799" width="9.33203125" style="1233"/>
    <col min="12800" max="12800" width="38.6640625" style="1233" customWidth="1"/>
    <col min="12801" max="12803" width="24.83203125" style="1233" customWidth="1"/>
    <col min="12804" max="12804" width="26.83203125" style="1233" customWidth="1"/>
    <col min="12805" max="12805" width="5" style="1233" bestFit="1" customWidth="1"/>
    <col min="12806" max="13055" width="9.33203125" style="1233"/>
    <col min="13056" max="13056" width="38.6640625" style="1233" customWidth="1"/>
    <col min="13057" max="13059" width="24.83203125" style="1233" customWidth="1"/>
    <col min="13060" max="13060" width="26.83203125" style="1233" customWidth="1"/>
    <col min="13061" max="13061" width="5" style="1233" bestFit="1" customWidth="1"/>
    <col min="13062" max="13311" width="9.33203125" style="1233"/>
    <col min="13312" max="13312" width="38.6640625" style="1233" customWidth="1"/>
    <col min="13313" max="13315" width="24.83203125" style="1233" customWidth="1"/>
    <col min="13316" max="13316" width="26.83203125" style="1233" customWidth="1"/>
    <col min="13317" max="13317" width="5" style="1233" bestFit="1" customWidth="1"/>
    <col min="13318" max="13567" width="9.33203125" style="1233"/>
    <col min="13568" max="13568" width="38.6640625" style="1233" customWidth="1"/>
    <col min="13569" max="13571" width="24.83203125" style="1233" customWidth="1"/>
    <col min="13572" max="13572" width="26.83203125" style="1233" customWidth="1"/>
    <col min="13573" max="13573" width="5" style="1233" bestFit="1" customWidth="1"/>
    <col min="13574" max="13823" width="9.33203125" style="1233"/>
    <col min="13824" max="13824" width="38.6640625" style="1233" customWidth="1"/>
    <col min="13825" max="13827" width="24.83203125" style="1233" customWidth="1"/>
    <col min="13828" max="13828" width="26.83203125" style="1233" customWidth="1"/>
    <col min="13829" max="13829" width="5" style="1233" bestFit="1" customWidth="1"/>
    <col min="13830" max="14079" width="9.33203125" style="1233"/>
    <col min="14080" max="14080" width="38.6640625" style="1233" customWidth="1"/>
    <col min="14081" max="14083" width="24.83203125" style="1233" customWidth="1"/>
    <col min="14084" max="14084" width="26.83203125" style="1233" customWidth="1"/>
    <col min="14085" max="14085" width="5" style="1233" bestFit="1" customWidth="1"/>
    <col min="14086" max="14335" width="9.33203125" style="1233"/>
    <col min="14336" max="14336" width="38.6640625" style="1233" customWidth="1"/>
    <col min="14337" max="14339" width="24.83203125" style="1233" customWidth="1"/>
    <col min="14340" max="14340" width="26.83203125" style="1233" customWidth="1"/>
    <col min="14341" max="14341" width="5" style="1233" bestFit="1" customWidth="1"/>
    <col min="14342" max="14591" width="9.33203125" style="1233"/>
    <col min="14592" max="14592" width="38.6640625" style="1233" customWidth="1"/>
    <col min="14593" max="14595" width="24.83203125" style="1233" customWidth="1"/>
    <col min="14596" max="14596" width="26.83203125" style="1233" customWidth="1"/>
    <col min="14597" max="14597" width="5" style="1233" bestFit="1" customWidth="1"/>
    <col min="14598" max="14847" width="9.33203125" style="1233"/>
    <col min="14848" max="14848" width="38.6640625" style="1233" customWidth="1"/>
    <col min="14849" max="14851" width="24.83203125" style="1233" customWidth="1"/>
    <col min="14852" max="14852" width="26.83203125" style="1233" customWidth="1"/>
    <col min="14853" max="14853" width="5" style="1233" bestFit="1" customWidth="1"/>
    <col min="14854" max="15103" width="9.33203125" style="1233"/>
    <col min="15104" max="15104" width="38.6640625" style="1233" customWidth="1"/>
    <col min="15105" max="15107" width="24.83203125" style="1233" customWidth="1"/>
    <col min="15108" max="15108" width="26.83203125" style="1233" customWidth="1"/>
    <col min="15109" max="15109" width="5" style="1233" bestFit="1" customWidth="1"/>
    <col min="15110" max="15359" width="9.33203125" style="1233"/>
    <col min="15360" max="15360" width="38.6640625" style="1233" customWidth="1"/>
    <col min="15361" max="15363" width="24.83203125" style="1233" customWidth="1"/>
    <col min="15364" max="15364" width="26.83203125" style="1233" customWidth="1"/>
    <col min="15365" max="15365" width="5" style="1233" bestFit="1" customWidth="1"/>
    <col min="15366" max="15615" width="9.33203125" style="1233"/>
    <col min="15616" max="15616" width="38.6640625" style="1233" customWidth="1"/>
    <col min="15617" max="15619" width="24.83203125" style="1233" customWidth="1"/>
    <col min="15620" max="15620" width="26.83203125" style="1233" customWidth="1"/>
    <col min="15621" max="15621" width="5" style="1233" bestFit="1" customWidth="1"/>
    <col min="15622" max="15871" width="9.33203125" style="1233"/>
    <col min="15872" max="15872" width="38.6640625" style="1233" customWidth="1"/>
    <col min="15873" max="15875" width="24.83203125" style="1233" customWidth="1"/>
    <col min="15876" max="15876" width="26.83203125" style="1233" customWidth="1"/>
    <col min="15877" max="15877" width="5" style="1233" bestFit="1" customWidth="1"/>
    <col min="15878" max="16127" width="9.33203125" style="1233"/>
    <col min="16128" max="16128" width="38.6640625" style="1233" customWidth="1"/>
    <col min="16129" max="16131" width="24.83203125" style="1233" customWidth="1"/>
    <col min="16132" max="16132" width="26.83203125" style="1233" customWidth="1"/>
    <col min="16133" max="16133" width="5" style="1233" bestFit="1" customWidth="1"/>
    <col min="16134" max="16384" width="9.33203125" style="1233"/>
  </cols>
  <sheetData>
    <row r="1" spans="1:5" x14ac:dyDescent="0.2">
      <c r="A1" s="1447" t="str">
        <f>CONCATENATE("9. melléklet"," ",ALAPADATOK!A7," ",ALAPADATOK!B7," ",ALAPADATOK!C7," ",ALAPADATOK!D7," ",ALAPADATOK!E7," ",ALAPADATOK!F7," ",ALAPADATOK!G7," ",ALAPADATOK!H7)</f>
        <v>9. melléklet a .. / 2022. ( …... ) önkormányzati rendelethez</v>
      </c>
      <c r="B1" s="1447"/>
      <c r="C1" s="1447"/>
      <c r="D1" s="1447"/>
      <c r="E1" s="1447"/>
    </row>
    <row r="2" spans="1:5" ht="15.75" customHeight="1" x14ac:dyDescent="0.2">
      <c r="A2" s="1467" t="s">
        <v>968</v>
      </c>
      <c r="B2" s="1467"/>
      <c r="C2" s="1467"/>
      <c r="D2" s="1467"/>
      <c r="E2" s="1467"/>
    </row>
    <row r="3" spans="1:5" ht="15.75" x14ac:dyDescent="0.2">
      <c r="A3" s="1468"/>
      <c r="B3" s="1467"/>
      <c r="C3" s="1467"/>
      <c r="D3" s="1467"/>
      <c r="E3" s="1467"/>
    </row>
    <row r="4" spans="1:5" ht="31.5" customHeight="1" x14ac:dyDescent="0.2">
      <c r="A4" s="1448" t="s">
        <v>974</v>
      </c>
      <c r="B4" s="1448"/>
      <c r="C4" s="1448"/>
      <c r="D4" s="1448"/>
      <c r="E4" s="1448"/>
    </row>
    <row r="5" spans="1:5" ht="15.75" thickBot="1" x14ac:dyDescent="0.25">
      <c r="A5" s="1244"/>
      <c r="B5" s="1244"/>
      <c r="C5" s="1244"/>
      <c r="D5" s="1244"/>
      <c r="E5" s="1246" t="s">
        <v>494</v>
      </c>
    </row>
    <row r="6" spans="1:5" ht="13.5" thickBot="1" x14ac:dyDescent="0.25">
      <c r="A6" s="1451" t="s">
        <v>520</v>
      </c>
      <c r="B6" s="1454" t="s">
        <v>969</v>
      </c>
      <c r="C6" s="1455"/>
      <c r="D6" s="1455"/>
      <c r="E6" s="1456"/>
    </row>
    <row r="7" spans="1:5" ht="13.5" customHeight="1" thickBot="1" x14ac:dyDescent="0.25">
      <c r="A7" s="1452"/>
      <c r="B7" s="1457" t="s">
        <v>979</v>
      </c>
      <c r="C7" s="1460" t="s">
        <v>970</v>
      </c>
      <c r="D7" s="1469"/>
      <c r="E7" s="1470"/>
    </row>
    <row r="8" spans="1:5" ht="13.5" customHeight="1" x14ac:dyDescent="0.2">
      <c r="A8" s="1452"/>
      <c r="B8" s="1458"/>
      <c r="C8" s="1457" t="str">
        <f>CONCATENATE(ALAPADATOK!$D$7," előttre ütemezett bevétel, kiadás")</f>
        <v>2022. előttre ütemezett bevétel, kiadás</v>
      </c>
      <c r="D8" s="1457" t="str">
        <f>CONCATENATE(ALAPADATOK!$D$7," évre ütemezett bevétel, kiadás")</f>
        <v>2022. évre ütemezett bevétel, kiadás</v>
      </c>
      <c r="E8" s="1457" t="str">
        <f>CONCATENATE(ALAPADATOK!$D$7," utánra ütemezett bevétel, kiadás")</f>
        <v>2022. utánra ütemezett bevétel, kiadás</v>
      </c>
    </row>
    <row r="9" spans="1:5" ht="13.5" thickBot="1" x14ac:dyDescent="0.25">
      <c r="A9" s="1453"/>
      <c r="B9" s="1464"/>
      <c r="C9" s="1463"/>
      <c r="D9" s="1463"/>
      <c r="E9" s="1464"/>
    </row>
    <row r="10" spans="1:5" ht="13.5" thickBot="1" x14ac:dyDescent="0.25">
      <c r="A10" s="1247" t="s">
        <v>385</v>
      </c>
      <c r="B10" s="1248" t="s">
        <v>971</v>
      </c>
      <c r="C10" s="1249" t="s">
        <v>387</v>
      </c>
      <c r="D10" s="1245" t="s">
        <v>437</v>
      </c>
      <c r="E10" s="1250" t="s">
        <v>438</v>
      </c>
    </row>
    <row r="11" spans="1:5" ht="14.25" customHeight="1" x14ac:dyDescent="0.2">
      <c r="A11" s="1251" t="s">
        <v>521</v>
      </c>
      <c r="B11" s="1261">
        <f>C11+D11+E11</f>
        <v>3152164</v>
      </c>
      <c r="C11" s="1262">
        <v>3136412</v>
      </c>
      <c r="D11" s="1262">
        <v>15752</v>
      </c>
      <c r="E11" s="1263"/>
    </row>
    <row r="12" spans="1:5" x14ac:dyDescent="0.2">
      <c r="A12" s="1252" t="s">
        <v>522</v>
      </c>
      <c r="B12" s="1264">
        <f t="shared" ref="B12:B21" si="0">C12+D12+E12</f>
        <v>0</v>
      </c>
      <c r="C12" s="1265"/>
      <c r="D12" s="1265"/>
      <c r="E12" s="1265"/>
    </row>
    <row r="13" spans="1:5" ht="13.5" customHeight="1" x14ac:dyDescent="0.2">
      <c r="A13" s="1253" t="s">
        <v>973</v>
      </c>
      <c r="B13" s="1266">
        <f t="shared" si="0"/>
        <v>139014928</v>
      </c>
      <c r="C13" s="1267">
        <v>107440289</v>
      </c>
      <c r="D13" s="1267">
        <v>31574639</v>
      </c>
      <c r="E13" s="1267"/>
    </row>
    <row r="14" spans="1:5" ht="12.75" customHeight="1" x14ac:dyDescent="0.2">
      <c r="A14" s="1253" t="s">
        <v>109</v>
      </c>
      <c r="B14" s="1266">
        <f t="shared" si="0"/>
        <v>0</v>
      </c>
      <c r="C14" s="1267"/>
      <c r="D14" s="1267"/>
      <c r="E14" s="1267"/>
    </row>
    <row r="15" spans="1:5" ht="13.5" thickBot="1" x14ac:dyDescent="0.25">
      <c r="A15" s="1253" t="s">
        <v>523</v>
      </c>
      <c r="B15" s="1266">
        <f t="shared" si="0"/>
        <v>0</v>
      </c>
      <c r="C15" s="1267"/>
      <c r="D15" s="1267"/>
      <c r="E15" s="1267"/>
    </row>
    <row r="16" spans="1:5" ht="13.5" thickBot="1" x14ac:dyDescent="0.25">
      <c r="A16" s="1254" t="s">
        <v>524</v>
      </c>
      <c r="B16" s="1268">
        <f>B11+SUM(B13:B15)</f>
        <v>142167092</v>
      </c>
      <c r="C16" s="1268">
        <f>C11+SUM(C13:C15)</f>
        <v>110576701</v>
      </c>
      <c r="D16" s="1268">
        <f>D11+SUM(D13:D15)</f>
        <v>31590391</v>
      </c>
      <c r="E16" s="1269">
        <f>E11+SUM(E13:E15)</f>
        <v>0</v>
      </c>
    </row>
    <row r="17" spans="1:9" x14ac:dyDescent="0.2">
      <c r="A17" s="1255" t="s">
        <v>525</v>
      </c>
      <c r="B17" s="1261">
        <f>C17+D17+E17</f>
        <v>7671008</v>
      </c>
      <c r="C17" s="1262">
        <f>5335564+2026145</f>
        <v>7361709</v>
      </c>
      <c r="D17" s="1262">
        <f>293547+15752</f>
        <v>309299</v>
      </c>
      <c r="E17" s="1263"/>
    </row>
    <row r="18" spans="1:9" x14ac:dyDescent="0.2">
      <c r="A18" s="1256" t="s">
        <v>750</v>
      </c>
      <c r="B18" s="1266">
        <f t="shared" si="0"/>
        <v>56112084</v>
      </c>
      <c r="C18" s="1267">
        <f>54543034+1568000</f>
        <v>56111034</v>
      </c>
      <c r="D18" s="1267">
        <v>1050</v>
      </c>
      <c r="E18" s="1267"/>
    </row>
    <row r="19" spans="1:9" x14ac:dyDescent="0.2">
      <c r="A19" s="1256" t="s">
        <v>527</v>
      </c>
      <c r="B19" s="1266">
        <f t="shared" si="0"/>
        <v>9072000</v>
      </c>
      <c r="C19" s="1267">
        <f>5688000+2885669</f>
        <v>8573669</v>
      </c>
      <c r="D19" s="1267">
        <v>498331</v>
      </c>
      <c r="E19" s="1267"/>
    </row>
    <row r="20" spans="1:9" x14ac:dyDescent="0.2">
      <c r="A20" s="1256" t="s">
        <v>528</v>
      </c>
      <c r="B20" s="1266">
        <f t="shared" si="0"/>
        <v>0</v>
      </c>
      <c r="C20" s="1267"/>
      <c r="D20" s="1267"/>
      <c r="E20" s="1267"/>
    </row>
    <row r="21" spans="1:9" ht="13.5" thickBot="1" x14ac:dyDescent="0.25">
      <c r="A21" s="1257" t="s">
        <v>976</v>
      </c>
      <c r="B21" s="1270">
        <f t="shared" si="0"/>
        <v>69312000</v>
      </c>
      <c r="C21" s="1271">
        <f>22670000+14880000</f>
        <v>37550000</v>
      </c>
      <c r="D21" s="1271">
        <v>31762000</v>
      </c>
      <c r="E21" s="1272"/>
    </row>
    <row r="22" spans="1:9" ht="13.5" thickBot="1" x14ac:dyDescent="0.25">
      <c r="A22" s="1258" t="s">
        <v>97</v>
      </c>
      <c r="B22" s="1268">
        <f>SUM(B17:B21)</f>
        <v>142167092</v>
      </c>
      <c r="C22" s="1268">
        <f>SUM(C17:C21)</f>
        <v>109596412</v>
      </c>
      <c r="D22" s="1268">
        <f>SUM(D17:D21)</f>
        <v>32570680</v>
      </c>
      <c r="E22" s="1269">
        <f>SUM(E17:E21)</f>
        <v>0</v>
      </c>
    </row>
    <row r="23" spans="1:9" x14ac:dyDescent="0.2">
      <c r="A23" s="1465" t="s">
        <v>972</v>
      </c>
      <c r="B23" s="1465"/>
      <c r="C23" s="1465"/>
      <c r="D23" s="1465"/>
      <c r="E23" s="1465"/>
    </row>
    <row r="24" spans="1:9" x14ac:dyDescent="0.2">
      <c r="A24" s="1259"/>
      <c r="B24" s="1259"/>
      <c r="C24" s="1259"/>
      <c r="D24" s="1259"/>
      <c r="E24" s="1259"/>
    </row>
    <row r="25" spans="1:9" ht="31.5" customHeight="1" x14ac:dyDescent="0.2">
      <c r="A25" s="1449" t="s">
        <v>977</v>
      </c>
      <c r="B25" s="1449"/>
      <c r="C25" s="1449"/>
      <c r="D25" s="1449"/>
      <c r="E25" s="1449"/>
    </row>
    <row r="26" spans="1:9" ht="15.75" thickBot="1" x14ac:dyDescent="0.25">
      <c r="A26" s="1244"/>
      <c r="B26" s="1244"/>
      <c r="C26" s="1244"/>
      <c r="D26" s="1244"/>
      <c r="E26" s="1246" t="s">
        <v>494</v>
      </c>
    </row>
    <row r="27" spans="1:9" ht="13.5" thickBot="1" x14ac:dyDescent="0.25">
      <c r="A27" s="1451" t="s">
        <v>520</v>
      </c>
      <c r="B27" s="1454" t="s">
        <v>969</v>
      </c>
      <c r="C27" s="1455"/>
      <c r="D27" s="1455"/>
      <c r="E27" s="1456"/>
      <c r="G27" s="1276"/>
      <c r="H27" s="1276"/>
      <c r="I27" s="1276"/>
    </row>
    <row r="28" spans="1:9" ht="13.5" thickBot="1" x14ac:dyDescent="0.25">
      <c r="A28" s="1452"/>
      <c r="B28" s="1457" t="str">
        <f>B7</f>
        <v>A projektre jóváhagyott összes
 bevétel, kiadás</v>
      </c>
      <c r="C28" s="1460" t="s">
        <v>970</v>
      </c>
      <c r="D28" s="1461"/>
      <c r="E28" s="1462"/>
      <c r="G28" s="1276"/>
      <c r="H28" s="1276"/>
      <c r="I28" s="1276"/>
    </row>
    <row r="29" spans="1:9" ht="12.75" customHeight="1" x14ac:dyDescent="0.2">
      <c r="A29" s="1452"/>
      <c r="B29" s="1458"/>
      <c r="C29" s="1457" t="str">
        <f>CONCATENATE(ALAPADATOK!$D$7," előttre ütemezett bevétel, kiadás")</f>
        <v>2022. előttre ütemezett bevétel, kiadás</v>
      </c>
      <c r="D29" s="1457" t="str">
        <f>CONCATENATE(ALAPADATOK!$D$7," évre ütemezett bevétel, kiadás")</f>
        <v>2022. évre ütemezett bevétel, kiadás</v>
      </c>
      <c r="E29" s="1457" t="str">
        <f>CONCATENATE(ALAPADATOK!$D$7," utánra ütemezett bevétel, kiadás")</f>
        <v>2022. utánra ütemezett bevétel, kiadás</v>
      </c>
      <c r="G29" s="1276"/>
      <c r="H29" s="1276"/>
      <c r="I29" s="1276"/>
    </row>
    <row r="30" spans="1:9" ht="12.75" customHeight="1" thickBot="1" x14ac:dyDescent="0.25">
      <c r="A30" s="1453"/>
      <c r="B30" s="1459"/>
      <c r="C30" s="1463"/>
      <c r="D30" s="1463"/>
      <c r="E30" s="1464"/>
      <c r="G30" s="1276"/>
      <c r="H30" s="1276"/>
      <c r="I30" s="1276"/>
    </row>
    <row r="31" spans="1:9" ht="13.5" thickBot="1" x14ac:dyDescent="0.25">
      <c r="A31" s="1247" t="s">
        <v>385</v>
      </c>
      <c r="B31" s="1248" t="s">
        <v>971</v>
      </c>
      <c r="C31" s="1249" t="s">
        <v>387</v>
      </c>
      <c r="D31" s="1245" t="s">
        <v>437</v>
      </c>
      <c r="E31" s="1250" t="s">
        <v>438</v>
      </c>
      <c r="G31" s="1276"/>
      <c r="H31" s="1276"/>
      <c r="I31" s="1276"/>
    </row>
    <row r="32" spans="1:9" x14ac:dyDescent="0.2">
      <c r="A32" s="1251" t="s">
        <v>521</v>
      </c>
      <c r="B32" s="1261">
        <f>C32+D32+E32</f>
        <v>0</v>
      </c>
      <c r="C32" s="1262"/>
      <c r="D32" s="1262"/>
      <c r="E32" s="1263"/>
      <c r="G32" s="1276"/>
      <c r="H32" s="1276"/>
      <c r="I32" s="1276"/>
    </row>
    <row r="33" spans="1:11" x14ac:dyDescent="0.2">
      <c r="A33" s="1252" t="s">
        <v>522</v>
      </c>
      <c r="B33" s="1264">
        <f>C33+D33+E33</f>
        <v>0</v>
      </c>
      <c r="C33" s="1265"/>
      <c r="D33" s="1265"/>
      <c r="E33" s="1265"/>
      <c r="G33" s="1276"/>
      <c r="H33" s="1276"/>
      <c r="I33" s="1276"/>
    </row>
    <row r="34" spans="1:11" x14ac:dyDescent="0.2">
      <c r="A34" s="1253" t="s">
        <v>973</v>
      </c>
      <c r="B34" s="1266">
        <f>C34+D34+E34</f>
        <v>31491050</v>
      </c>
      <c r="C34" s="1267">
        <f>5715000+25776050</f>
        <v>31491050</v>
      </c>
      <c r="D34" s="1267"/>
      <c r="E34" s="1267"/>
      <c r="G34" s="1276"/>
      <c r="H34" s="1276"/>
      <c r="I34" s="1276"/>
    </row>
    <row r="35" spans="1:11" ht="12.75" customHeight="1" x14ac:dyDescent="0.2">
      <c r="A35" s="1253" t="s">
        <v>109</v>
      </c>
      <c r="B35" s="1266">
        <f>C35+D35+E35</f>
        <v>0</v>
      </c>
      <c r="C35" s="1267"/>
      <c r="D35" s="1267"/>
      <c r="E35" s="1267"/>
      <c r="G35" s="1276"/>
      <c r="H35" s="1276"/>
      <c r="I35" s="1276"/>
    </row>
    <row r="36" spans="1:11" ht="13.5" thickBot="1" x14ac:dyDescent="0.25">
      <c r="A36" s="1253" t="s">
        <v>523</v>
      </c>
      <c r="B36" s="1266">
        <f>C36+D36+E36</f>
        <v>0</v>
      </c>
      <c r="C36" s="1267"/>
      <c r="D36" s="1267"/>
      <c r="E36" s="1267"/>
      <c r="G36" s="1276"/>
      <c r="H36" s="1276"/>
      <c r="I36" s="1276"/>
    </row>
    <row r="37" spans="1:11" ht="13.5" thickBot="1" x14ac:dyDescent="0.25">
      <c r="A37" s="1254" t="s">
        <v>524</v>
      </c>
      <c r="B37" s="1268">
        <f>B32+SUM(B34:B36)</f>
        <v>31491050</v>
      </c>
      <c r="C37" s="1268">
        <f>C32+SUM(C34:C36)</f>
        <v>31491050</v>
      </c>
      <c r="D37" s="1268">
        <f>D32+SUM(D34:D36)</f>
        <v>0</v>
      </c>
      <c r="E37" s="1269">
        <f>E32+SUM(E34:E36)</f>
        <v>0</v>
      </c>
      <c r="G37" s="1276"/>
      <c r="H37" s="1277"/>
      <c r="I37" s="1276"/>
    </row>
    <row r="38" spans="1:11" x14ac:dyDescent="0.2">
      <c r="A38" s="1255" t="s">
        <v>525</v>
      </c>
      <c r="B38" s="1261">
        <f>C38+D38+E38</f>
        <v>420187</v>
      </c>
      <c r="C38" s="1262">
        <v>204000</v>
      </c>
      <c r="D38" s="1262">
        <f>96000+120187</f>
        <v>216187</v>
      </c>
      <c r="E38" s="1263"/>
      <c r="G38" s="1276"/>
      <c r="H38" s="1277"/>
      <c r="I38" s="1277"/>
      <c r="J38" s="1275"/>
    </row>
    <row r="39" spans="1:11" x14ac:dyDescent="0.2">
      <c r="A39" s="1256" t="s">
        <v>750</v>
      </c>
      <c r="B39" s="1266">
        <f>C39+D39+E39</f>
        <v>8451640</v>
      </c>
      <c r="C39" s="1267">
        <f>1270000+3175000+2959100</f>
        <v>7404100</v>
      </c>
      <c r="D39" s="1267">
        <v>1047540</v>
      </c>
      <c r="E39" s="1267"/>
      <c r="G39" s="1276"/>
      <c r="H39" s="1277"/>
      <c r="I39" s="1277"/>
      <c r="J39" s="1275"/>
    </row>
    <row r="40" spans="1:11" x14ac:dyDescent="0.2">
      <c r="A40" s="1256" t="s">
        <v>527</v>
      </c>
      <c r="B40" s="1266">
        <f>C40+D40+E40</f>
        <v>21933670</v>
      </c>
      <c r="C40" s="1267">
        <f>1270000+3049076+12631424</f>
        <v>16950500</v>
      </c>
      <c r="D40" s="1267">
        <v>4983170</v>
      </c>
      <c r="E40" s="1267"/>
      <c r="G40" s="1276"/>
      <c r="H40" s="1277"/>
      <c r="I40" s="1277"/>
      <c r="J40" s="1275"/>
    </row>
    <row r="41" spans="1:11" x14ac:dyDescent="0.2">
      <c r="A41" s="1256" t="s">
        <v>528</v>
      </c>
      <c r="B41" s="1266">
        <f>C41+D41+E41</f>
        <v>0</v>
      </c>
      <c r="C41" s="1267"/>
      <c r="D41" s="1267"/>
      <c r="E41" s="1267"/>
      <c r="G41" s="1276"/>
      <c r="H41" s="1277"/>
      <c r="I41" s="1276"/>
      <c r="J41" s="1275"/>
      <c r="K41" s="1275"/>
    </row>
    <row r="42" spans="1:11" ht="13.5" thickBot="1" x14ac:dyDescent="0.25">
      <c r="A42" s="1257" t="s">
        <v>529</v>
      </c>
      <c r="B42" s="1270">
        <f>C42+D42+E42</f>
        <v>685553</v>
      </c>
      <c r="C42" s="1271"/>
      <c r="D42" s="1271">
        <v>685553</v>
      </c>
      <c r="E42" s="1272"/>
      <c r="G42" s="1276"/>
      <c r="H42" s="1277"/>
      <c r="I42" s="1276"/>
    </row>
    <row r="43" spans="1:11" ht="13.5" thickBot="1" x14ac:dyDescent="0.25">
      <c r="A43" s="1258" t="s">
        <v>97</v>
      </c>
      <c r="B43" s="1268">
        <f>SUM(B38:B42)</f>
        <v>31491050</v>
      </c>
      <c r="C43" s="1268">
        <f>SUM(C38:C42)</f>
        <v>24558600</v>
      </c>
      <c r="D43" s="1268">
        <f>SUM(D38:D42)</f>
        <v>6932450</v>
      </c>
      <c r="E43" s="1269">
        <f>SUM(E38:E42)</f>
        <v>0</v>
      </c>
      <c r="G43" s="1278"/>
      <c r="H43" s="1276"/>
      <c r="I43" s="1276"/>
    </row>
    <row r="44" spans="1:11" x14ac:dyDescent="0.2">
      <c r="A44" s="1273"/>
      <c r="B44" s="1273"/>
      <c r="C44" s="1273"/>
      <c r="D44" s="1273"/>
      <c r="E44" s="1273"/>
      <c r="G44" s="1276"/>
      <c r="H44" s="1276"/>
      <c r="I44" s="1276"/>
    </row>
    <row r="45" spans="1:11" ht="33" customHeight="1" x14ac:dyDescent="0.2">
      <c r="A45" s="1448" t="s">
        <v>978</v>
      </c>
      <c r="B45" s="1448"/>
      <c r="C45" s="1448"/>
      <c r="D45" s="1448"/>
      <c r="E45" s="1448"/>
    </row>
    <row r="46" spans="1:11" ht="15.75" thickBot="1" x14ac:dyDescent="0.25">
      <c r="A46" s="1244"/>
      <c r="B46" s="1244"/>
      <c r="C46" s="1244"/>
      <c r="D46" s="1244"/>
      <c r="E46" s="1246" t="s">
        <v>494</v>
      </c>
    </row>
    <row r="47" spans="1:11" ht="13.5" thickBot="1" x14ac:dyDescent="0.25">
      <c r="A47" s="1451" t="s">
        <v>520</v>
      </c>
      <c r="B47" s="1454" t="s">
        <v>969</v>
      </c>
      <c r="C47" s="1455"/>
      <c r="D47" s="1455"/>
      <c r="E47" s="1456"/>
    </row>
    <row r="48" spans="1:11" ht="13.5" thickBot="1" x14ac:dyDescent="0.25">
      <c r="A48" s="1452"/>
      <c r="B48" s="1457" t="str">
        <f>B28</f>
        <v>A projektre jóváhagyott összes
 bevétel, kiadás</v>
      </c>
      <c r="C48" s="1460" t="s">
        <v>970</v>
      </c>
      <c r="D48" s="1461"/>
      <c r="E48" s="1462"/>
    </row>
    <row r="49" spans="1:5" ht="12.75" customHeight="1" x14ac:dyDescent="0.2">
      <c r="A49" s="1452"/>
      <c r="B49" s="1458"/>
      <c r="C49" s="1457" t="str">
        <f>CONCATENATE(ALAPADATOK!$D$7," előttre ütemezett bevétel, kiadás")</f>
        <v>2022. előttre ütemezett bevétel, kiadás</v>
      </c>
      <c r="D49" s="1457" t="str">
        <f>CONCATENATE(ALAPADATOK!$D$7," évre ütemezett bevétel, kiadás")</f>
        <v>2022. évre ütemezett bevétel, kiadás</v>
      </c>
      <c r="E49" s="1457" t="str">
        <f>CONCATENATE(ALAPADATOK!$D$7," utánra ütemezett bevétel, kiadás")</f>
        <v>2022. utánra ütemezett bevétel, kiadás</v>
      </c>
    </row>
    <row r="50" spans="1:5" ht="13.5" thickBot="1" x14ac:dyDescent="0.25">
      <c r="A50" s="1453"/>
      <c r="B50" s="1459"/>
      <c r="C50" s="1463"/>
      <c r="D50" s="1463"/>
      <c r="E50" s="1464"/>
    </row>
    <row r="51" spans="1:5" ht="13.5" thickBot="1" x14ac:dyDescent="0.25">
      <c r="A51" s="1247" t="s">
        <v>385</v>
      </c>
      <c r="B51" s="1248" t="s">
        <v>971</v>
      </c>
      <c r="C51" s="1249" t="s">
        <v>387</v>
      </c>
      <c r="D51" s="1245" t="s">
        <v>437</v>
      </c>
      <c r="E51" s="1250" t="s">
        <v>438</v>
      </c>
    </row>
    <row r="52" spans="1:5" x14ac:dyDescent="0.2">
      <c r="A52" s="1251" t="s">
        <v>521</v>
      </c>
      <c r="B52" s="1261">
        <f>C52+D52+E52</f>
        <v>0</v>
      </c>
      <c r="C52" s="1262"/>
      <c r="D52" s="1262"/>
      <c r="E52" s="1263"/>
    </row>
    <row r="53" spans="1:5" x14ac:dyDescent="0.2">
      <c r="A53" s="1252" t="s">
        <v>522</v>
      </c>
      <c r="B53" s="1264">
        <f>C53+D53+E53</f>
        <v>0</v>
      </c>
      <c r="C53" s="1265"/>
      <c r="D53" s="1265"/>
      <c r="E53" s="1265"/>
    </row>
    <row r="54" spans="1:5" x14ac:dyDescent="0.2">
      <c r="A54" s="1253" t="s">
        <v>973</v>
      </c>
      <c r="B54" s="1266">
        <f>C54+D54+E54</f>
        <v>74782484</v>
      </c>
      <c r="C54" s="1267">
        <v>74782484</v>
      </c>
      <c r="D54" s="1267"/>
      <c r="E54" s="1267"/>
    </row>
    <row r="55" spans="1:5" x14ac:dyDescent="0.2">
      <c r="A55" s="1253" t="s">
        <v>109</v>
      </c>
      <c r="B55" s="1266">
        <f>C55+D55+E55</f>
        <v>0</v>
      </c>
      <c r="C55" s="1267"/>
      <c r="D55" s="1267"/>
      <c r="E55" s="1267"/>
    </row>
    <row r="56" spans="1:5" ht="13.5" thickBot="1" x14ac:dyDescent="0.25">
      <c r="A56" s="1253" t="s">
        <v>523</v>
      </c>
      <c r="B56" s="1266">
        <f>C56+D56+E56</f>
        <v>0</v>
      </c>
      <c r="C56" s="1267"/>
      <c r="D56" s="1267"/>
      <c r="E56" s="1267"/>
    </row>
    <row r="57" spans="1:5" ht="13.5" thickBot="1" x14ac:dyDescent="0.25">
      <c r="A57" s="1254" t="s">
        <v>524</v>
      </c>
      <c r="B57" s="1268">
        <f>B52+SUM(B54:B56)</f>
        <v>74782484</v>
      </c>
      <c r="C57" s="1268">
        <f>C52+SUM(C54:C56)</f>
        <v>74782484</v>
      </c>
      <c r="D57" s="1268">
        <f>D52+SUM(D54:D56)</f>
        <v>0</v>
      </c>
      <c r="E57" s="1269">
        <f>E52+SUM(E54:E56)</f>
        <v>0</v>
      </c>
    </row>
    <row r="58" spans="1:5" x14ac:dyDescent="0.2">
      <c r="A58" s="1255" t="s">
        <v>525</v>
      </c>
      <c r="B58" s="1261">
        <f>C58+D58+E58</f>
        <v>68123543</v>
      </c>
      <c r="C58" s="1262">
        <v>39416957</v>
      </c>
      <c r="D58" s="1262">
        <v>28706586</v>
      </c>
      <c r="E58" s="1263"/>
    </row>
    <row r="59" spans="1:5" x14ac:dyDescent="0.2">
      <c r="A59" s="1256" t="s">
        <v>526</v>
      </c>
      <c r="B59" s="1266">
        <f>C59+D59+E59</f>
        <v>1515441</v>
      </c>
      <c r="C59" s="1267">
        <v>191483</v>
      </c>
      <c r="D59" s="1267">
        <v>1323958</v>
      </c>
      <c r="E59" s="1267"/>
    </row>
    <row r="60" spans="1:5" x14ac:dyDescent="0.2">
      <c r="A60" s="1256" t="s">
        <v>527</v>
      </c>
      <c r="B60" s="1266">
        <f>C60+D60+E60</f>
        <v>5143500</v>
      </c>
      <c r="C60" s="1267">
        <v>3469600</v>
      </c>
      <c r="D60" s="1267">
        <v>1673900</v>
      </c>
      <c r="E60" s="1267"/>
    </row>
    <row r="61" spans="1:5" x14ac:dyDescent="0.2">
      <c r="A61" s="1256" t="s">
        <v>528</v>
      </c>
      <c r="B61" s="1266">
        <f>C61+D61+E61</f>
        <v>0</v>
      </c>
      <c r="C61" s="1267"/>
      <c r="D61" s="1267"/>
      <c r="E61" s="1267"/>
    </row>
    <row r="62" spans="1:5" ht="13.5" thickBot="1" x14ac:dyDescent="0.25">
      <c r="A62" s="1257"/>
      <c r="B62" s="1270">
        <f>C62+D62+E62</f>
        <v>0</v>
      </c>
      <c r="C62" s="1271"/>
      <c r="D62" s="1271"/>
      <c r="E62" s="1272"/>
    </row>
    <row r="63" spans="1:5" ht="13.5" thickBot="1" x14ac:dyDescent="0.25">
      <c r="A63" s="1258" t="s">
        <v>97</v>
      </c>
      <c r="B63" s="1268">
        <f>SUM(B58:B62)</f>
        <v>74782484</v>
      </c>
      <c r="C63" s="1268">
        <f>SUM(C58:C62)</f>
        <v>43078040</v>
      </c>
      <c r="D63" s="1268">
        <f>SUM(D58:D62)</f>
        <v>31704444</v>
      </c>
      <c r="E63" s="1269">
        <f>SUM(E58:E62)</f>
        <v>0</v>
      </c>
    </row>
    <row r="64" spans="1:5" x14ac:dyDescent="0.2">
      <c r="A64" s="1273"/>
      <c r="B64" s="1273"/>
      <c r="C64" s="1273"/>
      <c r="D64" s="1273"/>
      <c r="E64" s="1273"/>
    </row>
    <row r="65" spans="1:5" ht="14.25" customHeight="1" x14ac:dyDescent="0.2">
      <c r="A65" s="1450" t="s">
        <v>980</v>
      </c>
      <c r="B65" s="1450"/>
      <c r="C65" s="1450"/>
      <c r="D65" s="1450"/>
      <c r="E65" s="1450"/>
    </row>
    <row r="66" spans="1:5" ht="15.75" thickBot="1" x14ac:dyDescent="0.25">
      <c r="A66" s="1244"/>
      <c r="B66" s="1244"/>
      <c r="C66" s="1244"/>
      <c r="D66" s="1244"/>
      <c r="E66" s="1246" t="s">
        <v>494</v>
      </c>
    </row>
    <row r="67" spans="1:5" ht="13.5" thickBot="1" x14ac:dyDescent="0.25">
      <c r="A67" s="1451" t="s">
        <v>520</v>
      </c>
      <c r="B67" s="1454" t="s">
        <v>969</v>
      </c>
      <c r="C67" s="1455"/>
      <c r="D67" s="1455"/>
      <c r="E67" s="1456"/>
    </row>
    <row r="68" spans="1:5" ht="13.5" thickBot="1" x14ac:dyDescent="0.25">
      <c r="A68" s="1452"/>
      <c r="B68" s="1457" t="str">
        <f>B48</f>
        <v>A projektre jóváhagyott összes
 bevétel, kiadás</v>
      </c>
      <c r="C68" s="1460" t="s">
        <v>970</v>
      </c>
      <c r="D68" s="1461"/>
      <c r="E68" s="1462"/>
    </row>
    <row r="69" spans="1:5" ht="12.75" customHeight="1" x14ac:dyDescent="0.2">
      <c r="A69" s="1452"/>
      <c r="B69" s="1458"/>
      <c r="C69" s="1457" t="str">
        <f>CONCATENATE(ALAPADATOK!$D$7," előttre ütemezett bevétel, kiadás")</f>
        <v>2022. előttre ütemezett bevétel, kiadás</v>
      </c>
      <c r="D69" s="1457" t="str">
        <f>CONCATENATE(ALAPADATOK!$D$7," évre ütemezett bevétel, kiadás")</f>
        <v>2022. évre ütemezett bevétel, kiadás</v>
      </c>
      <c r="E69" s="1457" t="str">
        <f>CONCATENATE(ALAPADATOK!$D$7," utánra ütemezett bevétel, kiadás")</f>
        <v>2022. utánra ütemezett bevétel, kiadás</v>
      </c>
    </row>
    <row r="70" spans="1:5" ht="13.5" thickBot="1" x14ac:dyDescent="0.25">
      <c r="A70" s="1453"/>
      <c r="B70" s="1459"/>
      <c r="C70" s="1463"/>
      <c r="D70" s="1463"/>
      <c r="E70" s="1464"/>
    </row>
    <row r="71" spans="1:5" ht="13.5" thickBot="1" x14ac:dyDescent="0.25">
      <c r="A71" s="1247" t="s">
        <v>385</v>
      </c>
      <c r="B71" s="1248" t="s">
        <v>971</v>
      </c>
      <c r="C71" s="1249" t="s">
        <v>387</v>
      </c>
      <c r="D71" s="1245" t="s">
        <v>437</v>
      </c>
      <c r="E71" s="1250" t="s">
        <v>438</v>
      </c>
    </row>
    <row r="72" spans="1:5" x14ac:dyDescent="0.2">
      <c r="A72" s="1251" t="s">
        <v>521</v>
      </c>
      <c r="B72" s="1261">
        <f>C72+D72+E72</f>
        <v>2553360</v>
      </c>
      <c r="C72" s="1262"/>
      <c r="D72" s="1350">
        <f>2038794+302601+161965+50000</f>
        <v>2553360</v>
      </c>
      <c r="E72" s="1263"/>
    </row>
    <row r="73" spans="1:5" x14ac:dyDescent="0.2">
      <c r="A73" s="1252" t="s">
        <v>522</v>
      </c>
      <c r="B73" s="1264">
        <f>C73+D73+E73</f>
        <v>0</v>
      </c>
      <c r="C73" s="1265"/>
      <c r="D73" s="1265"/>
      <c r="E73" s="1265"/>
    </row>
    <row r="74" spans="1:5" x14ac:dyDescent="0.2">
      <c r="A74" s="1253" t="s">
        <v>973</v>
      </c>
      <c r="B74" s="1266">
        <f>C74+D74+E74</f>
        <v>369968656</v>
      </c>
      <c r="C74" s="1267">
        <v>363618656</v>
      </c>
      <c r="D74" s="1267">
        <v>6350000</v>
      </c>
      <c r="E74" s="1267"/>
    </row>
    <row r="75" spans="1:5" x14ac:dyDescent="0.2">
      <c r="A75" s="1253" t="s">
        <v>109</v>
      </c>
      <c r="B75" s="1266">
        <f>C75+D75+E75</f>
        <v>0</v>
      </c>
      <c r="C75" s="1267"/>
      <c r="D75" s="1267"/>
      <c r="E75" s="1267"/>
    </row>
    <row r="76" spans="1:5" ht="13.5" thickBot="1" x14ac:dyDescent="0.25">
      <c r="A76" s="1253" t="s">
        <v>523</v>
      </c>
      <c r="B76" s="1266">
        <f>C76+D76+E76</f>
        <v>243600</v>
      </c>
      <c r="C76" s="1267">
        <v>243600</v>
      </c>
      <c r="D76" s="1267"/>
      <c r="E76" s="1267"/>
    </row>
    <row r="77" spans="1:5" ht="13.5" thickBot="1" x14ac:dyDescent="0.25">
      <c r="A77" s="1254" t="s">
        <v>524</v>
      </c>
      <c r="B77" s="1268">
        <f>B72+SUM(B74:B76)</f>
        <v>372765616</v>
      </c>
      <c r="C77" s="1268">
        <f>C72+SUM(C74:C76)</f>
        <v>363862256</v>
      </c>
      <c r="D77" s="1268">
        <f>D72+SUM(D74:D76)</f>
        <v>8903360</v>
      </c>
      <c r="E77" s="1269">
        <f>E72+SUM(E74:E76)</f>
        <v>0</v>
      </c>
    </row>
    <row r="78" spans="1:5" x14ac:dyDescent="0.2">
      <c r="A78" s="1255" t="s">
        <v>525</v>
      </c>
      <c r="B78" s="1261">
        <f>C78+D78+E78</f>
        <v>0</v>
      </c>
      <c r="C78" s="1262"/>
      <c r="D78" s="1262"/>
      <c r="E78" s="1263"/>
    </row>
    <row r="79" spans="1:5" x14ac:dyDescent="0.2">
      <c r="A79" s="1256" t="s">
        <v>526</v>
      </c>
      <c r="B79" s="1266">
        <f>C79+D79+E79</f>
        <v>291755324</v>
      </c>
      <c r="C79" s="1267">
        <v>14306979</v>
      </c>
      <c r="D79" s="1267">
        <v>277448345</v>
      </c>
      <c r="E79" s="1267"/>
    </row>
    <row r="80" spans="1:5" x14ac:dyDescent="0.2">
      <c r="A80" s="1256" t="s">
        <v>527</v>
      </c>
      <c r="B80" s="1266">
        <f>C80+D80+E80</f>
        <v>81010292</v>
      </c>
      <c r="C80" s="1267">
        <v>73954556</v>
      </c>
      <c r="D80" s="1351">
        <f>6843771+161965+50000</f>
        <v>7055736</v>
      </c>
      <c r="E80" s="1267"/>
    </row>
    <row r="81" spans="1:5" x14ac:dyDescent="0.2">
      <c r="A81" s="1256" t="s">
        <v>528</v>
      </c>
      <c r="B81" s="1266">
        <f>C81+D81+E81</f>
        <v>0</v>
      </c>
      <c r="C81" s="1267"/>
      <c r="D81" s="1267"/>
      <c r="E81" s="1267"/>
    </row>
    <row r="82" spans="1:5" ht="13.5" thickBot="1" x14ac:dyDescent="0.25">
      <c r="A82" s="1257" t="s">
        <v>529</v>
      </c>
      <c r="B82" s="1270">
        <f>C82+D82+E82</f>
        <v>0</v>
      </c>
      <c r="C82" s="1271"/>
      <c r="D82" s="1271"/>
      <c r="E82" s="1272"/>
    </row>
    <row r="83" spans="1:5" ht="13.5" thickBot="1" x14ac:dyDescent="0.25">
      <c r="A83" s="1258" t="s">
        <v>97</v>
      </c>
      <c r="B83" s="1268">
        <f>SUM(B78:B82)</f>
        <v>372765616</v>
      </c>
      <c r="C83" s="1268">
        <f>SUM(C78:C82)</f>
        <v>88261535</v>
      </c>
      <c r="D83" s="1268">
        <f>SUM(D78:D82)</f>
        <v>284504081</v>
      </c>
      <c r="E83" s="1269">
        <f>SUM(E78:E82)</f>
        <v>0</v>
      </c>
    </row>
    <row r="84" spans="1:5" x14ac:dyDescent="0.2">
      <c r="A84" s="1273"/>
      <c r="B84" s="1273"/>
      <c r="C84" s="1273"/>
      <c r="D84" s="1273"/>
      <c r="E84" s="1273"/>
    </row>
    <row r="85" spans="1:5" ht="14.25" customHeight="1" x14ac:dyDescent="0.2">
      <c r="A85" s="1448" t="s">
        <v>981</v>
      </c>
      <c r="B85" s="1448"/>
      <c r="C85" s="1448"/>
      <c r="D85" s="1448"/>
      <c r="E85" s="1448"/>
    </row>
    <row r="86" spans="1:5" ht="15.75" thickBot="1" x14ac:dyDescent="0.25">
      <c r="A86" s="1244"/>
      <c r="B86" s="1244"/>
      <c r="C86" s="1244"/>
      <c r="D86" s="1244"/>
      <c r="E86" s="1246" t="s">
        <v>494</v>
      </c>
    </row>
    <row r="87" spans="1:5" ht="13.5" thickBot="1" x14ac:dyDescent="0.25">
      <c r="A87" s="1451" t="s">
        <v>520</v>
      </c>
      <c r="B87" s="1454" t="s">
        <v>969</v>
      </c>
      <c r="C87" s="1455"/>
      <c r="D87" s="1455"/>
      <c r="E87" s="1456"/>
    </row>
    <row r="88" spans="1:5" ht="13.5" thickBot="1" x14ac:dyDescent="0.25">
      <c r="A88" s="1452"/>
      <c r="B88" s="1457" t="str">
        <f>B68</f>
        <v>A projektre jóváhagyott összes
 bevétel, kiadás</v>
      </c>
      <c r="C88" s="1460" t="s">
        <v>970</v>
      </c>
      <c r="D88" s="1461"/>
      <c r="E88" s="1462"/>
    </row>
    <row r="89" spans="1:5" ht="12.75" customHeight="1" x14ac:dyDescent="0.2">
      <c r="A89" s="1452"/>
      <c r="B89" s="1458"/>
      <c r="C89" s="1457" t="str">
        <f>CONCATENATE(ALAPADATOK!$D$7," előttre ütemezett bevétel, kiadás")</f>
        <v>2022. előttre ütemezett bevétel, kiadás</v>
      </c>
      <c r="D89" s="1457" t="str">
        <f>CONCATENATE(ALAPADATOK!$D$7," évre ütemezett bevétel, kiadás")</f>
        <v>2022. évre ütemezett bevétel, kiadás</v>
      </c>
      <c r="E89" s="1457" t="str">
        <f>CONCATENATE(ALAPADATOK!$D$7," utánra ütemezett bevétel, kiadás")</f>
        <v>2022. utánra ütemezett bevétel, kiadás</v>
      </c>
    </row>
    <row r="90" spans="1:5" ht="13.5" thickBot="1" x14ac:dyDescent="0.25">
      <c r="A90" s="1453"/>
      <c r="B90" s="1459"/>
      <c r="C90" s="1463"/>
      <c r="D90" s="1463"/>
      <c r="E90" s="1464"/>
    </row>
    <row r="91" spans="1:5" ht="13.5" thickBot="1" x14ac:dyDescent="0.25">
      <c r="A91" s="1247" t="s">
        <v>385</v>
      </c>
      <c r="B91" s="1248" t="s">
        <v>971</v>
      </c>
      <c r="C91" s="1249" t="s">
        <v>387</v>
      </c>
      <c r="D91" s="1245" t="s">
        <v>437</v>
      </c>
      <c r="E91" s="1250" t="s">
        <v>438</v>
      </c>
    </row>
    <row r="92" spans="1:5" x14ac:dyDescent="0.2">
      <c r="A92" s="1251" t="s">
        <v>521</v>
      </c>
      <c r="B92" s="1261">
        <f>C92+D92+E92</f>
        <v>1496600</v>
      </c>
      <c r="C92" s="1262"/>
      <c r="D92" s="1350">
        <f>885800+610800</f>
        <v>1496600</v>
      </c>
      <c r="E92" s="1263"/>
    </row>
    <row r="93" spans="1:5" x14ac:dyDescent="0.2">
      <c r="A93" s="1252" t="s">
        <v>522</v>
      </c>
      <c r="B93" s="1264">
        <f>C93+D93+E93</f>
        <v>0</v>
      </c>
      <c r="C93" s="1265"/>
      <c r="D93" s="1265"/>
      <c r="E93" s="1265"/>
    </row>
    <row r="94" spans="1:5" x14ac:dyDescent="0.2">
      <c r="A94" s="1253" t="s">
        <v>973</v>
      </c>
      <c r="B94" s="1266">
        <f>C94+D94+E94</f>
        <v>192258856</v>
      </c>
      <c r="C94" s="1267">
        <v>168611550</v>
      </c>
      <c r="D94" s="1267">
        <v>23647306</v>
      </c>
      <c r="E94" s="1267"/>
    </row>
    <row r="95" spans="1:5" x14ac:dyDescent="0.2">
      <c r="A95" s="1253" t="s">
        <v>109</v>
      </c>
      <c r="B95" s="1266">
        <f>C95+D95+E95</f>
        <v>0</v>
      </c>
      <c r="C95" s="1267"/>
      <c r="D95" s="1267"/>
      <c r="E95" s="1267"/>
    </row>
    <row r="96" spans="1:5" ht="13.5" thickBot="1" x14ac:dyDescent="0.25">
      <c r="A96" s="1253" t="s">
        <v>523</v>
      </c>
      <c r="B96" s="1266">
        <f>C96+D96+E96</f>
        <v>0</v>
      </c>
      <c r="C96" s="1267"/>
      <c r="D96" s="1267"/>
      <c r="E96" s="1267"/>
    </row>
    <row r="97" spans="1:5" ht="13.5" thickBot="1" x14ac:dyDescent="0.25">
      <c r="A97" s="1254" t="s">
        <v>524</v>
      </c>
      <c r="B97" s="1268">
        <f>B92+SUM(B94:B96)</f>
        <v>193755456</v>
      </c>
      <c r="C97" s="1268">
        <f>C92+SUM(C94:C96)</f>
        <v>168611550</v>
      </c>
      <c r="D97" s="1268">
        <f>D92+SUM(D94:D96)</f>
        <v>25143906</v>
      </c>
      <c r="E97" s="1269">
        <f>E92+SUM(E94:E96)</f>
        <v>0</v>
      </c>
    </row>
    <row r="98" spans="1:5" x14ac:dyDescent="0.2">
      <c r="A98" s="1255" t="s">
        <v>525</v>
      </c>
      <c r="B98" s="1261">
        <f t="shared" ref="B98:B103" si="1">C98+D98+E98</f>
        <v>0</v>
      </c>
      <c r="C98" s="1262"/>
      <c r="D98" s="1262"/>
      <c r="E98" s="1263"/>
    </row>
    <row r="99" spans="1:5" x14ac:dyDescent="0.2">
      <c r="A99" s="1256" t="s">
        <v>526</v>
      </c>
      <c r="B99" s="1266">
        <f t="shared" si="1"/>
        <v>158195828</v>
      </c>
      <c r="C99" s="1267">
        <f>8103000+370000</f>
        <v>8473000</v>
      </c>
      <c r="D99" s="1267">
        <v>149722828</v>
      </c>
      <c r="E99" s="1267"/>
    </row>
    <row r="100" spans="1:5" x14ac:dyDescent="0.2">
      <c r="A100" s="1256" t="s">
        <v>527</v>
      </c>
      <c r="B100" s="1266">
        <f t="shared" si="1"/>
        <v>9355220</v>
      </c>
      <c r="C100" s="1267">
        <v>4702725</v>
      </c>
      <c r="D100" s="1351">
        <f>4041695+610800</f>
        <v>4652495</v>
      </c>
      <c r="E100" s="1267"/>
    </row>
    <row r="101" spans="1:5" x14ac:dyDescent="0.2">
      <c r="A101" s="1256" t="s">
        <v>528</v>
      </c>
      <c r="B101" s="1266">
        <f t="shared" si="1"/>
        <v>0</v>
      </c>
      <c r="C101" s="1267"/>
      <c r="D101" s="1267"/>
      <c r="E101" s="1267"/>
    </row>
    <row r="102" spans="1:5" x14ac:dyDescent="0.2">
      <c r="A102" s="1274" t="s">
        <v>529</v>
      </c>
      <c r="B102" s="1266">
        <f t="shared" si="1"/>
        <v>0</v>
      </c>
      <c r="C102" s="1271"/>
      <c r="D102" s="1271">
        <v>0</v>
      </c>
      <c r="E102" s="1271"/>
    </row>
    <row r="103" spans="1:5" ht="13.5" thickBot="1" x14ac:dyDescent="0.25">
      <c r="A103" s="1257" t="s">
        <v>975</v>
      </c>
      <c r="B103" s="1270">
        <f t="shared" si="1"/>
        <v>26204408</v>
      </c>
      <c r="C103" s="1271"/>
      <c r="D103" s="1271">
        <v>26204408</v>
      </c>
      <c r="E103" s="1272"/>
    </row>
    <row r="104" spans="1:5" ht="13.5" thickBot="1" x14ac:dyDescent="0.25">
      <c r="A104" s="1258" t="s">
        <v>97</v>
      </c>
      <c r="B104" s="1268">
        <f>SUM(B98:B103)</f>
        <v>193755456</v>
      </c>
      <c r="C104" s="1268">
        <f>SUM(C98:C103)</f>
        <v>13175725</v>
      </c>
      <c r="D104" s="1268">
        <f>SUM(D98:D103)</f>
        <v>180579731</v>
      </c>
      <c r="E104" s="1269">
        <f>SUM(E98:E103)</f>
        <v>0</v>
      </c>
    </row>
    <row r="105" spans="1:5" x14ac:dyDescent="0.2">
      <c r="A105" s="1260"/>
      <c r="B105" s="1260"/>
      <c r="C105" s="1260"/>
      <c r="D105" s="1260"/>
      <c r="E105" s="1260"/>
    </row>
    <row r="106" spans="1:5" ht="27" customHeight="1" x14ac:dyDescent="0.2">
      <c r="A106" s="1448" t="s">
        <v>982</v>
      </c>
      <c r="B106" s="1448"/>
      <c r="C106" s="1448"/>
      <c r="D106" s="1448"/>
      <c r="E106" s="1448"/>
    </row>
    <row r="107" spans="1:5" ht="15.75" thickBot="1" x14ac:dyDescent="0.25">
      <c r="A107" s="1244"/>
      <c r="B107" s="1244"/>
      <c r="C107" s="1244"/>
      <c r="D107" s="1244"/>
      <c r="E107" s="1246" t="s">
        <v>494</v>
      </c>
    </row>
    <row r="108" spans="1:5" ht="13.5" thickBot="1" x14ac:dyDescent="0.25">
      <c r="A108" s="1451" t="s">
        <v>520</v>
      </c>
      <c r="B108" s="1454" t="s">
        <v>969</v>
      </c>
      <c r="C108" s="1455"/>
      <c r="D108" s="1455"/>
      <c r="E108" s="1456"/>
    </row>
    <row r="109" spans="1:5" ht="13.5" thickBot="1" x14ac:dyDescent="0.25">
      <c r="A109" s="1452"/>
      <c r="B109" s="1457" t="str">
        <f>B88</f>
        <v>A projektre jóváhagyott összes
 bevétel, kiadás</v>
      </c>
      <c r="C109" s="1460" t="s">
        <v>970</v>
      </c>
      <c r="D109" s="1461"/>
      <c r="E109" s="1462"/>
    </row>
    <row r="110" spans="1:5" ht="12.75" customHeight="1" x14ac:dyDescent="0.2">
      <c r="A110" s="1452"/>
      <c r="B110" s="1458"/>
      <c r="C110" s="1457" t="str">
        <f>CONCATENATE(ALAPADATOK!$D$7," előttre ütemezett bevétel, kiadás")</f>
        <v>2022. előttre ütemezett bevétel, kiadás</v>
      </c>
      <c r="D110" s="1457" t="str">
        <f>CONCATENATE(ALAPADATOK!$D$7," évre ütemezett bevétel, kiadás")</f>
        <v>2022. évre ütemezett bevétel, kiadás</v>
      </c>
      <c r="E110" s="1457" t="str">
        <f>CONCATENATE(ALAPADATOK!$D$7," utánra ütemezett bevétel, kiadás")</f>
        <v>2022. utánra ütemezett bevétel, kiadás</v>
      </c>
    </row>
    <row r="111" spans="1:5" ht="13.5" thickBot="1" x14ac:dyDescent="0.25">
      <c r="A111" s="1453"/>
      <c r="B111" s="1459"/>
      <c r="C111" s="1463"/>
      <c r="D111" s="1463"/>
      <c r="E111" s="1464"/>
    </row>
    <row r="112" spans="1:5" ht="13.5" thickBot="1" x14ac:dyDescent="0.25">
      <c r="A112" s="1247" t="s">
        <v>385</v>
      </c>
      <c r="B112" s="1248" t="s">
        <v>971</v>
      </c>
      <c r="C112" s="1249" t="s">
        <v>387</v>
      </c>
      <c r="D112" s="1245" t="s">
        <v>437</v>
      </c>
      <c r="E112" s="1250" t="s">
        <v>438</v>
      </c>
    </row>
    <row r="113" spans="1:5" x14ac:dyDescent="0.2">
      <c r="A113" s="1251" t="s">
        <v>521</v>
      </c>
      <c r="B113" s="1261">
        <f>C113+D113+E113</f>
        <v>8600</v>
      </c>
      <c r="C113" s="1262">
        <v>3600</v>
      </c>
      <c r="D113" s="1262">
        <v>5000</v>
      </c>
      <c r="E113" s="1263"/>
    </row>
    <row r="114" spans="1:5" x14ac:dyDescent="0.2">
      <c r="A114" s="1252" t="s">
        <v>522</v>
      </c>
      <c r="B114" s="1264">
        <f>C114+D114+E114</f>
        <v>0</v>
      </c>
      <c r="C114" s="1265"/>
      <c r="D114" s="1265"/>
      <c r="E114" s="1265"/>
    </row>
    <row r="115" spans="1:5" x14ac:dyDescent="0.2">
      <c r="A115" s="1253" t="s">
        <v>973</v>
      </c>
      <c r="B115" s="1266">
        <f>C115+D115+E115</f>
        <v>230195216</v>
      </c>
      <c r="C115" s="1267">
        <v>230195216</v>
      </c>
      <c r="D115" s="1267"/>
      <c r="E115" s="1267"/>
    </row>
    <row r="116" spans="1:5" x14ac:dyDescent="0.2">
      <c r="A116" s="1253" t="s">
        <v>109</v>
      </c>
      <c r="B116" s="1266">
        <f>C116+D116+E116</f>
        <v>0</v>
      </c>
      <c r="C116" s="1267"/>
      <c r="D116" s="1267"/>
      <c r="E116" s="1267"/>
    </row>
    <row r="117" spans="1:5" ht="13.5" thickBot="1" x14ac:dyDescent="0.25">
      <c r="A117" s="1253" t="s">
        <v>523</v>
      </c>
      <c r="B117" s="1266">
        <f>C117+D117+E117</f>
        <v>0</v>
      </c>
      <c r="C117" s="1267"/>
      <c r="D117" s="1267"/>
      <c r="E117" s="1267"/>
    </row>
    <row r="118" spans="1:5" ht="13.5" thickBot="1" x14ac:dyDescent="0.25">
      <c r="A118" s="1254" t="s">
        <v>524</v>
      </c>
      <c r="B118" s="1268">
        <f>B113+SUM(B115:B117)</f>
        <v>230203816</v>
      </c>
      <c r="C118" s="1268">
        <f>C113+SUM(C115:C117)</f>
        <v>230198816</v>
      </c>
      <c r="D118" s="1268">
        <f>D113+SUM(D115:D117)</f>
        <v>5000</v>
      </c>
      <c r="E118" s="1269">
        <f>E113+SUM(E115:E117)</f>
        <v>0</v>
      </c>
    </row>
    <row r="119" spans="1:5" x14ac:dyDescent="0.2">
      <c r="A119" s="1255" t="s">
        <v>525</v>
      </c>
      <c r="B119" s="1261">
        <f>C119+D119+E119</f>
        <v>0</v>
      </c>
      <c r="C119" s="1262"/>
      <c r="D119" s="1262"/>
      <c r="E119" s="1263"/>
    </row>
    <row r="120" spans="1:5" x14ac:dyDescent="0.2">
      <c r="A120" s="1256" t="s">
        <v>526</v>
      </c>
      <c r="B120" s="1266">
        <f>C120+D120+E120</f>
        <v>227538416</v>
      </c>
      <c r="C120" s="1267">
        <f>6731000+220807416</f>
        <v>227538416</v>
      </c>
      <c r="D120" s="1267"/>
      <c r="E120" s="1267"/>
    </row>
    <row r="121" spans="1:5" x14ac:dyDescent="0.2">
      <c r="A121" s="1256" t="s">
        <v>527</v>
      </c>
      <c r="B121" s="1266">
        <f>C121+D121+E121</f>
        <v>2665400</v>
      </c>
      <c r="C121" s="1267">
        <f>2286630+3600</f>
        <v>2290230</v>
      </c>
      <c r="D121" s="1267">
        <v>375170</v>
      </c>
      <c r="E121" s="1267"/>
    </row>
    <row r="122" spans="1:5" x14ac:dyDescent="0.2">
      <c r="A122" s="1256" t="s">
        <v>528</v>
      </c>
      <c r="B122" s="1266">
        <f>C122+D122+E122</f>
        <v>0</v>
      </c>
      <c r="C122" s="1267"/>
      <c r="D122" s="1267"/>
      <c r="E122" s="1267"/>
    </row>
    <row r="123" spans="1:5" ht="13.5" thickBot="1" x14ac:dyDescent="0.25">
      <c r="A123" s="1257"/>
      <c r="B123" s="1270">
        <f>C123+D123+E123</f>
        <v>0</v>
      </c>
      <c r="C123" s="1271"/>
      <c r="D123" s="1271"/>
      <c r="E123" s="1272"/>
    </row>
    <row r="124" spans="1:5" ht="13.5" thickBot="1" x14ac:dyDescent="0.25">
      <c r="A124" s="1258" t="s">
        <v>97</v>
      </c>
      <c r="B124" s="1268">
        <f>SUM(B119:B123)</f>
        <v>230203816</v>
      </c>
      <c r="C124" s="1268">
        <f>SUM(C119:C123)</f>
        <v>229828646</v>
      </c>
      <c r="D124" s="1268">
        <f>SUM(D119:D123)</f>
        <v>375170</v>
      </c>
      <c r="E124" s="1269">
        <f>SUM(E119:E123)</f>
        <v>0</v>
      </c>
    </row>
    <row r="125" spans="1:5" x14ac:dyDescent="0.2">
      <c r="A125" s="1260"/>
      <c r="B125" s="1260"/>
      <c r="C125" s="1260"/>
      <c r="D125" s="1260"/>
      <c r="E125" s="1260"/>
    </row>
    <row r="126" spans="1:5" ht="14.25" x14ac:dyDescent="0.2">
      <c r="A126" s="1466" t="s">
        <v>983</v>
      </c>
      <c r="B126" s="1466"/>
      <c r="C126" s="1466"/>
      <c r="D126" s="1466"/>
      <c r="E126" s="1466"/>
    </row>
    <row r="127" spans="1:5" ht="15.75" thickBot="1" x14ac:dyDescent="0.25">
      <c r="A127" s="1244"/>
      <c r="B127" s="1244"/>
      <c r="C127" s="1244"/>
      <c r="D127" s="1244"/>
      <c r="E127" s="1246" t="s">
        <v>494</v>
      </c>
    </row>
    <row r="128" spans="1:5" ht="13.5" thickBot="1" x14ac:dyDescent="0.25">
      <c r="A128" s="1451" t="s">
        <v>520</v>
      </c>
      <c r="B128" s="1454" t="s">
        <v>969</v>
      </c>
      <c r="C128" s="1455"/>
      <c r="D128" s="1455"/>
      <c r="E128" s="1456"/>
    </row>
    <row r="129" spans="1:5" ht="13.5" thickBot="1" x14ac:dyDescent="0.25">
      <c r="A129" s="1452"/>
      <c r="B129" s="1457" t="str">
        <f>B109</f>
        <v>A projektre jóváhagyott összes
 bevétel, kiadás</v>
      </c>
      <c r="C129" s="1460" t="s">
        <v>970</v>
      </c>
      <c r="D129" s="1461"/>
      <c r="E129" s="1462"/>
    </row>
    <row r="130" spans="1:5" ht="12.75" customHeight="1" x14ac:dyDescent="0.2">
      <c r="A130" s="1452"/>
      <c r="B130" s="1458"/>
      <c r="C130" s="1457" t="str">
        <f>CONCATENATE(ALAPADATOK!$D$7," előttre ütemezett bevétel, kiadás")</f>
        <v>2022. előttre ütemezett bevétel, kiadás</v>
      </c>
      <c r="D130" s="1457" t="str">
        <f>CONCATENATE(ALAPADATOK!$D$7," évre ütemezett bevétel, kiadás")</f>
        <v>2022. évre ütemezett bevétel, kiadás</v>
      </c>
      <c r="E130" s="1457" t="str">
        <f>CONCATENATE(ALAPADATOK!$D$7," utánra ütemezett bevétel, kiadás")</f>
        <v>2022. utánra ütemezett bevétel, kiadás</v>
      </c>
    </row>
    <row r="131" spans="1:5" ht="13.5" thickBot="1" x14ac:dyDescent="0.25">
      <c r="A131" s="1453"/>
      <c r="B131" s="1459"/>
      <c r="C131" s="1463"/>
      <c r="D131" s="1463"/>
      <c r="E131" s="1464"/>
    </row>
    <row r="132" spans="1:5" ht="13.5" thickBot="1" x14ac:dyDescent="0.25">
      <c r="A132" s="1247" t="s">
        <v>385</v>
      </c>
      <c r="B132" s="1248" t="s">
        <v>971</v>
      </c>
      <c r="C132" s="1249" t="s">
        <v>387</v>
      </c>
      <c r="D132" s="1245" t="s">
        <v>437</v>
      </c>
      <c r="E132" s="1250" t="s">
        <v>438</v>
      </c>
    </row>
    <row r="133" spans="1:5" x14ac:dyDescent="0.2">
      <c r="A133" s="1251" t="s">
        <v>521</v>
      </c>
      <c r="B133" s="1261">
        <f>C133+D133+E133</f>
        <v>5647</v>
      </c>
      <c r="C133" s="1262"/>
      <c r="D133" s="1262">
        <f>5908-261</f>
        <v>5647</v>
      </c>
      <c r="E133" s="1263"/>
    </row>
    <row r="134" spans="1:5" x14ac:dyDescent="0.2">
      <c r="A134" s="1252" t="s">
        <v>522</v>
      </c>
      <c r="B134" s="1264">
        <f>C134+D134+E134</f>
        <v>0</v>
      </c>
      <c r="C134" s="1265"/>
      <c r="D134" s="1265"/>
      <c r="E134" s="1265"/>
    </row>
    <row r="135" spans="1:5" x14ac:dyDescent="0.2">
      <c r="A135" s="1253" t="s">
        <v>973</v>
      </c>
      <c r="B135" s="1266">
        <f>C135+D135+E135</f>
        <v>236673075</v>
      </c>
      <c r="C135" s="1267"/>
      <c r="D135" s="1267">
        <v>236673075</v>
      </c>
      <c r="E135" s="1267"/>
    </row>
    <row r="136" spans="1:5" x14ac:dyDescent="0.2">
      <c r="A136" s="1253" t="s">
        <v>109</v>
      </c>
      <c r="B136" s="1266">
        <f>C136+D136+E136</f>
        <v>0</v>
      </c>
      <c r="C136" s="1267"/>
      <c r="D136" s="1267"/>
      <c r="E136" s="1267"/>
    </row>
    <row r="137" spans="1:5" ht="13.5" thickBot="1" x14ac:dyDescent="0.25">
      <c r="A137" s="1253" t="s">
        <v>523</v>
      </c>
      <c r="B137" s="1266">
        <f>C137+D137+E137</f>
        <v>12456775</v>
      </c>
      <c r="C137" s="1267"/>
      <c r="D137" s="1267">
        <f>12456775-261+261</f>
        <v>12456775</v>
      </c>
      <c r="E137" s="1267"/>
    </row>
    <row r="138" spans="1:5" ht="13.5" thickBot="1" x14ac:dyDescent="0.25">
      <c r="A138" s="1254" t="s">
        <v>524</v>
      </c>
      <c r="B138" s="1268">
        <f>B133+SUM(B135:B137)</f>
        <v>249135497</v>
      </c>
      <c r="C138" s="1268">
        <f>C133+SUM(C135:C137)</f>
        <v>0</v>
      </c>
      <c r="D138" s="1268">
        <f>D133+SUM(D135:D137)</f>
        <v>249135497</v>
      </c>
      <c r="E138" s="1269">
        <f>E133+SUM(E135:E137)</f>
        <v>0</v>
      </c>
    </row>
    <row r="139" spans="1:5" x14ac:dyDescent="0.2">
      <c r="A139" s="1255" t="s">
        <v>525</v>
      </c>
      <c r="B139" s="1261">
        <f>C139+D139+E139</f>
        <v>0</v>
      </c>
      <c r="C139" s="1262"/>
      <c r="D139" s="1262"/>
      <c r="E139" s="1263"/>
    </row>
    <row r="140" spans="1:5" x14ac:dyDescent="0.2">
      <c r="A140" s="1256" t="s">
        <v>526</v>
      </c>
      <c r="B140" s="1266">
        <f>C140+D140+E140</f>
        <v>240415966</v>
      </c>
      <c r="C140" s="1267">
        <v>1245677</v>
      </c>
      <c r="D140" s="1267">
        <f>239164381+5908</f>
        <v>239170289</v>
      </c>
      <c r="E140" s="1267"/>
    </row>
    <row r="141" spans="1:5" x14ac:dyDescent="0.2">
      <c r="A141" s="1256" t="s">
        <v>527</v>
      </c>
      <c r="B141" s="1266">
        <f>C141+D141+E141</f>
        <v>8719531</v>
      </c>
      <c r="C141" s="1267"/>
      <c r="D141" s="1267">
        <v>8719531</v>
      </c>
      <c r="E141" s="1267"/>
    </row>
    <row r="142" spans="1:5" x14ac:dyDescent="0.2">
      <c r="A142" s="1256" t="s">
        <v>528</v>
      </c>
      <c r="B142" s="1266">
        <f>C142+D142+E142</f>
        <v>0</v>
      </c>
      <c r="C142" s="1267"/>
      <c r="D142" s="1267"/>
      <c r="E142" s="1267"/>
    </row>
    <row r="143" spans="1:5" ht="13.5" thickBot="1" x14ac:dyDescent="0.25">
      <c r="A143" s="1257"/>
      <c r="B143" s="1270">
        <f>C143+D143+E143</f>
        <v>0</v>
      </c>
      <c r="C143" s="1271"/>
      <c r="D143" s="1271"/>
      <c r="E143" s="1272"/>
    </row>
    <row r="144" spans="1:5" ht="13.5" thickBot="1" x14ac:dyDescent="0.25">
      <c r="A144" s="1258" t="s">
        <v>97</v>
      </c>
      <c r="B144" s="1268">
        <f>SUM(B139:B143)</f>
        <v>249135497</v>
      </c>
      <c r="C144" s="1268">
        <f>SUM(C139:C143)</f>
        <v>1245677</v>
      </c>
      <c r="D144" s="1268">
        <f>SUM(D139:D143)</f>
        <v>247889820</v>
      </c>
      <c r="E144" s="1269">
        <f>SUM(E139:E143)</f>
        <v>0</v>
      </c>
    </row>
    <row r="145" spans="1:5" x14ac:dyDescent="0.2">
      <c r="A145" s="1260"/>
      <c r="B145" s="1260"/>
      <c r="C145" s="1260"/>
      <c r="D145" s="1260"/>
      <c r="E145" s="1260"/>
    </row>
    <row r="146" spans="1:5" ht="14.25" x14ac:dyDescent="0.2">
      <c r="A146" s="1466" t="s">
        <v>1048</v>
      </c>
      <c r="B146" s="1466"/>
      <c r="C146" s="1466"/>
      <c r="D146" s="1466"/>
      <c r="E146" s="1466"/>
    </row>
    <row r="147" spans="1:5" ht="15.75" thickBot="1" x14ac:dyDescent="0.25">
      <c r="A147" s="1244"/>
      <c r="B147" s="1244"/>
      <c r="C147" s="1244"/>
      <c r="D147" s="1244"/>
      <c r="E147" s="1246" t="s">
        <v>494</v>
      </c>
    </row>
    <row r="148" spans="1:5" ht="13.5" thickBot="1" x14ac:dyDescent="0.25">
      <c r="A148" s="1451" t="s">
        <v>520</v>
      </c>
      <c r="B148" s="1454" t="s">
        <v>969</v>
      </c>
      <c r="C148" s="1455"/>
      <c r="D148" s="1455"/>
      <c r="E148" s="1456"/>
    </row>
    <row r="149" spans="1:5" ht="13.5" thickBot="1" x14ac:dyDescent="0.25">
      <c r="A149" s="1452"/>
      <c r="B149" s="1457" t="str">
        <f>B129</f>
        <v>A projektre jóváhagyott összes
 bevétel, kiadás</v>
      </c>
      <c r="C149" s="1460" t="s">
        <v>970</v>
      </c>
      <c r="D149" s="1461"/>
      <c r="E149" s="1462"/>
    </row>
    <row r="150" spans="1:5" x14ac:dyDescent="0.2">
      <c r="A150" s="1452"/>
      <c r="B150" s="1458"/>
      <c r="C150" s="1457" t="str">
        <f>CONCATENATE(ALAPADATOK!$D$7," előttre ütemezett bevétel, kiadás")</f>
        <v>2022. előttre ütemezett bevétel, kiadás</v>
      </c>
      <c r="D150" s="1457" t="str">
        <f>CONCATENATE(ALAPADATOK!$D$7," évre ütemezett bevétel, kiadás")</f>
        <v>2022. évre ütemezett bevétel, kiadás</v>
      </c>
      <c r="E150" s="1457" t="str">
        <f>CONCATENATE(ALAPADATOK!$D$7," utánra ütemezett bevétel, kiadás")</f>
        <v>2022. utánra ütemezett bevétel, kiadás</v>
      </c>
    </row>
    <row r="151" spans="1:5" ht="13.5" thickBot="1" x14ac:dyDescent="0.25">
      <c r="A151" s="1453"/>
      <c r="B151" s="1459"/>
      <c r="C151" s="1463"/>
      <c r="D151" s="1463"/>
      <c r="E151" s="1464"/>
    </row>
    <row r="152" spans="1:5" ht="13.5" thickBot="1" x14ac:dyDescent="0.25">
      <c r="A152" s="1247" t="s">
        <v>385</v>
      </c>
      <c r="B152" s="1248" t="s">
        <v>971</v>
      </c>
      <c r="C152" s="1249" t="s">
        <v>387</v>
      </c>
      <c r="D152" s="1245" t="s">
        <v>437</v>
      </c>
      <c r="E152" s="1250" t="s">
        <v>438</v>
      </c>
    </row>
    <row r="153" spans="1:5" x14ac:dyDescent="0.2">
      <c r="A153" s="1251" t="s">
        <v>521</v>
      </c>
      <c r="B153" s="1261">
        <f>C153+D153+E153</f>
        <v>0</v>
      </c>
      <c r="C153" s="1262"/>
      <c r="D153" s="1262"/>
      <c r="E153" s="1263"/>
    </row>
    <row r="154" spans="1:5" x14ac:dyDescent="0.2">
      <c r="A154" s="1252" t="s">
        <v>522</v>
      </c>
      <c r="B154" s="1264">
        <f>C154+D154+E154</f>
        <v>0</v>
      </c>
      <c r="C154" s="1265"/>
      <c r="D154" s="1265"/>
      <c r="E154" s="1265"/>
    </row>
    <row r="155" spans="1:5" x14ac:dyDescent="0.2">
      <c r="A155" s="1253" t="s">
        <v>973</v>
      </c>
      <c r="B155" s="1408">
        <f>C155+D155+E155</f>
        <v>174999035</v>
      </c>
      <c r="C155" s="1351"/>
      <c r="D155" s="1351">
        <v>174999035</v>
      </c>
      <c r="E155" s="1267"/>
    </row>
    <row r="156" spans="1:5" x14ac:dyDescent="0.2">
      <c r="A156" s="1253" t="s">
        <v>109</v>
      </c>
      <c r="B156" s="1408">
        <f>C156+D156+E156</f>
        <v>0</v>
      </c>
      <c r="C156" s="1351"/>
      <c r="D156" s="1351"/>
      <c r="E156" s="1267"/>
    </row>
    <row r="157" spans="1:5" ht="13.5" thickBot="1" x14ac:dyDescent="0.25">
      <c r="A157" s="1253" t="s">
        <v>523</v>
      </c>
      <c r="B157" s="1408">
        <f>C157+D157+E157</f>
        <v>0</v>
      </c>
      <c r="C157" s="1351"/>
      <c r="D157" s="1351"/>
      <c r="E157" s="1267"/>
    </row>
    <row r="158" spans="1:5" ht="13.5" thickBot="1" x14ac:dyDescent="0.25">
      <c r="A158" s="1254" t="s">
        <v>524</v>
      </c>
      <c r="B158" s="1410">
        <f>B153+SUM(B155:B157)</f>
        <v>174999035</v>
      </c>
      <c r="C158" s="1410">
        <f>C153+SUM(C155:C157)</f>
        <v>0</v>
      </c>
      <c r="D158" s="1410">
        <f>D153+SUM(D155:D157)</f>
        <v>174999035</v>
      </c>
      <c r="E158" s="1269">
        <f>E153+SUM(E155:E157)</f>
        <v>0</v>
      </c>
    </row>
    <row r="159" spans="1:5" x14ac:dyDescent="0.2">
      <c r="A159" s="1255" t="s">
        <v>525</v>
      </c>
      <c r="B159" s="1409">
        <f>C159+D159+E159</f>
        <v>1900001</v>
      </c>
      <c r="C159" s="1350"/>
      <c r="D159" s="1350">
        <f>1681417+218584</f>
        <v>1900001</v>
      </c>
      <c r="E159" s="1263"/>
    </row>
    <row r="160" spans="1:5" x14ac:dyDescent="0.2">
      <c r="A160" s="1256" t="s">
        <v>526</v>
      </c>
      <c r="B160" s="1408">
        <f>C160+D160+E160</f>
        <v>137436248</v>
      </c>
      <c r="C160" s="1351"/>
      <c r="D160" s="1351">
        <v>137436248</v>
      </c>
      <c r="E160" s="1267"/>
    </row>
    <row r="161" spans="1:5" x14ac:dyDescent="0.2">
      <c r="A161" s="1256" t="s">
        <v>527</v>
      </c>
      <c r="B161" s="1408">
        <f>C161+D161+E161</f>
        <v>35662786</v>
      </c>
      <c r="C161" s="1351"/>
      <c r="D161" s="1351">
        <v>35662786</v>
      </c>
      <c r="E161" s="1267"/>
    </row>
    <row r="162" spans="1:5" x14ac:dyDescent="0.2">
      <c r="A162" s="1256" t="s">
        <v>528</v>
      </c>
      <c r="B162" s="1408">
        <f>C162+D162+E162</f>
        <v>0</v>
      </c>
      <c r="C162" s="1351"/>
      <c r="D162" s="1351"/>
      <c r="E162" s="1267"/>
    </row>
    <row r="163" spans="1:5" ht="13.5" thickBot="1" x14ac:dyDescent="0.25">
      <c r="A163" s="1257"/>
      <c r="B163" s="1411">
        <f>C163+D163+E163</f>
        <v>0</v>
      </c>
      <c r="C163" s="1412"/>
      <c r="D163" s="1412"/>
      <c r="E163" s="1272"/>
    </row>
    <row r="164" spans="1:5" ht="13.5" thickBot="1" x14ac:dyDescent="0.25">
      <c r="A164" s="1258" t="s">
        <v>97</v>
      </c>
      <c r="B164" s="1410">
        <f>SUM(B159:B163)</f>
        <v>174999035</v>
      </c>
      <c r="C164" s="1410">
        <f>SUM(C159:C163)</f>
        <v>0</v>
      </c>
      <c r="D164" s="1410">
        <f>SUM(D159:D163)</f>
        <v>174999035</v>
      </c>
      <c r="E164" s="1269">
        <f>SUM(E159:E163)</f>
        <v>0</v>
      </c>
    </row>
  </sheetData>
  <mergeCells count="68">
    <mergeCell ref="A146:E146"/>
    <mergeCell ref="A148:A151"/>
    <mergeCell ref="B148:E148"/>
    <mergeCell ref="B149:B151"/>
    <mergeCell ref="C149:E149"/>
    <mergeCell ref="C150:C151"/>
    <mergeCell ref="D150:D151"/>
    <mergeCell ref="E150:E151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G155"/>
  <sheetViews>
    <sheetView zoomScale="115" zoomScaleNormal="115" zoomScaleSheetLayoutView="85" workbookViewId="0">
      <selection activeCell="I18" sqref="I18"/>
    </sheetView>
  </sheetViews>
  <sheetFormatPr defaultRowHeight="12.75" x14ac:dyDescent="0.2"/>
  <cols>
    <col min="1" max="1" width="19.5" style="752" customWidth="1"/>
    <col min="2" max="2" width="72" style="344" customWidth="1"/>
    <col min="3" max="3" width="25" style="315" customWidth="1"/>
    <col min="4" max="4" width="16.6640625" style="712" hidden="1" customWidth="1"/>
    <col min="5" max="5" width="11.83203125" style="712" hidden="1" customWidth="1"/>
    <col min="6" max="6" width="12" style="711" hidden="1" customWidth="1"/>
    <col min="7" max="16384" width="9.33203125" style="702"/>
  </cols>
  <sheetData>
    <row r="1" spans="1:7" x14ac:dyDescent="0.2">
      <c r="A1" s="1471" t="str">
        <f>CONCATENATE("10. melléklet"," ",ALAPADATOK!A7," ",ALAPADATOK!B7," ",ALAPADATOK!C7," ",ALAPADATOK!D7," ",ALAPADATOK!E7," ",ALAPADATOK!F7," ",ALAPADATOK!G7," ",ALAPADATOK!H7)</f>
        <v>10. melléklet a .. / 2022. ( …... ) önkormányzati rendelethez</v>
      </c>
      <c r="B1" s="1471"/>
      <c r="C1" s="1471"/>
    </row>
    <row r="2" spans="1:7" x14ac:dyDescent="0.2">
      <c r="A2" s="1105"/>
      <c r="B2" s="1105"/>
      <c r="C2" s="1338"/>
    </row>
    <row r="3" spans="1:7" s="1" customFormat="1" ht="16.5" customHeight="1" thickBot="1" x14ac:dyDescent="0.25">
      <c r="A3" s="1428" t="s">
        <v>896</v>
      </c>
      <c r="B3" s="1428"/>
      <c r="C3" s="1428"/>
      <c r="D3" s="712"/>
      <c r="E3" s="712"/>
      <c r="F3" s="711"/>
    </row>
    <row r="4" spans="1:7" ht="13.5" thickBot="1" x14ac:dyDescent="0.25">
      <c r="A4" s="175" t="s">
        <v>153</v>
      </c>
      <c r="B4" s="81" t="s">
        <v>50</v>
      </c>
      <c r="C4" s="156" t="s">
        <v>897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2"/>
      <c r="E5" s="712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2"/>
      <c r="E6" s="712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1992070340</v>
      </c>
      <c r="D7" s="338">
        <f>'15. sz. mell. Önk.'!C7+'16. sz. mell. Önk.'!C7</f>
        <v>1992070340</v>
      </c>
      <c r="E7" s="338">
        <f t="shared" ref="E7:E71" si="0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0"/>
        <v>0</v>
      </c>
      <c r="F8" s="337">
        <f t="shared" ref="F8:F72" si="1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1347">
        <f>296342550-3287300</f>
        <v>293055250</v>
      </c>
      <c r="D9" s="338">
        <f>'15. sz. mell. Önk.'!C9+'16. sz. mell. Önk.'!C9</f>
        <v>293055250</v>
      </c>
      <c r="E9" s="340">
        <f t="shared" si="0"/>
        <v>0</v>
      </c>
      <c r="F9" s="337">
        <f t="shared" si="1"/>
        <v>0</v>
      </c>
    </row>
    <row r="10" spans="1:7" s="39" customFormat="1" ht="12" customHeight="1" thickBot="1" x14ac:dyDescent="0.25">
      <c r="A10" s="199" t="s">
        <v>87</v>
      </c>
      <c r="B10" s="185" t="s">
        <v>720</v>
      </c>
      <c r="C10" s="1347">
        <f>SUM(C11:C12)</f>
        <v>1033629740</v>
      </c>
      <c r="D10" s="338">
        <f>'15. sz. mell. Önk.'!C10+'16. sz. mell. Önk.'!C10</f>
        <v>1033629740</v>
      </c>
      <c r="E10" s="340">
        <f t="shared" si="0"/>
        <v>0</v>
      </c>
      <c r="F10" s="337">
        <f t="shared" si="1"/>
        <v>0</v>
      </c>
      <c r="G10" s="1366"/>
    </row>
    <row r="11" spans="1:7" s="39" customFormat="1" ht="12" customHeight="1" thickBot="1" x14ac:dyDescent="0.25">
      <c r="A11" s="199" t="s">
        <v>718</v>
      </c>
      <c r="B11" s="185" t="s">
        <v>721</v>
      </c>
      <c r="C11" s="1347">
        <f>586051194+153930858+16247520</f>
        <v>756229572</v>
      </c>
      <c r="D11" s="338">
        <f>'15. sz. mell. Önk.'!C11+'16. sz. mell. Önk.'!C11</f>
        <v>756229572</v>
      </c>
      <c r="E11" s="340">
        <f t="shared" si="0"/>
        <v>0</v>
      </c>
      <c r="F11" s="337">
        <f t="shared" si="1"/>
        <v>0</v>
      </c>
    </row>
    <row r="12" spans="1:7" s="39" customFormat="1" ht="12" customHeight="1" thickBot="1" x14ac:dyDescent="0.25">
      <c r="A12" s="199" t="s">
        <v>719</v>
      </c>
      <c r="B12" s="185" t="s">
        <v>722</v>
      </c>
      <c r="C12" s="1347">
        <f>271004659+9943669-3548160</f>
        <v>277400168</v>
      </c>
      <c r="D12" s="338">
        <f>'15. sz. mell. Önk.'!C12+'16. sz. mell. Önk.'!C12</f>
        <v>277400168</v>
      </c>
      <c r="E12" s="340">
        <f t="shared" si="0"/>
        <v>0</v>
      </c>
      <c r="F12" s="337">
        <f t="shared" si="1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4">
        <f>41287119+1055000</f>
        <v>42342119</v>
      </c>
      <c r="D13" s="338">
        <f>'15. sz. mell. Önk.'!C13+'16. sz. mell. Önk.'!C13</f>
        <v>42342119</v>
      </c>
      <c r="E13" s="340">
        <f t="shared" si="0"/>
        <v>0</v>
      </c>
      <c r="F13" s="337">
        <f t="shared" si="1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4">
        <f>335081987-13275647</f>
        <v>321806340</v>
      </c>
      <c r="D14" s="338">
        <f>'15. sz. mell. Önk.'!C14+'16. sz. mell. Önk.'!C14</f>
        <v>321806340</v>
      </c>
      <c r="E14" s="340">
        <f t="shared" si="0"/>
        <v>0</v>
      </c>
      <c r="F14" s="337">
        <f t="shared" si="1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235"/>
      <c r="D15" s="338">
        <f>'15. sz. mell. Önk.'!C15+'16. sz. mell. Önk.'!C15</f>
        <v>0</v>
      </c>
      <c r="E15" s="341">
        <f t="shared" si="0"/>
        <v>0</v>
      </c>
      <c r="F15" s="337">
        <f t="shared" si="1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317866618</v>
      </c>
      <c r="D16" s="338">
        <f>'15. sz. mell. Önk.'!C16+'16. sz. mell. Önk.'!C16</f>
        <v>317866618</v>
      </c>
      <c r="E16" s="338">
        <f t="shared" si="0"/>
        <v>0</v>
      </c>
      <c r="F16" s="337">
        <f t="shared" si="1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36"/>
      <c r="D17" s="338">
        <f>'15. sz. mell. Önk.'!C17+'16. sz. mell. Önk.'!C17</f>
        <v>0</v>
      </c>
      <c r="E17" s="339">
        <f t="shared" si="0"/>
        <v>0</v>
      </c>
      <c r="F17" s="337">
        <f t="shared" si="1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35"/>
      <c r="D18" s="338">
        <f>'15. sz. mell. Önk.'!C18+'16. sz. mell. Önk.'!C18</f>
        <v>0</v>
      </c>
      <c r="E18" s="340">
        <f t="shared" si="0"/>
        <v>0</v>
      </c>
      <c r="F18" s="337">
        <f t="shared" si="1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35"/>
      <c r="D19" s="338">
        <f>'15. sz. mell. Önk.'!C19+'16. sz. mell. Önk.'!C19</f>
        <v>0</v>
      </c>
      <c r="E19" s="340">
        <f t="shared" si="0"/>
        <v>0</v>
      </c>
      <c r="F19" s="337">
        <f t="shared" si="1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35"/>
      <c r="D20" s="338">
        <f>'15. sz. mell. Önk.'!C20+'16. sz. mell. Önk.'!C20</f>
        <v>0</v>
      </c>
      <c r="E20" s="340">
        <f t="shared" si="0"/>
        <v>0</v>
      </c>
      <c r="F20" s="337">
        <f t="shared" si="1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353">
        <f>219593831+5000000+93272787</f>
        <v>317866618</v>
      </c>
      <c r="D21" s="338">
        <f>'15. sz. mell. Önk.'!C21+'16. sz. mell. Önk.'!C21</f>
        <v>317866618</v>
      </c>
      <c r="E21" s="340">
        <f t="shared" si="0"/>
        <v>0</v>
      </c>
      <c r="F21" s="337">
        <f t="shared" si="1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354">
        <f>56195378+37562787</f>
        <v>93758165</v>
      </c>
      <c r="D22" s="338">
        <f>'15. sz. mell. Önk.'!C22+'16. sz. mell. Önk.'!C22</f>
        <v>93758165</v>
      </c>
      <c r="E22" s="341">
        <f t="shared" si="0"/>
        <v>0</v>
      </c>
      <c r="F22" s="337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412548890</v>
      </c>
      <c r="D23" s="338">
        <f>'15. sz. mell. Önk.'!C23+'16. sz. mell. Önk.'!C23</f>
        <v>412548890</v>
      </c>
      <c r="E23" s="338">
        <f t="shared" si="0"/>
        <v>0</v>
      </c>
      <c r="F23" s="337">
        <f t="shared" si="1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40">
        <f>28773000</f>
        <v>28773000</v>
      </c>
      <c r="D24" s="338">
        <f>'15. sz. mell. Önk.'!C24+'16. sz. mell. Önk.'!C24</f>
        <v>28773000</v>
      </c>
      <c r="E24" s="339">
        <f t="shared" si="0"/>
        <v>0</v>
      </c>
      <c r="F24" s="337">
        <f t="shared" si="1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38"/>
      <c r="D25" s="338">
        <f>'15. sz. mell. Önk.'!C25+'16. sz. mell. Önk.'!C25</f>
        <v>0</v>
      </c>
      <c r="E25" s="340">
        <f t="shared" si="0"/>
        <v>0</v>
      </c>
      <c r="F25" s="337">
        <f t="shared" si="1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38"/>
      <c r="D26" s="338">
        <f>'15. sz. mell. Önk.'!C26+'16. sz. mell. Önk.'!C26</f>
        <v>0</v>
      </c>
      <c r="E26" s="340">
        <f t="shared" si="0"/>
        <v>0</v>
      </c>
      <c r="F26" s="337">
        <f t="shared" si="1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38"/>
      <c r="D27" s="338">
        <f>'15. sz. mell. Önk.'!C27+'16. sz. mell. Önk.'!C27</f>
        <v>0</v>
      </c>
      <c r="E27" s="340">
        <f t="shared" si="0"/>
        <v>0</v>
      </c>
      <c r="F27" s="337">
        <f t="shared" si="1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353">
        <f>242049642+141726248</f>
        <v>383775890</v>
      </c>
      <c r="D28" s="338">
        <f>'15. sz. mell. Önk.'!C28+'16. sz. mell. Önk.'!C28</f>
        <v>383775890</v>
      </c>
      <c r="E28" s="340">
        <f t="shared" si="0"/>
        <v>0</v>
      </c>
      <c r="F28" s="337">
        <f t="shared" si="1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354">
        <f>242049642+137436248</f>
        <v>379485890</v>
      </c>
      <c r="D29" s="338">
        <f>'15. sz. mell. Önk.'!C29+'16. sz. mell. Önk.'!C29</f>
        <v>379485890</v>
      </c>
      <c r="E29" s="341">
        <f t="shared" si="0"/>
        <v>0</v>
      </c>
      <c r="F29" s="337">
        <f t="shared" si="1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41">
        <f>+C31++C35+C36</f>
        <v>391355000</v>
      </c>
      <c r="D30" s="338">
        <f>'15. sz. mell. Önk.'!C30+'16. sz. mell. Önk.'!C30</f>
        <v>391355000</v>
      </c>
      <c r="E30" s="338">
        <f t="shared" si="0"/>
        <v>0</v>
      </c>
      <c r="F30" s="337">
        <f t="shared" si="1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13">
        <f>SUM(C32:C33)</f>
        <v>376555000</v>
      </c>
      <c r="D31" s="338">
        <f>'15. sz. mell. Önk.'!C31+'16. sz. mell. Önk.'!C31</f>
        <v>376555000</v>
      </c>
      <c r="E31" s="339">
        <f t="shared" si="0"/>
        <v>0</v>
      </c>
      <c r="F31" s="337">
        <f t="shared" si="1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35">
        <f>85000000+5500000</f>
        <v>90500000</v>
      </c>
      <c r="D32" s="338">
        <f>'15. sz. mell. Önk.'!C32+'16. sz. mell. Önk.'!C32</f>
        <v>90500000</v>
      </c>
      <c r="E32" s="340">
        <f t="shared" si="0"/>
        <v>0</v>
      </c>
      <c r="F32" s="337">
        <f t="shared" si="1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35">
        <f>286055000</f>
        <v>286055000</v>
      </c>
      <c r="D33" s="338">
        <f>'15. sz. mell. Önk.'!C33+'16. sz. mell. Önk.'!C33</f>
        <v>286055000</v>
      </c>
      <c r="E33" s="340">
        <f t="shared" si="0"/>
        <v>0</v>
      </c>
      <c r="F33" s="337">
        <f t="shared" si="1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38"/>
      <c r="D34" s="338">
        <f>'15. sz. mell. Önk.'!C34+'16. sz. mell. Önk.'!C34</f>
        <v>0</v>
      </c>
      <c r="E34" s="340">
        <f t="shared" si="0"/>
        <v>0</v>
      </c>
      <c r="F34" s="337">
        <f t="shared" si="1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35"/>
      <c r="D35" s="338">
        <f>'15. sz. mell. Önk.'!C35+'16. sz. mell. Önk.'!C35</f>
        <v>0</v>
      </c>
      <c r="E35" s="340">
        <f t="shared" si="0"/>
        <v>0</v>
      </c>
      <c r="F35" s="337">
        <f t="shared" si="1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39">
        <v>14800000</v>
      </c>
      <c r="D36" s="338">
        <f>'15. sz. mell. Önk.'!C36+'16. sz. mell. Önk.'!C36</f>
        <v>14800000</v>
      </c>
      <c r="E36" s="341">
        <f t="shared" si="0"/>
        <v>0</v>
      </c>
      <c r="F36" s="337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34">
        <f>SUM(C38:C48)</f>
        <v>65525769</v>
      </c>
      <c r="D37" s="338">
        <f>'15. sz. mell. Önk.'!C37+'16. sz. mell. Önk.'!C37</f>
        <v>65525769</v>
      </c>
      <c r="E37" s="338">
        <f t="shared" si="0"/>
        <v>0</v>
      </c>
      <c r="F37" s="337">
        <f t="shared" si="1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40"/>
      <c r="D38" s="338">
        <f>'15. sz. mell. Önk.'!C38+'16. sz. mell. Önk.'!C38</f>
        <v>0</v>
      </c>
      <c r="E38" s="339">
        <f t="shared" si="0"/>
        <v>0</v>
      </c>
      <c r="F38" s="337">
        <f t="shared" si="1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353">
        <f>13481102</f>
        <v>13481102</v>
      </c>
      <c r="D39" s="338">
        <f>'15. sz. mell. Önk.'!C39+'16. sz. mell. Önk.'!C39</f>
        <v>13481102</v>
      </c>
      <c r="E39" s="340">
        <f t="shared" si="0"/>
        <v>0</v>
      </c>
      <c r="F39" s="337">
        <f t="shared" si="1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353">
        <f>13152488+250000</f>
        <v>13402488</v>
      </c>
      <c r="D40" s="338">
        <f>'15. sz. mell. Önk.'!C40+'16. sz. mell. Önk.'!C40</f>
        <v>13402488</v>
      </c>
      <c r="E40" s="340">
        <f t="shared" si="0"/>
        <v>0</v>
      </c>
      <c r="F40" s="337">
        <f t="shared" si="1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38">
        <v>9500000</v>
      </c>
      <c r="D41" s="338">
        <f>'15. sz. mell. Önk.'!C41+'16. sz. mell. Önk.'!C41</f>
        <v>9500000</v>
      </c>
      <c r="E41" s="340">
        <f t="shared" si="0"/>
        <v>0</v>
      </c>
      <c r="F41" s="337">
        <f t="shared" si="1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38"/>
      <c r="D42" s="338">
        <f>'15. sz. mell. Önk.'!C42+'16. sz. mell. Önk.'!C42</f>
        <v>0</v>
      </c>
      <c r="E42" s="340">
        <f t="shared" si="0"/>
        <v>0</v>
      </c>
      <c r="F42" s="337">
        <f t="shared" si="1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353">
        <f>8508178+67500</f>
        <v>8575678</v>
      </c>
      <c r="D43" s="338">
        <f>'15. sz. mell. Önk.'!C43+'16. sz. mell. Önk.'!C43</f>
        <v>8575678</v>
      </c>
      <c r="E43" s="340">
        <f t="shared" si="0"/>
        <v>0</v>
      </c>
      <c r="F43" s="337">
        <f t="shared" si="1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38">
        <v>19458900</v>
      </c>
      <c r="D44" s="338">
        <f>'15. sz. mell. Önk.'!C44+'16. sz. mell. Önk.'!C44</f>
        <v>19458900</v>
      </c>
      <c r="E44" s="340">
        <f t="shared" si="0"/>
        <v>0</v>
      </c>
      <c r="F44" s="337">
        <f t="shared" si="1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38"/>
      <c r="D45" s="338">
        <f>'15. sz. mell. Önk.'!C45+'16. sz. mell. Önk.'!C45</f>
        <v>0</v>
      </c>
      <c r="E45" s="340">
        <f t="shared" si="0"/>
        <v>0</v>
      </c>
      <c r="F45" s="337">
        <f t="shared" si="1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38"/>
      <c r="D46" s="338">
        <f>'15. sz. mell. Önk.'!C46+'16. sz. mell. Önk.'!C46</f>
        <v>0</v>
      </c>
      <c r="E46" s="340">
        <f t="shared" si="0"/>
        <v>0</v>
      </c>
      <c r="F46" s="337">
        <f t="shared" si="1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39"/>
      <c r="D47" s="338">
        <f>'15. sz. mell. Önk.'!C47+'16. sz. mell. Önk.'!C47</f>
        <v>0</v>
      </c>
      <c r="E47" s="340">
        <f t="shared" si="0"/>
        <v>0</v>
      </c>
      <c r="F47" s="337">
        <f t="shared" si="1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39">
        <v>1107601</v>
      </c>
      <c r="D48" s="338">
        <f>'15. sz. mell. Önk.'!C48+'16. sz. mell. Önk.'!C48</f>
        <v>1107601</v>
      </c>
      <c r="E48" s="341">
        <f t="shared" si="0"/>
        <v>0</v>
      </c>
      <c r="F48" s="337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34">
        <f>SUM(C50:C54)</f>
        <v>48000000</v>
      </c>
      <c r="D49" s="338">
        <f>'15. sz. mell. Önk.'!C49+'16. sz. mell. Önk.'!C49</f>
        <v>48000000</v>
      </c>
      <c r="E49" s="338">
        <f t="shared" si="0"/>
        <v>0</v>
      </c>
      <c r="F49" s="337">
        <f t="shared" si="1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40"/>
      <c r="D50" s="338">
        <f>'15. sz. mell. Önk.'!C50+'16. sz. mell. Önk.'!C50</f>
        <v>0</v>
      </c>
      <c r="E50" s="339">
        <f t="shared" si="0"/>
        <v>0</v>
      </c>
      <c r="F50" s="337">
        <f t="shared" si="1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38">
        <v>48000000</v>
      </c>
      <c r="D51" s="338">
        <f>'15. sz. mell. Önk.'!C51+'16. sz. mell. Önk.'!C51</f>
        <v>48000000</v>
      </c>
      <c r="E51" s="340">
        <f t="shared" si="0"/>
        <v>0</v>
      </c>
      <c r="F51" s="337">
        <f t="shared" si="1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38"/>
      <c r="D52" s="338">
        <f>'15. sz. mell. Önk.'!C52+'16. sz. mell. Önk.'!C52</f>
        <v>0</v>
      </c>
      <c r="E52" s="340">
        <f t="shared" si="0"/>
        <v>0</v>
      </c>
      <c r="F52" s="337">
        <f t="shared" si="1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38"/>
      <c r="D53" s="338">
        <f>'15. sz. mell. Önk.'!C53+'16. sz. mell. Önk.'!C53</f>
        <v>0</v>
      </c>
      <c r="E53" s="340">
        <f t="shared" si="0"/>
        <v>0</v>
      </c>
      <c r="F53" s="337">
        <f t="shared" si="1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39"/>
      <c r="D54" s="338">
        <f>'15. sz. mell. Önk.'!C54+'16. sz. mell. Önk.'!C54</f>
        <v>0</v>
      </c>
      <c r="E54" s="341">
        <f t="shared" si="0"/>
        <v>0</v>
      </c>
      <c r="F54" s="337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34">
        <f>SUM(C56:C58)</f>
        <v>1200000</v>
      </c>
      <c r="D55" s="338">
        <f>'15. sz. mell. Önk.'!C55+'16. sz. mell. Önk.'!C55</f>
        <v>1200000</v>
      </c>
      <c r="E55" s="338">
        <f t="shared" si="0"/>
        <v>0</v>
      </c>
      <c r="F55" s="337">
        <f t="shared" si="1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36">
        <v>1000000</v>
      </c>
      <c r="D56" s="338">
        <f>'15. sz. mell. Önk.'!C56+'16. sz. mell. Önk.'!C56</f>
        <v>1000000</v>
      </c>
      <c r="E56" s="339">
        <f t="shared" si="0"/>
        <v>0</v>
      </c>
      <c r="F56" s="337">
        <f t="shared" si="1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38">
        <v>200000</v>
      </c>
      <c r="D57" s="338">
        <f>'15. sz. mell. Önk.'!C57+'16. sz. mell. Önk.'!C57</f>
        <v>200000</v>
      </c>
      <c r="E57" s="340">
        <f t="shared" si="0"/>
        <v>0</v>
      </c>
      <c r="F57" s="337">
        <f t="shared" si="1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38"/>
      <c r="D58" s="338">
        <f>'15. sz. mell. Önk.'!C58+'16. sz. mell. Önk.'!C58</f>
        <v>0</v>
      </c>
      <c r="E58" s="340">
        <f t="shared" si="0"/>
        <v>0</v>
      </c>
      <c r="F58" s="337">
        <f t="shared" si="1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37"/>
      <c r="D59" s="338">
        <f>'15. sz. mell. Önk.'!C59+'16. sz. mell. Önk.'!C59</f>
        <v>0</v>
      </c>
      <c r="E59" s="341">
        <f t="shared" si="0"/>
        <v>0</v>
      </c>
      <c r="F59" s="337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  <c r="D60" s="338">
        <f>'15. sz. mell. Önk.'!C60+'16. sz. mell. Önk.'!C60</f>
        <v>0</v>
      </c>
      <c r="E60" s="338">
        <f t="shared" si="0"/>
        <v>0</v>
      </c>
      <c r="F60" s="337">
        <f t="shared" si="1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38"/>
      <c r="D61" s="338">
        <f>'15. sz. mell. Önk.'!C61+'16. sz. mell. Önk.'!C61</f>
        <v>0</v>
      </c>
      <c r="E61" s="339">
        <f t="shared" si="0"/>
        <v>0</v>
      </c>
      <c r="F61" s="337">
        <f t="shared" si="1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38"/>
      <c r="D62" s="338">
        <f>'15. sz. mell. Önk.'!C62+'16. sz. mell. Önk.'!C62</f>
        <v>0</v>
      </c>
      <c r="E62" s="340">
        <f t="shared" si="0"/>
        <v>0</v>
      </c>
      <c r="F62" s="337">
        <f t="shared" si="1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38"/>
      <c r="D63" s="338">
        <f>'15. sz. mell. Önk.'!C63+'16. sz. mell. Önk.'!C63</f>
        <v>0</v>
      </c>
      <c r="E63" s="340">
        <f t="shared" si="0"/>
        <v>0</v>
      </c>
      <c r="F63" s="337">
        <f t="shared" si="1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38"/>
      <c r="D64" s="338">
        <f>'15. sz. mell. Önk.'!C64+'16. sz. mell. Önk.'!C64</f>
        <v>0</v>
      </c>
      <c r="E64" s="341">
        <f t="shared" si="0"/>
        <v>0</v>
      </c>
      <c r="F64" s="337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3228566617</v>
      </c>
      <c r="D65" s="338">
        <f>'15. sz. mell. Önk.'!C65+'16. sz. mell. Önk.'!C65</f>
        <v>3228566617</v>
      </c>
      <c r="E65" s="338">
        <f t="shared" si="0"/>
        <v>0</v>
      </c>
      <c r="F65" s="337">
        <f t="shared" si="1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34">
        <f>SUM(C67:C69)</f>
        <v>1187733250</v>
      </c>
      <c r="D66" s="338">
        <f>'15. sz. mell. Önk.'!C66+'16. sz. mell. Önk.'!C66</f>
        <v>1187733250</v>
      </c>
      <c r="E66" s="338">
        <f t="shared" si="0"/>
        <v>0</v>
      </c>
      <c r="F66" s="337">
        <f t="shared" si="1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38">
        <v>187733250</v>
      </c>
      <c r="D67" s="338">
        <f>'15. sz. mell. Önk.'!C67+'16. sz. mell. Önk.'!C67</f>
        <v>187733250</v>
      </c>
      <c r="E67" s="339">
        <f t="shared" si="0"/>
        <v>0</v>
      </c>
      <c r="F67" s="337">
        <f t="shared" si="1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38">
        <v>1000000000</v>
      </c>
      <c r="D68" s="338">
        <f>'15. sz. mell. Önk.'!C68+'16. sz. mell. Önk.'!C68</f>
        <v>1000000000</v>
      </c>
      <c r="E68" s="340">
        <f t="shared" si="0"/>
        <v>0</v>
      </c>
      <c r="F68" s="337">
        <f t="shared" si="1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38"/>
      <c r="D69" s="338">
        <f>'15. sz. mell. Önk.'!C69+'16. sz. mell. Önk.'!C69</f>
        <v>0</v>
      </c>
      <c r="E69" s="341">
        <f t="shared" si="0"/>
        <v>0</v>
      </c>
      <c r="F69" s="337">
        <f t="shared" si="1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  <c r="D70" s="338">
        <f>'15. sz. mell. Önk.'!C70+'16. sz. mell. Önk.'!C70</f>
        <v>0</v>
      </c>
      <c r="E70" s="338">
        <f t="shared" si="0"/>
        <v>0</v>
      </c>
      <c r="F70" s="337">
        <f t="shared" si="1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38"/>
      <c r="D71" s="338">
        <f>'15. sz. mell. Önk.'!C71+'16. sz. mell. Önk.'!C71</f>
        <v>0</v>
      </c>
      <c r="E71" s="339">
        <f t="shared" si="0"/>
        <v>0</v>
      </c>
      <c r="F71" s="337">
        <f t="shared" si="1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38"/>
      <c r="D72" s="338">
        <f>'15. sz. mell. Önk.'!C72+'16. sz. mell. Önk.'!C72</f>
        <v>0</v>
      </c>
      <c r="E72" s="340">
        <f t="shared" ref="E72:E90" si="2">C72-D72</f>
        <v>0</v>
      </c>
      <c r="F72" s="337">
        <f t="shared" si="1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38"/>
      <c r="D73" s="338">
        <f>'15. sz. mell. Önk.'!C73+'16. sz. mell. Önk.'!C73</f>
        <v>0</v>
      </c>
      <c r="E73" s="340">
        <f t="shared" si="2"/>
        <v>0</v>
      </c>
      <c r="F73" s="337">
        <f t="shared" ref="F73:F135" si="3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38"/>
      <c r="D74" s="338">
        <f>'15. sz. mell. Önk.'!C74+'16. sz. mell. Önk.'!C74</f>
        <v>0</v>
      </c>
      <c r="E74" s="341">
        <f t="shared" si="2"/>
        <v>0</v>
      </c>
      <c r="F74" s="337">
        <f t="shared" si="3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34">
        <f>SUM(C76:C77)</f>
        <v>2381931880</v>
      </c>
      <c r="D75" s="338">
        <f>'15. sz. mell. Önk.'!C75+'16. sz. mell. Önk.'!C75</f>
        <v>2381931880</v>
      </c>
      <c r="E75" s="338">
        <f t="shared" si="2"/>
        <v>0</v>
      </c>
      <c r="F75" s="337">
        <f t="shared" si="3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38">
        <v>2381931880</v>
      </c>
      <c r="D76" s="338">
        <f>'15. sz. mell. Önk.'!C76+'16. sz. mell. Önk.'!C76</f>
        <v>2381931880</v>
      </c>
      <c r="E76" s="339">
        <f t="shared" si="2"/>
        <v>0</v>
      </c>
      <c r="F76" s="337">
        <f t="shared" si="3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38"/>
      <c r="D77" s="338">
        <f>'15. sz. mell. Önk.'!C77+'16. sz. mell. Önk.'!C77</f>
        <v>0</v>
      </c>
      <c r="E77" s="341">
        <f t="shared" si="2"/>
        <v>0</v>
      </c>
      <c r="F77" s="337">
        <f t="shared" si="3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34">
        <f>SUM(C79:C81)</f>
        <v>55076107</v>
      </c>
      <c r="D78" s="338">
        <f>'15. sz. mell. Önk.'!C78+'16. sz. mell. Önk.'!C78</f>
        <v>55076107</v>
      </c>
      <c r="E78" s="338">
        <f t="shared" si="2"/>
        <v>0</v>
      </c>
      <c r="F78" s="337">
        <f t="shared" si="3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38">
        <v>55076107</v>
      </c>
      <c r="D79" s="338">
        <f>'15. sz. mell. Önk.'!C79+'16. sz. mell. Önk.'!C79</f>
        <v>55076107</v>
      </c>
      <c r="E79" s="339">
        <f t="shared" si="2"/>
        <v>0</v>
      </c>
      <c r="F79" s="337">
        <f t="shared" si="3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38"/>
      <c r="D80" s="338">
        <f>'15. sz. mell. Önk.'!C80+'16. sz. mell. Önk.'!C80</f>
        <v>0</v>
      </c>
      <c r="E80" s="340">
        <f t="shared" si="2"/>
        <v>0</v>
      </c>
      <c r="F80" s="337">
        <f t="shared" si="3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38"/>
      <c r="D81" s="338">
        <f>'15. sz. mell. Önk.'!C81+'16. sz. mell. Önk.'!C81</f>
        <v>0</v>
      </c>
      <c r="E81" s="341">
        <f t="shared" si="2"/>
        <v>0</v>
      </c>
      <c r="F81" s="337">
        <f t="shared" si="3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  <c r="D82" s="338">
        <f>'15. sz. mell. Önk.'!C82+'16. sz. mell. Önk.'!C82</f>
        <v>0</v>
      </c>
      <c r="E82" s="338">
        <f t="shared" si="2"/>
        <v>0</v>
      </c>
      <c r="F82" s="337">
        <f t="shared" si="3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38"/>
      <c r="D83" s="338">
        <f>'15. sz. mell. Önk.'!C83+'16. sz. mell. Önk.'!C83</f>
        <v>0</v>
      </c>
      <c r="E83" s="339">
        <f t="shared" si="2"/>
        <v>0</v>
      </c>
      <c r="F83" s="337">
        <f t="shared" si="3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38"/>
      <c r="D84" s="338">
        <f>'15. sz. mell. Önk.'!C84+'16. sz. mell. Önk.'!C84</f>
        <v>0</v>
      </c>
      <c r="E84" s="340">
        <f t="shared" si="2"/>
        <v>0</v>
      </c>
      <c r="F84" s="337">
        <f t="shared" si="3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38"/>
      <c r="D85" s="338">
        <f>'15. sz. mell. Önk.'!C85+'16. sz. mell. Önk.'!C85</f>
        <v>0</v>
      </c>
      <c r="E85" s="340">
        <f t="shared" si="2"/>
        <v>0</v>
      </c>
      <c r="F85" s="337">
        <f t="shared" si="3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38"/>
      <c r="D86" s="338">
        <f>'15. sz. mell. Önk.'!C86+'16. sz. mell. Önk.'!C86</f>
        <v>0</v>
      </c>
      <c r="E86" s="341">
        <f t="shared" si="2"/>
        <v>0</v>
      </c>
      <c r="F86" s="337">
        <f t="shared" si="3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42"/>
      <c r="D87" s="338">
        <f>'15. sz. mell. Önk.'!C87+'16. sz. mell. Önk.'!C87</f>
        <v>0</v>
      </c>
      <c r="E87" s="338">
        <f t="shared" si="2"/>
        <v>0</v>
      </c>
      <c r="F87" s="337">
        <f t="shared" si="3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42"/>
      <c r="D88" s="338">
        <f>'15. sz. mell. Önk.'!C88+'16. sz. mell. Önk.'!C88</f>
        <v>0</v>
      </c>
      <c r="E88" s="338">
        <f t="shared" si="2"/>
        <v>0</v>
      </c>
      <c r="F88" s="337">
        <f t="shared" si="3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3624741237</v>
      </c>
      <c r="D89" s="338">
        <f>'15. sz. mell. Önk.'!C89+'16. sz. mell. Önk.'!C89</f>
        <v>3624741237</v>
      </c>
      <c r="E89" s="338">
        <f t="shared" si="2"/>
        <v>0</v>
      </c>
      <c r="F89" s="337">
        <f t="shared" si="3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41">
        <f>+C65+C89</f>
        <v>6853307854</v>
      </c>
      <c r="D90" s="338">
        <f>'15. sz. mell. Önk.'!C90+'16. sz. mell. Önk.'!C90</f>
        <v>6853307854</v>
      </c>
      <c r="E90" s="338">
        <f t="shared" si="2"/>
        <v>0</v>
      </c>
      <c r="F90" s="337">
        <f t="shared" si="3"/>
        <v>0</v>
      </c>
    </row>
    <row r="91" spans="1:6" s="32" customFormat="1" ht="16.5" customHeight="1" thickBot="1" x14ac:dyDescent="0.25">
      <c r="A91" s="1474" t="s">
        <v>53</v>
      </c>
      <c r="B91" s="1475"/>
      <c r="C91" s="1476"/>
      <c r="D91" s="338">
        <f>'15. sz. mell. Önk.'!C91+'16. sz. mell. Önk.'!C91</f>
        <v>0</v>
      </c>
      <c r="E91" s="712"/>
      <c r="F91" s="337">
        <f t="shared" si="3"/>
        <v>0</v>
      </c>
    </row>
    <row r="92" spans="1:6" s="706" customFormat="1" ht="12" customHeight="1" thickBot="1" x14ac:dyDescent="0.25">
      <c r="A92" s="176" t="s">
        <v>16</v>
      </c>
      <c r="B92" s="23" t="s">
        <v>460</v>
      </c>
      <c r="C92" s="1211">
        <f>+C93+C94+C95+C96+C97+C110</f>
        <v>1146387294</v>
      </c>
      <c r="D92" s="338">
        <f>'15. sz. mell. Önk.'!C92+'16. sz. mell. Önk.'!C92</f>
        <v>1146387294</v>
      </c>
      <c r="E92" s="338">
        <f t="shared" ref="E92:E154" si="4">C92-D92</f>
        <v>0</v>
      </c>
      <c r="F92" s="337">
        <f t="shared" si="3"/>
        <v>0</v>
      </c>
    </row>
    <row r="93" spans="1:6" ht="12" customHeight="1" thickBot="1" x14ac:dyDescent="0.25">
      <c r="A93" s="206" t="s">
        <v>85</v>
      </c>
      <c r="B93" s="7" t="s">
        <v>46</v>
      </c>
      <c r="C93" s="1355">
        <f>58106090+15752-100399+180670-22379+33824641</f>
        <v>92004375</v>
      </c>
      <c r="D93" s="338">
        <f>'15. sz. mell. Önk.'!C93+'16. sz. mell. Önk.'!C93</f>
        <v>92004375</v>
      </c>
      <c r="E93" s="339">
        <f t="shared" si="4"/>
        <v>0</v>
      </c>
      <c r="F93" s="337">
        <f t="shared" si="3"/>
        <v>0</v>
      </c>
    </row>
    <row r="94" spans="1:6" ht="12" customHeight="1" thickBot="1" x14ac:dyDescent="0.25">
      <c r="A94" s="199" t="s">
        <v>86</v>
      </c>
      <c r="B94" s="5" t="s">
        <v>134</v>
      </c>
      <c r="C94" s="1353">
        <f>9537920-40892+44041+22379+3952321</f>
        <v>13515769</v>
      </c>
      <c r="D94" s="338">
        <f>'15. sz. mell. Önk.'!C94+'16. sz. mell. Önk.'!C94</f>
        <v>13515769</v>
      </c>
      <c r="E94" s="340">
        <f t="shared" si="4"/>
        <v>0</v>
      </c>
      <c r="F94" s="337">
        <f t="shared" si="3"/>
        <v>0</v>
      </c>
    </row>
    <row r="95" spans="1:6" ht="12" customHeight="1" thickBot="1" x14ac:dyDescent="0.25">
      <c r="A95" s="199" t="s">
        <v>87</v>
      </c>
      <c r="B95" s="5" t="s">
        <v>110</v>
      </c>
      <c r="C95" s="1354">
        <f>380566666+6810425+200566320-160000+5041097+5106449+4628988+57115687+44090</f>
        <v>659719722</v>
      </c>
      <c r="D95" s="338">
        <f>'15. sz. mell. Önk.'!C95+'16. sz. mell. Önk.'!C95</f>
        <v>659719722</v>
      </c>
      <c r="E95" s="340">
        <f t="shared" si="4"/>
        <v>0</v>
      </c>
      <c r="F95" s="337">
        <f t="shared" si="3"/>
        <v>0</v>
      </c>
    </row>
    <row r="96" spans="1:6" ht="12" customHeight="1" thickBot="1" x14ac:dyDescent="0.25">
      <c r="A96" s="199" t="s">
        <v>88</v>
      </c>
      <c r="B96" s="8" t="s">
        <v>135</v>
      </c>
      <c r="C96" s="1239">
        <f>43800000+1250000</f>
        <v>45050000</v>
      </c>
      <c r="D96" s="338">
        <f>'15. sz. mell. Önk.'!C96+'16. sz. mell. Önk.'!C96</f>
        <v>45050000</v>
      </c>
      <c r="E96" s="340">
        <f t="shared" si="4"/>
        <v>0</v>
      </c>
      <c r="F96" s="337">
        <f t="shared" si="3"/>
        <v>0</v>
      </c>
    </row>
    <row r="97" spans="1:6" ht="12" customHeight="1" thickBot="1" x14ac:dyDescent="0.25">
      <c r="A97" s="199" t="s">
        <v>99</v>
      </c>
      <c r="B97" s="16" t="s">
        <v>136</v>
      </c>
      <c r="C97" s="1354">
        <f>SUM(C98:C109)</f>
        <v>203073648</v>
      </c>
      <c r="D97" s="338">
        <f>'15. sz. mell. Önk.'!C97+'16. sz. mell. Önk.'!C97</f>
        <v>203073648</v>
      </c>
      <c r="E97" s="340">
        <f t="shared" si="4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354">
        <f>4353344+973615-973615</f>
        <v>4353344</v>
      </c>
      <c r="D98" s="338">
        <f>'15. sz. mell. Önk.'!C98+'16. sz. mell. Önk.'!C98</f>
        <v>4353344</v>
      </c>
      <c r="E98" s="340">
        <f t="shared" si="4"/>
        <v>0</v>
      </c>
      <c r="F98" s="337">
        <f t="shared" si="3"/>
        <v>0</v>
      </c>
    </row>
    <row r="99" spans="1:6" ht="12" customHeight="1" thickBot="1" x14ac:dyDescent="0.25">
      <c r="A99" s="199" t="s">
        <v>90</v>
      </c>
      <c r="B99" s="58" t="s">
        <v>400</v>
      </c>
      <c r="C99" s="1239">
        <v>5091319</v>
      </c>
      <c r="D99" s="338">
        <f>'15. sz. mell. Önk.'!C99+'16. sz. mell. Önk.'!C99</f>
        <v>5091319</v>
      </c>
      <c r="E99" s="340">
        <f t="shared" si="4"/>
        <v>0</v>
      </c>
      <c r="F99" s="337">
        <f t="shared" si="3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39"/>
      <c r="D100" s="338">
        <f>'15. sz. mell. Önk.'!C100+'16. sz. mell. Önk.'!C100</f>
        <v>0</v>
      </c>
      <c r="E100" s="340">
        <f t="shared" si="4"/>
        <v>0</v>
      </c>
      <c r="F100" s="337">
        <f t="shared" si="3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39"/>
      <c r="D101" s="338">
        <f>'15. sz. mell. Önk.'!C101+'16. sz. mell. Önk.'!C101</f>
        <v>0</v>
      </c>
      <c r="E101" s="340">
        <f t="shared" si="4"/>
        <v>0</v>
      </c>
      <c r="F101" s="337">
        <f t="shared" si="3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39"/>
      <c r="D102" s="338">
        <f>'15. sz. mell. Önk.'!C102+'16. sz. mell. Önk.'!C102</f>
        <v>0</v>
      </c>
      <c r="E102" s="340">
        <f t="shared" si="4"/>
        <v>0</v>
      </c>
      <c r="F102" s="337">
        <f t="shared" si="3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39"/>
      <c r="D103" s="338">
        <f>'15. sz. mell. Önk.'!C103+'16. sz. mell. Önk.'!C103</f>
        <v>0</v>
      </c>
      <c r="E103" s="340">
        <f t="shared" si="4"/>
        <v>0</v>
      </c>
      <c r="F103" s="337">
        <f t="shared" si="3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354">
        <f>636000+457259+175125</f>
        <v>1268384</v>
      </c>
      <c r="D104" s="338">
        <f>'15. sz. mell. Önk.'!C104+'16. sz. mell. Önk.'!C104</f>
        <v>1268384</v>
      </c>
      <c r="E104" s="340">
        <f t="shared" si="4"/>
        <v>0</v>
      </c>
      <c r="F104" s="337">
        <f t="shared" si="3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39"/>
      <c r="D105" s="338">
        <f>'15. sz. mell. Önk.'!C105+'16. sz. mell. Önk.'!C105</f>
        <v>0</v>
      </c>
      <c r="E105" s="340">
        <f t="shared" si="4"/>
        <v>0</v>
      </c>
      <c r="F105" s="337">
        <f t="shared" si="3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39"/>
      <c r="D106" s="338">
        <f>'15. sz. mell. Önk.'!C106+'16. sz. mell. Önk.'!C106</f>
        <v>0</v>
      </c>
      <c r="E106" s="340">
        <f t="shared" si="4"/>
        <v>0</v>
      </c>
      <c r="F106" s="337">
        <f t="shared" si="3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39"/>
      <c r="D107" s="338">
        <f>'15. sz. mell. Önk.'!C107+'16. sz. mell. Önk.'!C107</f>
        <v>0</v>
      </c>
      <c r="E107" s="340">
        <f t="shared" si="4"/>
        <v>0</v>
      </c>
      <c r="F107" s="337">
        <f t="shared" si="3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39"/>
      <c r="D108" s="338">
        <f>'15. sz. mell. Önk.'!C108+'16. sz. mell. Önk.'!C108</f>
        <v>0</v>
      </c>
      <c r="E108" s="340">
        <f t="shared" si="4"/>
        <v>0</v>
      </c>
      <c r="F108" s="337">
        <f t="shared" si="3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353">
        <f>190604229+234570-150000+1671802</f>
        <v>192360601</v>
      </c>
      <c r="D109" s="338">
        <f>'15. sz. mell. Önk.'!C109+'16. sz. mell. Önk.'!C109</f>
        <v>192360601</v>
      </c>
      <c r="E109" s="340">
        <f t="shared" si="4"/>
        <v>0</v>
      </c>
      <c r="F109" s="337">
        <f t="shared" si="3"/>
        <v>0</v>
      </c>
    </row>
    <row r="110" spans="1:6" ht="12" customHeight="1" thickBot="1" x14ac:dyDescent="0.25">
      <c r="A110" s="199" t="s">
        <v>404</v>
      </c>
      <c r="B110" s="8" t="s">
        <v>47</v>
      </c>
      <c r="C110" s="1353">
        <f>SUM(C111:C112)</f>
        <v>133023780</v>
      </c>
      <c r="D110" s="338">
        <f>'15. sz. mell. Önk.'!C110+'16. sz. mell. Önk.'!C110</f>
        <v>133023780</v>
      </c>
      <c r="E110" s="340">
        <f t="shared" si="4"/>
        <v>0</v>
      </c>
      <c r="F110" s="337">
        <f t="shared" si="3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54">
        <f>10000000+2761613+2341692-1769228+5286934</f>
        <v>18621011</v>
      </c>
      <c r="D111" s="338">
        <f>'15. sz. mell. Önk.'!C111+'16. sz. mell. Önk.'!C111</f>
        <v>18621011</v>
      </c>
      <c r="E111" s="340">
        <f t="shared" si="4"/>
        <v>0</v>
      </c>
      <c r="F111" s="337">
        <f t="shared" si="3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1413">
        <f>120420513-108134-3989610-1920000</f>
        <v>114402769</v>
      </c>
      <c r="D112" s="338">
        <f>'15. sz. mell. Önk.'!C112+'16. sz. mell. Önk.'!C112</f>
        <v>114402769</v>
      </c>
      <c r="E112" s="341">
        <f t="shared" si="4"/>
        <v>0</v>
      </c>
      <c r="F112" s="337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34">
        <f>+C114+C116+C118</f>
        <v>2766320797</v>
      </c>
      <c r="D113" s="338">
        <f>'15. sz. mell. Önk.'!C113+'16. sz. mell. Önk.'!C113</f>
        <v>2766320797</v>
      </c>
      <c r="E113" s="338">
        <f t="shared" si="4"/>
        <v>0</v>
      </c>
      <c r="F113" s="337">
        <f t="shared" si="3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52">
        <f>700117222-30445-757432+14764078+141518863</f>
        <v>855612286</v>
      </c>
      <c r="D114" s="338">
        <f>'15. sz. mell. Önk.'!C114+'16. sz. mell. Önk.'!C114</f>
        <v>855612286</v>
      </c>
      <c r="E114" s="339">
        <f t="shared" si="4"/>
        <v>0</v>
      </c>
      <c r="F114" s="337">
        <f t="shared" si="3"/>
        <v>0</v>
      </c>
    </row>
    <row r="115" spans="1:6" ht="12" customHeight="1" thickBot="1" x14ac:dyDescent="0.25">
      <c r="A115" s="198" t="s">
        <v>92</v>
      </c>
      <c r="B115" s="9" t="s">
        <v>297</v>
      </c>
      <c r="C115" s="1352">
        <f>224124925+137436248</f>
        <v>361561173</v>
      </c>
      <c r="D115" s="338">
        <f>'15. sz. mell. Önk.'!C115+'16. sz. mell. Önk.'!C115</f>
        <v>361561173</v>
      </c>
      <c r="E115" s="340">
        <f t="shared" si="4"/>
        <v>0</v>
      </c>
      <c r="F115" s="337">
        <f t="shared" si="3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53">
        <f>1934218597-8470273+588237-19331097+607385-44090</f>
        <v>1907568759</v>
      </c>
      <c r="D116" s="338">
        <f>'15. sz. mell. Önk.'!C116+'16. sz. mell. Önk.'!C116</f>
        <v>1907568759</v>
      </c>
      <c r="E116" s="340">
        <f t="shared" si="4"/>
        <v>0</v>
      </c>
      <c r="F116" s="337">
        <f t="shared" si="3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38">
        <v>399460471</v>
      </c>
      <c r="D117" s="338">
        <f>'15. sz. mell. Önk.'!C117+'16. sz. mell. Önk.'!C117</f>
        <v>399460471</v>
      </c>
      <c r="E117" s="340">
        <f t="shared" si="4"/>
        <v>0</v>
      </c>
      <c r="F117" s="337">
        <f t="shared" si="3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353">
        <f>SUM(C119:C126)</f>
        <v>3139752</v>
      </c>
      <c r="D118" s="338">
        <f>'15. sz. mell. Önk.'!C118+'16. sz. mell. Önk.'!C118</f>
        <v>3139752</v>
      </c>
      <c r="E118" s="340">
        <f t="shared" si="4"/>
        <v>0</v>
      </c>
      <c r="F118" s="337">
        <f t="shared" si="3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35"/>
      <c r="D119" s="338">
        <f>'15. sz. mell. Önk.'!C119+'16. sz. mell. Önk.'!C119</f>
        <v>0</v>
      </c>
      <c r="E119" s="340">
        <f t="shared" si="4"/>
        <v>0</v>
      </c>
      <c r="F119" s="337">
        <f t="shared" si="3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35"/>
      <c r="D120" s="338">
        <f>'15. sz. mell. Önk.'!C120+'16. sz. mell. Önk.'!C120</f>
        <v>0</v>
      </c>
      <c r="E120" s="340">
        <f t="shared" si="4"/>
        <v>0</v>
      </c>
      <c r="F120" s="337">
        <f t="shared" si="3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35"/>
      <c r="D121" s="338">
        <f>'15. sz. mell. Önk.'!C121+'16. sz. mell. Önk.'!C121</f>
        <v>0</v>
      </c>
      <c r="E121" s="340">
        <f t="shared" si="4"/>
        <v>0</v>
      </c>
      <c r="F121" s="337">
        <f t="shared" si="3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353">
        <v>798660</v>
      </c>
      <c r="D122" s="338">
        <f>'15. sz. mell. Önk.'!C122+'16. sz. mell. Önk.'!C122</f>
        <v>798660</v>
      </c>
      <c r="E122" s="340">
        <f t="shared" si="4"/>
        <v>0</v>
      </c>
      <c r="F122" s="337">
        <f t="shared" si="3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35"/>
      <c r="D123" s="338">
        <f>'15. sz. mell. Önk.'!C123+'16. sz. mell. Önk.'!C123</f>
        <v>0</v>
      </c>
      <c r="E123" s="340">
        <f t="shared" si="4"/>
        <v>0</v>
      </c>
      <c r="F123" s="337">
        <f t="shared" si="3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35"/>
      <c r="D124" s="338">
        <f>'15. sz. mell. Önk.'!C124+'16. sz. mell. Önk.'!C124</f>
        <v>0</v>
      </c>
      <c r="E124" s="340">
        <f t="shared" si="4"/>
        <v>0</v>
      </c>
      <c r="F124" s="337">
        <f t="shared" si="3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35"/>
      <c r="D125" s="338">
        <f>'15. sz. mell. Önk.'!C125+'16. sz. mell. Önk.'!C125</f>
        <v>0</v>
      </c>
      <c r="E125" s="340">
        <f t="shared" si="4"/>
        <v>0</v>
      </c>
      <c r="F125" s="337">
        <f t="shared" si="3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354">
        <f>1423277+150000+767815</f>
        <v>2341092</v>
      </c>
      <c r="D126" s="338">
        <f>'15. sz. mell. Önk.'!C126+'16. sz. mell. Önk.'!C126</f>
        <v>2341092</v>
      </c>
      <c r="E126" s="341">
        <f t="shared" si="4"/>
        <v>0</v>
      </c>
      <c r="F126" s="337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34">
        <f>+C92+C113</f>
        <v>3912708091</v>
      </c>
      <c r="D127" s="338">
        <f>'15. sz. mell. Önk.'!C127+'16. sz. mell. Önk.'!C127</f>
        <v>3912708091</v>
      </c>
      <c r="E127" s="338">
        <f t="shared" si="4"/>
        <v>0</v>
      </c>
      <c r="F127" s="337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34">
        <f>+C129+C130+C131</f>
        <v>1022728296</v>
      </c>
      <c r="D128" s="338">
        <f>'15. sz. mell. Önk.'!C128+'16. sz. mell. Önk.'!C128</f>
        <v>1022728296</v>
      </c>
      <c r="E128" s="338">
        <f t="shared" si="4"/>
        <v>0</v>
      </c>
      <c r="F128" s="337">
        <f t="shared" si="3"/>
        <v>0</v>
      </c>
    </row>
    <row r="129" spans="1:7" s="706" customFormat="1" ht="12" customHeight="1" thickBot="1" x14ac:dyDescent="0.25">
      <c r="A129" s="198" t="s">
        <v>195</v>
      </c>
      <c r="B129" s="6" t="s">
        <v>454</v>
      </c>
      <c r="C129" s="1238">
        <v>22728296</v>
      </c>
      <c r="D129" s="338">
        <f>'15. sz. mell. Önk.'!C129+'16. sz. mell. Önk.'!C129</f>
        <v>22728296</v>
      </c>
      <c r="E129" s="339">
        <f t="shared" si="4"/>
        <v>0</v>
      </c>
      <c r="F129" s="337">
        <f t="shared" si="3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38">
        <v>1000000000</v>
      </c>
      <c r="D130" s="338">
        <f>'15. sz. mell. Önk.'!C130+'16. sz. mell. Önk.'!C130</f>
        <v>1000000000</v>
      </c>
      <c r="E130" s="340">
        <f t="shared" si="4"/>
        <v>0</v>
      </c>
      <c r="F130" s="337">
        <f t="shared" si="3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35"/>
      <c r="D131" s="338">
        <f>'15. sz. mell. Önk.'!C131+'16. sz. mell. Önk.'!C131</f>
        <v>0</v>
      </c>
      <c r="E131" s="341">
        <f t="shared" si="4"/>
        <v>0</v>
      </c>
      <c r="F131" s="337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34">
        <f>+C133+C134+C135+C136+C137+C138</f>
        <v>0</v>
      </c>
      <c r="D132" s="338">
        <f>'15. sz. mell. Önk.'!C132+'16. sz. mell. Önk.'!C132</f>
        <v>0</v>
      </c>
      <c r="E132" s="338">
        <f t="shared" si="4"/>
        <v>0</v>
      </c>
      <c r="F132" s="337">
        <f t="shared" si="3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35"/>
      <c r="D133" s="338">
        <f>'15. sz. mell. Önk.'!C133+'16. sz. mell. Önk.'!C133</f>
        <v>0</v>
      </c>
      <c r="E133" s="339">
        <f t="shared" si="4"/>
        <v>0</v>
      </c>
      <c r="F133" s="337">
        <f t="shared" si="3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35"/>
      <c r="D134" s="338">
        <f>'15. sz. mell. Önk.'!C134+'16. sz. mell. Önk.'!C134</f>
        <v>0</v>
      </c>
      <c r="E134" s="340">
        <f t="shared" si="4"/>
        <v>0</v>
      </c>
      <c r="F134" s="337">
        <f t="shared" si="3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35"/>
      <c r="D135" s="338">
        <f>'15. sz. mell. Önk.'!C135+'16. sz. mell. Önk.'!C135</f>
        <v>0</v>
      </c>
      <c r="E135" s="340">
        <f t="shared" si="4"/>
        <v>0</v>
      </c>
      <c r="F135" s="337">
        <f t="shared" si="3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35"/>
      <c r="D136" s="338">
        <f>'15. sz. mell. Önk.'!C136+'16. sz. mell. Önk.'!C136</f>
        <v>0</v>
      </c>
      <c r="E136" s="340">
        <f t="shared" si="4"/>
        <v>0</v>
      </c>
      <c r="F136" s="337">
        <f t="shared" ref="F136:F155" si="5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35"/>
      <c r="D137" s="338">
        <f>'15. sz. mell. Önk.'!C137+'16. sz. mell. Önk.'!C137</f>
        <v>0</v>
      </c>
      <c r="E137" s="340">
        <f t="shared" si="4"/>
        <v>0</v>
      </c>
      <c r="F137" s="337">
        <f t="shared" si="5"/>
        <v>0</v>
      </c>
    </row>
    <row r="138" spans="1:7" s="706" customFormat="1" ht="12" customHeight="1" thickBot="1" x14ac:dyDescent="0.25">
      <c r="A138" s="207" t="s">
        <v>128</v>
      </c>
      <c r="B138" s="4" t="s">
        <v>420</v>
      </c>
      <c r="C138" s="1235"/>
      <c r="D138" s="338">
        <f>'15. sz. mell. Önk.'!C138+'16. sz. mell. Önk.'!C138</f>
        <v>0</v>
      </c>
      <c r="E138" s="341">
        <f t="shared" si="4"/>
        <v>0</v>
      </c>
      <c r="F138" s="337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41">
        <f>+C140+C141+C142+C143</f>
        <v>55076107</v>
      </c>
      <c r="D139" s="338">
        <f>'15. sz. mell. Önk.'!C139+'16. sz. mell. Önk.'!C139</f>
        <v>55076107</v>
      </c>
      <c r="E139" s="338">
        <f t="shared" si="4"/>
        <v>0</v>
      </c>
      <c r="F139" s="337">
        <f t="shared" si="5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35"/>
      <c r="D140" s="338">
        <f>'15. sz. mell. Önk.'!C140+'16. sz. mell. Önk.'!C140</f>
        <v>0</v>
      </c>
      <c r="E140" s="339">
        <f t="shared" si="4"/>
        <v>0</v>
      </c>
      <c r="F140" s="337">
        <f t="shared" si="5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35">
        <v>55076107</v>
      </c>
      <c r="D141" s="338">
        <f>'15. sz. mell. Önk.'!C141+'16. sz. mell. Önk.'!C141</f>
        <v>55076107</v>
      </c>
      <c r="E141" s="340">
        <f t="shared" si="4"/>
        <v>0</v>
      </c>
      <c r="F141" s="337">
        <f t="shared" si="5"/>
        <v>0</v>
      </c>
    </row>
    <row r="142" spans="1:7" s="706" customFormat="1" ht="12" customHeight="1" thickBot="1" x14ac:dyDescent="0.25">
      <c r="A142" s="198" t="s">
        <v>218</v>
      </c>
      <c r="B142" s="6" t="s">
        <v>422</v>
      </c>
      <c r="C142" s="1235"/>
      <c r="D142" s="338">
        <f>'15. sz. mell. Önk.'!C142+'16. sz. mell. Önk.'!C142</f>
        <v>0</v>
      </c>
      <c r="E142" s="340">
        <f t="shared" si="4"/>
        <v>0</v>
      </c>
      <c r="F142" s="337">
        <f t="shared" si="5"/>
        <v>0</v>
      </c>
    </row>
    <row r="143" spans="1:7" s="706" customFormat="1" ht="12" customHeight="1" thickBot="1" x14ac:dyDescent="0.25">
      <c r="A143" s="207" t="s">
        <v>219</v>
      </c>
      <c r="B143" s="4" t="s">
        <v>323</v>
      </c>
      <c r="C143" s="1235"/>
      <c r="D143" s="338">
        <f>'15. sz. mell. Önk.'!C143+'16. sz. mell. Önk.'!C143</f>
        <v>0</v>
      </c>
      <c r="E143" s="341">
        <f t="shared" si="4"/>
        <v>0</v>
      </c>
      <c r="F143" s="337">
        <f t="shared" si="5"/>
        <v>0</v>
      </c>
    </row>
    <row r="144" spans="1:7" s="706" customFormat="1" ht="12" customHeight="1" thickBot="1" x14ac:dyDescent="0.25">
      <c r="A144" s="25" t="s">
        <v>22</v>
      </c>
      <c r="B144" s="54" t="s">
        <v>423</v>
      </c>
      <c r="C144" s="1212">
        <f>+C145+C146+C147+C148+C149</f>
        <v>0</v>
      </c>
      <c r="D144" s="338">
        <f>'15. sz. mell. Önk.'!C144+'16. sz. mell. Önk.'!C144</f>
        <v>0</v>
      </c>
      <c r="E144" s="338">
        <f t="shared" si="4"/>
        <v>0</v>
      </c>
      <c r="F144" s="337">
        <f t="shared" si="5"/>
        <v>0</v>
      </c>
    </row>
    <row r="145" spans="1:6" s="706" customFormat="1" ht="12" customHeight="1" thickBot="1" x14ac:dyDescent="0.25">
      <c r="A145" s="198" t="s">
        <v>83</v>
      </c>
      <c r="B145" s="6" t="s">
        <v>424</v>
      </c>
      <c r="C145" s="1235"/>
      <c r="D145" s="338">
        <f>'15. sz. mell. Önk.'!C145+'16. sz. mell. Önk.'!C145</f>
        <v>0</v>
      </c>
      <c r="E145" s="339">
        <f t="shared" si="4"/>
        <v>0</v>
      </c>
      <c r="F145" s="337">
        <f t="shared" si="5"/>
        <v>0</v>
      </c>
    </row>
    <row r="146" spans="1:6" s="706" customFormat="1" ht="12" customHeight="1" thickBot="1" x14ac:dyDescent="0.25">
      <c r="A146" s="198" t="s">
        <v>84</v>
      </c>
      <c r="B146" s="6" t="s">
        <v>425</v>
      </c>
      <c r="C146" s="1235"/>
      <c r="D146" s="338">
        <f>'15. sz. mell. Önk.'!C146+'16. sz. mell. Önk.'!C146</f>
        <v>0</v>
      </c>
      <c r="E146" s="340">
        <f t="shared" si="4"/>
        <v>0</v>
      </c>
      <c r="F146" s="337">
        <f t="shared" si="5"/>
        <v>0</v>
      </c>
    </row>
    <row r="147" spans="1:6" s="706" customFormat="1" ht="12" customHeight="1" thickBot="1" x14ac:dyDescent="0.25">
      <c r="A147" s="198" t="s">
        <v>230</v>
      </c>
      <c r="B147" s="6" t="s">
        <v>426</v>
      </c>
      <c r="C147" s="1235"/>
      <c r="D147" s="338">
        <f>'15. sz. mell. Önk.'!C147+'16. sz. mell. Önk.'!C147</f>
        <v>0</v>
      </c>
      <c r="E147" s="340">
        <f t="shared" si="4"/>
        <v>0</v>
      </c>
      <c r="F147" s="337">
        <f t="shared" si="5"/>
        <v>0</v>
      </c>
    </row>
    <row r="148" spans="1:6" s="706" customFormat="1" ht="12" customHeight="1" thickBot="1" x14ac:dyDescent="0.25">
      <c r="A148" s="198" t="s">
        <v>231</v>
      </c>
      <c r="B148" s="6" t="s">
        <v>458</v>
      </c>
      <c r="C148" s="1235"/>
      <c r="D148" s="338">
        <f>'15. sz. mell. Önk.'!C148+'16. sz. mell. Önk.'!C148</f>
        <v>0</v>
      </c>
      <c r="E148" s="340">
        <f t="shared" si="4"/>
        <v>0</v>
      </c>
      <c r="F148" s="337">
        <f t="shared" si="5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37"/>
      <c r="D149" s="338">
        <f>'15. sz. mell. Önk.'!C149+'16. sz. mell. Önk.'!C149</f>
        <v>0</v>
      </c>
      <c r="E149" s="341">
        <f t="shared" si="4"/>
        <v>0</v>
      </c>
      <c r="F149" s="337">
        <f t="shared" si="5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12"/>
      <c r="D150" s="338">
        <f>'15. sz. mell. Önk.'!C150+'16. sz. mell. Önk.'!C150</f>
        <v>0</v>
      </c>
      <c r="E150" s="338">
        <f t="shared" si="4"/>
        <v>0</v>
      </c>
      <c r="F150" s="337">
        <f t="shared" si="5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12"/>
      <c r="D151" s="338">
        <f>'15. sz. mell. Önk.'!C151+'16. sz. mell. Önk.'!C151</f>
        <v>0</v>
      </c>
      <c r="E151" s="342">
        <f t="shared" si="4"/>
        <v>0</v>
      </c>
      <c r="F151" s="337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43">
        <f>+C128+C132+C139+C144+C150+C151</f>
        <v>1077804403</v>
      </c>
      <c r="D152" s="338">
        <f>'15. sz. mell. Önk.'!C152+'16. sz. mell. Önk.'!C152</f>
        <v>1077804403</v>
      </c>
      <c r="E152" s="338">
        <f t="shared" si="4"/>
        <v>0</v>
      </c>
      <c r="F152" s="337">
        <f t="shared" si="5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43">
        <f>+C127+C152</f>
        <v>4990512494</v>
      </c>
      <c r="D153" s="338">
        <f>'15. sz. mell. Önk.'!C153+'16. sz. mell. Önk.'!C153</f>
        <v>4990512494</v>
      </c>
      <c r="E153" s="338">
        <f t="shared" si="4"/>
        <v>0</v>
      </c>
      <c r="F153" s="337">
        <f t="shared" si="5"/>
        <v>0</v>
      </c>
    </row>
    <row r="154" spans="1:6" ht="15" customHeight="1" thickBot="1" x14ac:dyDescent="0.25">
      <c r="A154" s="1472" t="s">
        <v>459</v>
      </c>
      <c r="B154" s="1473"/>
      <c r="C154" s="1121">
        <f>6</f>
        <v>6</v>
      </c>
      <c r="D154" s="726">
        <f>'15. sz. mell. Önk.'!C154+'16. sz. mell. Önk.'!C154</f>
        <v>7.67</v>
      </c>
      <c r="E154" s="338">
        <f t="shared" si="4"/>
        <v>-1.67</v>
      </c>
      <c r="F154" s="337">
        <f t="shared" si="5"/>
        <v>-1.67</v>
      </c>
    </row>
    <row r="155" spans="1:6" ht="15" customHeight="1" thickBot="1" x14ac:dyDescent="0.25">
      <c r="A155" s="1617" t="s">
        <v>1062</v>
      </c>
      <c r="B155" s="1618"/>
      <c r="C155" s="1619">
        <v>1.67</v>
      </c>
      <c r="D155" s="338">
        <f>'15. sz. mell. Önk.'!C155+'16. sz. mell. Önk.'!C155</f>
        <v>0</v>
      </c>
      <c r="E155" s="338">
        <f>C155-D155</f>
        <v>1.67</v>
      </c>
      <c r="F155" s="337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2" bestFit="1" customWidth="1"/>
    <col min="5" max="16384" width="9.33203125" style="702"/>
  </cols>
  <sheetData>
    <row r="1" spans="1:6" x14ac:dyDescent="0.2">
      <c r="A1" s="1471" t="str">
        <f>CONCATENATE("11. melléklet"," ",ALAPADATOK!A7," ",ALAPADATOK!B7," ",ALAPADATOK!C7," ",ALAPADATOK!D7," ",ALAPADATOK!E7," ",ALAPADATOK!F7," ",ALAPADATOK!G7," ",ALAPADATOK!H7)</f>
        <v>11. melléklet a .. / 2022. ( …... ) önkormányzati rendelethez</v>
      </c>
      <c r="B1" s="1471"/>
      <c r="C1" s="1471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8" t="s">
        <v>898</v>
      </c>
      <c r="B3" s="1428"/>
      <c r="C3" s="1428"/>
      <c r="D3" s="712"/>
      <c r="E3" s="712"/>
      <c r="F3" s="711"/>
    </row>
    <row r="4" spans="1:6" ht="13.5" thickBot="1" x14ac:dyDescent="0.25">
      <c r="A4" s="175" t="s">
        <v>153</v>
      </c>
      <c r="B4" s="81" t="s">
        <v>50</v>
      </c>
      <c r="C4" s="156" t="s">
        <v>897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1603911211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1347">
        <f>296342550-3287300</f>
        <v>293055250</v>
      </c>
    </row>
    <row r="10" spans="1:6" s="39" customFormat="1" ht="22.5" x14ac:dyDescent="0.2">
      <c r="A10" s="199" t="s">
        <v>87</v>
      </c>
      <c r="B10" s="185" t="s">
        <v>720</v>
      </c>
      <c r="C10" s="764">
        <f>SUM(C11:C12)</f>
        <v>645470611</v>
      </c>
    </row>
    <row r="11" spans="1:6" s="39" customFormat="1" ht="12" customHeight="1" x14ac:dyDescent="0.2">
      <c r="A11" s="199" t="s">
        <v>718</v>
      </c>
      <c r="B11" s="185" t="s">
        <v>721</v>
      </c>
      <c r="C11" s="1347">
        <f>367216923+853520</f>
        <v>368070443</v>
      </c>
    </row>
    <row r="12" spans="1:6" s="39" customFormat="1" ht="12" customHeight="1" x14ac:dyDescent="0.2">
      <c r="A12" s="199" t="s">
        <v>719</v>
      </c>
      <c r="B12" s="185" t="s">
        <v>722</v>
      </c>
      <c r="C12" s="1347">
        <f>271004659+9943669-3548160</f>
        <v>277400168</v>
      </c>
    </row>
    <row r="13" spans="1:6" s="39" customFormat="1" ht="12" customHeight="1" x14ac:dyDescent="0.2">
      <c r="A13" s="199" t="s">
        <v>88</v>
      </c>
      <c r="B13" s="185" t="s">
        <v>183</v>
      </c>
      <c r="C13" s="764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4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35"/>
    </row>
    <row r="16" spans="1:6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140128165</v>
      </c>
    </row>
    <row r="17" spans="1:3" s="38" customFormat="1" ht="12" customHeight="1" x14ac:dyDescent="0.2">
      <c r="A17" s="198" t="s">
        <v>91</v>
      </c>
      <c r="B17" s="184" t="s">
        <v>185</v>
      </c>
      <c r="C17" s="1236"/>
    </row>
    <row r="18" spans="1:3" s="38" customFormat="1" ht="12" customHeight="1" x14ac:dyDescent="0.2">
      <c r="A18" s="199" t="s">
        <v>92</v>
      </c>
      <c r="B18" s="185" t="s">
        <v>186</v>
      </c>
      <c r="C18" s="1235"/>
    </row>
    <row r="19" spans="1:3" s="38" customFormat="1" ht="12" customHeight="1" x14ac:dyDescent="0.2">
      <c r="A19" s="199" t="s">
        <v>93</v>
      </c>
      <c r="B19" s="185" t="s">
        <v>352</v>
      </c>
      <c r="C19" s="1235"/>
    </row>
    <row r="20" spans="1:3" s="38" customFormat="1" ht="12" customHeight="1" x14ac:dyDescent="0.2">
      <c r="A20" s="199" t="s">
        <v>94</v>
      </c>
      <c r="B20" s="185" t="s">
        <v>353</v>
      </c>
      <c r="C20" s="1235"/>
    </row>
    <row r="21" spans="1:3" s="38" customFormat="1" ht="12" customHeight="1" x14ac:dyDescent="0.2">
      <c r="A21" s="199" t="s">
        <v>95</v>
      </c>
      <c r="B21" s="185" t="s">
        <v>187</v>
      </c>
      <c r="C21" s="1353">
        <f>93565378+46562787</f>
        <v>140128165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354">
        <f>56195378+37562787</f>
        <v>93758165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408258890</v>
      </c>
    </row>
    <row r="24" spans="1:3" s="39" customFormat="1" ht="12" customHeight="1" x14ac:dyDescent="0.2">
      <c r="A24" s="198" t="s">
        <v>74</v>
      </c>
      <c r="B24" s="184" t="s">
        <v>190</v>
      </c>
      <c r="C24" s="1240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38"/>
    </row>
    <row r="26" spans="1:3" s="39" customFormat="1" ht="12" customHeight="1" x14ac:dyDescent="0.2">
      <c r="A26" s="199" t="s">
        <v>76</v>
      </c>
      <c r="B26" s="185" t="s">
        <v>354</v>
      </c>
      <c r="C26" s="1238"/>
    </row>
    <row r="27" spans="1:3" s="39" customFormat="1" ht="12" customHeight="1" x14ac:dyDescent="0.2">
      <c r="A27" s="199" t="s">
        <v>77</v>
      </c>
      <c r="B27" s="185" t="s">
        <v>355</v>
      </c>
      <c r="C27" s="1238"/>
    </row>
    <row r="28" spans="1:3" s="39" customFormat="1" ht="12" customHeight="1" x14ac:dyDescent="0.2">
      <c r="A28" s="199" t="s">
        <v>122</v>
      </c>
      <c r="B28" s="185" t="s">
        <v>192</v>
      </c>
      <c r="C28" s="1353">
        <f>242049642+137436248</f>
        <v>379485890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354">
        <f>242049642+137436248</f>
        <v>379485890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41">
        <f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13">
        <f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38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38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38"/>
    </row>
    <row r="35" spans="1:3" s="39" customFormat="1" ht="12" customHeight="1" x14ac:dyDescent="0.2">
      <c r="A35" s="199" t="s">
        <v>199</v>
      </c>
      <c r="B35" s="185" t="s">
        <v>203</v>
      </c>
      <c r="C35" s="1235"/>
    </row>
    <row r="36" spans="1:3" s="39" customFormat="1" ht="12" customHeight="1" thickBot="1" x14ac:dyDescent="0.25">
      <c r="A36" s="200" t="s">
        <v>200</v>
      </c>
      <c r="B36" s="186" t="s">
        <v>204</v>
      </c>
      <c r="C36" s="1239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34">
        <f>SUM(C38:C48)</f>
        <v>43704869</v>
      </c>
    </row>
    <row r="38" spans="1:3" s="39" customFormat="1" ht="12" customHeight="1" x14ac:dyDescent="0.2">
      <c r="A38" s="198" t="s">
        <v>78</v>
      </c>
      <c r="B38" s="184" t="s">
        <v>207</v>
      </c>
      <c r="C38" s="1240"/>
    </row>
    <row r="39" spans="1:3" s="39" customFormat="1" ht="12" customHeight="1" x14ac:dyDescent="0.2">
      <c r="A39" s="199" t="s">
        <v>79</v>
      </c>
      <c r="B39" s="185" t="s">
        <v>208</v>
      </c>
      <c r="C39" s="1238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353">
        <f>13152488+250000</f>
        <v>13402488</v>
      </c>
    </row>
    <row r="41" spans="1:3" s="39" customFormat="1" ht="12" customHeight="1" x14ac:dyDescent="0.2">
      <c r="A41" s="199" t="s">
        <v>126</v>
      </c>
      <c r="B41" s="185" t="s">
        <v>210</v>
      </c>
      <c r="C41" s="1238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38"/>
    </row>
    <row r="43" spans="1:3" s="39" customFormat="1" ht="12" customHeight="1" x14ac:dyDescent="0.2">
      <c r="A43" s="199" t="s">
        <v>128</v>
      </c>
      <c r="B43" s="185" t="s">
        <v>212</v>
      </c>
      <c r="C43" s="1353">
        <f>8027280+67500</f>
        <v>8094780</v>
      </c>
    </row>
    <row r="44" spans="1:3" s="39" customFormat="1" ht="12" customHeight="1" x14ac:dyDescent="0.2">
      <c r="A44" s="199" t="s">
        <v>129</v>
      </c>
      <c r="B44" s="185" t="s">
        <v>213</v>
      </c>
      <c r="C44" s="1154"/>
    </row>
    <row r="45" spans="1:3" s="39" customFormat="1" ht="12" customHeight="1" x14ac:dyDescent="0.2">
      <c r="A45" s="199" t="s">
        <v>130</v>
      </c>
      <c r="B45" s="185" t="s">
        <v>214</v>
      </c>
      <c r="C45" s="1238"/>
    </row>
    <row r="46" spans="1:3" s="39" customFormat="1" ht="12" customHeight="1" x14ac:dyDescent="0.2">
      <c r="A46" s="199" t="s">
        <v>205</v>
      </c>
      <c r="B46" s="185" t="s">
        <v>215</v>
      </c>
      <c r="C46" s="1238"/>
    </row>
    <row r="47" spans="1:3" s="39" customFormat="1" ht="12" customHeight="1" x14ac:dyDescent="0.2">
      <c r="A47" s="200" t="s">
        <v>206</v>
      </c>
      <c r="B47" s="186" t="s">
        <v>391</v>
      </c>
      <c r="C47" s="1239"/>
    </row>
    <row r="48" spans="1:3" s="39" customFormat="1" ht="12" customHeight="1" thickBot="1" x14ac:dyDescent="0.25">
      <c r="A48" s="200" t="s">
        <v>392</v>
      </c>
      <c r="B48" s="186" t="s">
        <v>216</v>
      </c>
      <c r="C48" s="1239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34">
        <f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40"/>
    </row>
    <row r="51" spans="1:3" s="39" customFormat="1" ht="12" customHeight="1" x14ac:dyDescent="0.2">
      <c r="A51" s="199" t="s">
        <v>82</v>
      </c>
      <c r="B51" s="185" t="s">
        <v>222</v>
      </c>
      <c r="C51" s="1238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38"/>
    </row>
    <row r="53" spans="1:3" s="39" customFormat="1" ht="12" customHeight="1" x14ac:dyDescent="0.2">
      <c r="A53" s="199" t="s">
        <v>219</v>
      </c>
      <c r="B53" s="185" t="s">
        <v>224</v>
      </c>
      <c r="C53" s="1238"/>
    </row>
    <row r="54" spans="1:3" s="39" customFormat="1" ht="12" customHeight="1" thickBot="1" x14ac:dyDescent="0.25">
      <c r="A54" s="200" t="s">
        <v>220</v>
      </c>
      <c r="B54" s="186" t="s">
        <v>225</v>
      </c>
      <c r="C54" s="1239"/>
    </row>
    <row r="55" spans="1:3" s="39" customFormat="1" ht="12" customHeight="1" thickBot="1" x14ac:dyDescent="0.25">
      <c r="A55" s="25" t="s">
        <v>131</v>
      </c>
      <c r="B55" s="18" t="s">
        <v>226</v>
      </c>
      <c r="C55" s="1234">
        <f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40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54"/>
    </row>
    <row r="58" spans="1:3" s="39" customFormat="1" ht="12" customHeight="1" x14ac:dyDescent="0.2">
      <c r="A58" s="199" t="s">
        <v>230</v>
      </c>
      <c r="B58" s="185" t="s">
        <v>228</v>
      </c>
      <c r="C58" s="1238"/>
    </row>
    <row r="59" spans="1:3" s="39" customFormat="1" ht="12" customHeight="1" thickBot="1" x14ac:dyDescent="0.25">
      <c r="A59" s="200" t="s">
        <v>231</v>
      </c>
      <c r="B59" s="186" t="s">
        <v>229</v>
      </c>
      <c r="C59" s="1237"/>
    </row>
    <row r="60" spans="1:3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38"/>
    </row>
    <row r="62" spans="1:3" s="39" customFormat="1" ht="12" customHeight="1" x14ac:dyDescent="0.2">
      <c r="A62" s="199" t="s">
        <v>133</v>
      </c>
      <c r="B62" s="185" t="s">
        <v>357</v>
      </c>
      <c r="C62" s="1238"/>
    </row>
    <row r="63" spans="1:3" s="39" customFormat="1" ht="12" customHeight="1" x14ac:dyDescent="0.2">
      <c r="A63" s="199" t="s">
        <v>158</v>
      </c>
      <c r="B63" s="185" t="s">
        <v>235</v>
      </c>
      <c r="C63" s="1238"/>
    </row>
    <row r="64" spans="1:3" s="39" customFormat="1" ht="12" customHeight="1" thickBot="1" x14ac:dyDescent="0.25">
      <c r="A64" s="200" t="s">
        <v>233</v>
      </c>
      <c r="B64" s="186" t="s">
        <v>236</v>
      </c>
      <c r="C64" s="1238"/>
    </row>
    <row r="65" spans="1:3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2636358135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34">
        <f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38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38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38"/>
    </row>
    <row r="70" spans="1:3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38"/>
    </row>
    <row r="72" spans="1:3" s="39" customFormat="1" ht="12" customHeight="1" x14ac:dyDescent="0.2">
      <c r="A72" s="199" t="s">
        <v>113</v>
      </c>
      <c r="B72" s="185" t="s">
        <v>246</v>
      </c>
      <c r="C72" s="1238"/>
    </row>
    <row r="73" spans="1:3" s="39" customFormat="1" ht="12" customHeight="1" x14ac:dyDescent="0.2">
      <c r="A73" s="199" t="s">
        <v>271</v>
      </c>
      <c r="B73" s="185" t="s">
        <v>247</v>
      </c>
      <c r="C73" s="1238"/>
    </row>
    <row r="74" spans="1:3" s="39" customFormat="1" ht="12" customHeight="1" thickBot="1" x14ac:dyDescent="0.25">
      <c r="A74" s="200" t="s">
        <v>272</v>
      </c>
      <c r="B74" s="186" t="s">
        <v>248</v>
      </c>
      <c r="C74" s="1238"/>
    </row>
    <row r="75" spans="1:3" s="39" customFormat="1" ht="12" customHeight="1" thickBot="1" x14ac:dyDescent="0.2">
      <c r="A75" s="201" t="s">
        <v>249</v>
      </c>
      <c r="B75" s="107" t="s">
        <v>250</v>
      </c>
      <c r="C75" s="1234">
        <f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38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38"/>
    </row>
    <row r="78" spans="1:3" s="38" customFormat="1" ht="12" customHeight="1" thickBot="1" x14ac:dyDescent="0.2">
      <c r="A78" s="201" t="s">
        <v>253</v>
      </c>
      <c r="B78" s="107" t="s">
        <v>254</v>
      </c>
      <c r="C78" s="1234">
        <f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38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38"/>
    </row>
    <row r="81" spans="1:4" s="39" customFormat="1" ht="12" customHeight="1" thickBot="1" x14ac:dyDescent="0.25">
      <c r="A81" s="200" t="s">
        <v>277</v>
      </c>
      <c r="B81" s="186" t="s">
        <v>257</v>
      </c>
      <c r="C81" s="1238"/>
    </row>
    <row r="82" spans="1:4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38"/>
    </row>
    <row r="84" spans="1:4" s="39" customFormat="1" ht="12" customHeight="1" x14ac:dyDescent="0.2">
      <c r="A84" s="203" t="s">
        <v>261</v>
      </c>
      <c r="B84" s="185" t="s">
        <v>262</v>
      </c>
      <c r="C84" s="1238"/>
    </row>
    <row r="85" spans="1:4" s="39" customFormat="1" ht="12" customHeight="1" x14ac:dyDescent="0.2">
      <c r="A85" s="203" t="s">
        <v>263</v>
      </c>
      <c r="B85" s="185" t="s">
        <v>264</v>
      </c>
      <c r="C85" s="1238"/>
    </row>
    <row r="86" spans="1:4" s="38" customFormat="1" ht="12" customHeight="1" thickBot="1" x14ac:dyDescent="0.25">
      <c r="A86" s="204" t="s">
        <v>265</v>
      </c>
      <c r="B86" s="186" t="s">
        <v>266</v>
      </c>
      <c r="C86" s="1238"/>
    </row>
    <row r="87" spans="1:4" s="38" customFormat="1" ht="12" customHeight="1" thickBot="1" x14ac:dyDescent="0.2">
      <c r="A87" s="201" t="s">
        <v>267</v>
      </c>
      <c r="B87" s="107" t="s">
        <v>395</v>
      </c>
      <c r="C87" s="1242"/>
    </row>
    <row r="88" spans="1:4" s="38" customFormat="1" ht="12" customHeight="1" thickBot="1" x14ac:dyDescent="0.2">
      <c r="A88" s="201" t="s">
        <v>447</v>
      </c>
      <c r="B88" s="107" t="s">
        <v>268</v>
      </c>
      <c r="C88" s="1242"/>
    </row>
    <row r="89" spans="1:4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41">
        <f>+C65+C89</f>
        <v>6261099372</v>
      </c>
      <c r="D90" s="33"/>
    </row>
    <row r="91" spans="1:4" s="32" customFormat="1" ht="16.5" customHeight="1" thickBot="1" x14ac:dyDescent="0.25">
      <c r="A91" s="1474" t="s">
        <v>53</v>
      </c>
      <c r="B91" s="1475"/>
      <c r="C91" s="1476"/>
    </row>
    <row r="92" spans="1:4" s="706" customFormat="1" ht="12" customHeight="1" thickBot="1" x14ac:dyDescent="0.25">
      <c r="A92" s="176" t="s">
        <v>16</v>
      </c>
      <c r="B92" s="23" t="s">
        <v>460</v>
      </c>
      <c r="C92" s="1211">
        <f>+C93+C94+C95+C96+C97+C110</f>
        <v>926870537</v>
      </c>
    </row>
    <row r="93" spans="1:4" ht="12" customHeight="1" x14ac:dyDescent="0.2">
      <c r="A93" s="206" t="s">
        <v>85</v>
      </c>
      <c r="B93" s="7" t="s">
        <v>46</v>
      </c>
      <c r="C93" s="1355">
        <f>54633238+15752-100399-1110961-22379+4160417</f>
        <v>57575668</v>
      </c>
    </row>
    <row r="94" spans="1:4" ht="12" customHeight="1" x14ac:dyDescent="0.2">
      <c r="A94" s="199" t="s">
        <v>86</v>
      </c>
      <c r="B94" s="5" t="s">
        <v>134</v>
      </c>
      <c r="C94" s="1353">
        <f>8055314-40892-154979+22379+567162</f>
        <v>8448984</v>
      </c>
    </row>
    <row r="95" spans="1:4" ht="12" customHeight="1" x14ac:dyDescent="0.2">
      <c r="A95" s="199" t="s">
        <v>87</v>
      </c>
      <c r="B95" s="5" t="s">
        <v>110</v>
      </c>
      <c r="C95" s="1354">
        <f>475468834-160000+5029221-26126750+4628986+43335886+44090</f>
        <v>502220267</v>
      </c>
    </row>
    <row r="96" spans="1:4" ht="12" customHeight="1" x14ac:dyDescent="0.2">
      <c r="A96" s="199" t="s">
        <v>88</v>
      </c>
      <c r="B96" s="8" t="s">
        <v>135</v>
      </c>
      <c r="C96" s="1239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39">
        <f>SUM(C98:C109)</f>
        <v>180551838</v>
      </c>
    </row>
    <row r="98" spans="1:3" ht="12" customHeight="1" x14ac:dyDescent="0.2">
      <c r="A98" s="199" t="s">
        <v>89</v>
      </c>
      <c r="B98" s="5" t="s">
        <v>451</v>
      </c>
      <c r="C98" s="1354">
        <f>3966181+973615-973615</f>
        <v>3966181</v>
      </c>
    </row>
    <row r="99" spans="1:3" ht="12" customHeight="1" x14ac:dyDescent="0.2">
      <c r="A99" s="199" t="s">
        <v>90</v>
      </c>
      <c r="B99" s="58" t="s">
        <v>400</v>
      </c>
      <c r="C99" s="1239">
        <v>5091319</v>
      </c>
    </row>
    <row r="100" spans="1:3" ht="12" customHeight="1" x14ac:dyDescent="0.2">
      <c r="A100" s="199" t="s">
        <v>100</v>
      </c>
      <c r="B100" s="58" t="s">
        <v>401</v>
      </c>
      <c r="C100" s="1239"/>
    </row>
    <row r="101" spans="1:3" ht="12" customHeight="1" x14ac:dyDescent="0.2">
      <c r="A101" s="199" t="s">
        <v>101</v>
      </c>
      <c r="B101" s="58" t="s">
        <v>284</v>
      </c>
      <c r="C101" s="1239"/>
    </row>
    <row r="102" spans="1:3" ht="12" customHeight="1" x14ac:dyDescent="0.2">
      <c r="A102" s="199" t="s">
        <v>102</v>
      </c>
      <c r="B102" s="59" t="s">
        <v>285</v>
      </c>
      <c r="C102" s="1239"/>
    </row>
    <row r="103" spans="1:3" ht="12" customHeight="1" x14ac:dyDescent="0.2">
      <c r="A103" s="199" t="s">
        <v>103</v>
      </c>
      <c r="B103" s="59" t="s">
        <v>286</v>
      </c>
      <c r="C103" s="1239"/>
    </row>
    <row r="104" spans="1:3" ht="12" customHeight="1" x14ac:dyDescent="0.2">
      <c r="A104" s="199" t="s">
        <v>105</v>
      </c>
      <c r="B104" s="58" t="s">
        <v>287</v>
      </c>
      <c r="C104" s="1354">
        <f>636000+175125</f>
        <v>811125</v>
      </c>
    </row>
    <row r="105" spans="1:3" ht="12" customHeight="1" x14ac:dyDescent="0.2">
      <c r="A105" s="199" t="s">
        <v>137</v>
      </c>
      <c r="B105" s="58" t="s">
        <v>288</v>
      </c>
      <c r="C105" s="1239"/>
    </row>
    <row r="106" spans="1:3" ht="12" customHeight="1" x14ac:dyDescent="0.2">
      <c r="A106" s="199" t="s">
        <v>282</v>
      </c>
      <c r="B106" s="59" t="s">
        <v>289</v>
      </c>
      <c r="C106" s="1239"/>
    </row>
    <row r="107" spans="1:3" ht="12" customHeight="1" x14ac:dyDescent="0.2">
      <c r="A107" s="207" t="s">
        <v>283</v>
      </c>
      <c r="B107" s="60" t="s">
        <v>290</v>
      </c>
      <c r="C107" s="1239"/>
    </row>
    <row r="108" spans="1:3" ht="12" customHeight="1" x14ac:dyDescent="0.2">
      <c r="A108" s="199" t="s">
        <v>402</v>
      </c>
      <c r="B108" s="60" t="s">
        <v>291</v>
      </c>
      <c r="C108" s="1239"/>
    </row>
    <row r="109" spans="1:3" ht="12" customHeight="1" x14ac:dyDescent="0.2">
      <c r="A109" s="199" t="s">
        <v>403</v>
      </c>
      <c r="B109" s="59" t="s">
        <v>292</v>
      </c>
      <c r="C109" s="1353">
        <f>170106841+234570+341802</f>
        <v>170683213</v>
      </c>
    </row>
    <row r="110" spans="1:3" ht="12" customHeight="1" x14ac:dyDescent="0.2">
      <c r="A110" s="199" t="s">
        <v>404</v>
      </c>
      <c r="B110" s="8" t="s">
        <v>47</v>
      </c>
      <c r="C110" s="1353">
        <f>SUM(C111:C112)</f>
        <v>133023780</v>
      </c>
    </row>
    <row r="111" spans="1:3" ht="12" customHeight="1" x14ac:dyDescent="0.2">
      <c r="A111" s="200" t="s">
        <v>405</v>
      </c>
      <c r="B111" s="5" t="s">
        <v>452</v>
      </c>
      <c r="C111" s="1354">
        <f>10000000+2761613+2341692-1769228+5286934</f>
        <v>18621011</v>
      </c>
    </row>
    <row r="112" spans="1:3" ht="12" customHeight="1" thickBot="1" x14ac:dyDescent="0.25">
      <c r="A112" s="208" t="s">
        <v>407</v>
      </c>
      <c r="B112" s="61" t="s">
        <v>453</v>
      </c>
      <c r="C112" s="1413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1234">
        <f>+C114+C116+C118</f>
        <v>2656201436</v>
      </c>
    </row>
    <row r="114" spans="1:4" ht="12" customHeight="1" x14ac:dyDescent="0.2">
      <c r="A114" s="198" t="s">
        <v>91</v>
      </c>
      <c r="B114" s="5" t="s">
        <v>157</v>
      </c>
      <c r="C114" s="1352">
        <f>652524568-30445-9533582+15221336+137228863</f>
        <v>795410740</v>
      </c>
    </row>
    <row r="115" spans="1:4" ht="12" customHeight="1" x14ac:dyDescent="0.2">
      <c r="A115" s="198" t="s">
        <v>92</v>
      </c>
      <c r="B115" s="9" t="s">
        <v>297</v>
      </c>
      <c r="C115" s="1352">
        <f>224124925+137436248</f>
        <v>361561173</v>
      </c>
    </row>
    <row r="116" spans="1:4" ht="12" customHeight="1" x14ac:dyDescent="0.2">
      <c r="A116" s="198" t="s">
        <v>93</v>
      </c>
      <c r="B116" s="9" t="s">
        <v>138</v>
      </c>
      <c r="C116" s="1353">
        <f>1885218597-8470273+588237-19331097+607385-44090</f>
        <v>1858568759</v>
      </c>
    </row>
    <row r="117" spans="1:4" ht="12" customHeight="1" x14ac:dyDescent="0.2">
      <c r="A117" s="198" t="s">
        <v>94</v>
      </c>
      <c r="B117" s="9" t="s">
        <v>298</v>
      </c>
      <c r="C117" s="1238">
        <v>399460471</v>
      </c>
    </row>
    <row r="118" spans="1:4" ht="12" customHeight="1" x14ac:dyDescent="0.2">
      <c r="A118" s="198" t="s">
        <v>95</v>
      </c>
      <c r="B118" s="109" t="s">
        <v>159</v>
      </c>
      <c r="C118" s="1238">
        <f>SUM(C119:C126)</f>
        <v>2221937</v>
      </c>
    </row>
    <row r="119" spans="1:4" ht="12" customHeight="1" x14ac:dyDescent="0.2">
      <c r="A119" s="198" t="s">
        <v>104</v>
      </c>
      <c r="B119" s="108" t="s">
        <v>358</v>
      </c>
      <c r="C119" s="1235"/>
    </row>
    <row r="120" spans="1:4" ht="12" customHeight="1" x14ac:dyDescent="0.2">
      <c r="A120" s="198" t="s">
        <v>106</v>
      </c>
      <c r="B120" s="180" t="s">
        <v>303</v>
      </c>
      <c r="C120" s="1235"/>
    </row>
    <row r="121" spans="1:4" ht="12" customHeight="1" x14ac:dyDescent="0.2">
      <c r="A121" s="198" t="s">
        <v>139</v>
      </c>
      <c r="B121" s="59" t="s">
        <v>286</v>
      </c>
      <c r="C121" s="1235"/>
    </row>
    <row r="122" spans="1:4" ht="12" customHeight="1" x14ac:dyDescent="0.2">
      <c r="A122" s="198" t="s">
        <v>140</v>
      </c>
      <c r="B122" s="59" t="s">
        <v>302</v>
      </c>
      <c r="C122" s="1353">
        <v>798660</v>
      </c>
    </row>
    <row r="123" spans="1:4" ht="12" customHeight="1" x14ac:dyDescent="0.2">
      <c r="A123" s="198" t="s">
        <v>141</v>
      </c>
      <c r="B123" s="59" t="s">
        <v>301</v>
      </c>
      <c r="C123" s="1235"/>
    </row>
    <row r="124" spans="1:4" ht="12" customHeight="1" x14ac:dyDescent="0.2">
      <c r="A124" s="198" t="s">
        <v>294</v>
      </c>
      <c r="B124" s="59" t="s">
        <v>289</v>
      </c>
      <c r="C124" s="1235"/>
    </row>
    <row r="125" spans="1:4" ht="12" customHeight="1" x14ac:dyDescent="0.2">
      <c r="A125" s="198" t="s">
        <v>295</v>
      </c>
      <c r="B125" s="59" t="s">
        <v>300</v>
      </c>
      <c r="C125" s="1235"/>
    </row>
    <row r="126" spans="1:4" ht="12" customHeight="1" thickBot="1" x14ac:dyDescent="0.25">
      <c r="A126" s="207" t="s">
        <v>296</v>
      </c>
      <c r="B126" s="59" t="s">
        <v>299</v>
      </c>
      <c r="C126" s="1239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34">
        <f>+C92+C113</f>
        <v>3583071973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34">
        <f>+C129+C130+C131</f>
        <v>1021060296</v>
      </c>
    </row>
    <row r="129" spans="1:9" s="706" customFormat="1" ht="12" customHeight="1" x14ac:dyDescent="0.2">
      <c r="A129" s="198" t="s">
        <v>195</v>
      </c>
      <c r="B129" s="6" t="s">
        <v>454</v>
      </c>
      <c r="C129" s="1238">
        <v>21060296</v>
      </c>
    </row>
    <row r="130" spans="1:9" ht="12" customHeight="1" x14ac:dyDescent="0.2">
      <c r="A130" s="198" t="s">
        <v>198</v>
      </c>
      <c r="B130" s="6" t="s">
        <v>412</v>
      </c>
      <c r="C130" s="1238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35"/>
    </row>
    <row r="132" spans="1:9" ht="12" customHeight="1" thickBot="1" x14ac:dyDescent="0.25">
      <c r="A132" s="25" t="s">
        <v>20</v>
      </c>
      <c r="B132" s="54" t="s">
        <v>414</v>
      </c>
      <c r="C132" s="1234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35"/>
    </row>
    <row r="134" spans="1:9" ht="12" customHeight="1" x14ac:dyDescent="0.2">
      <c r="A134" s="198" t="s">
        <v>79</v>
      </c>
      <c r="B134" s="6" t="s">
        <v>416</v>
      </c>
      <c r="C134" s="1235"/>
    </row>
    <row r="135" spans="1:9" ht="12" customHeight="1" x14ac:dyDescent="0.2">
      <c r="A135" s="198" t="s">
        <v>80</v>
      </c>
      <c r="B135" s="6" t="s">
        <v>417</v>
      </c>
      <c r="C135" s="1235"/>
    </row>
    <row r="136" spans="1:9" ht="12" customHeight="1" x14ac:dyDescent="0.2">
      <c r="A136" s="198" t="s">
        <v>126</v>
      </c>
      <c r="B136" s="6" t="s">
        <v>456</v>
      </c>
      <c r="C136" s="1235"/>
    </row>
    <row r="137" spans="1:9" ht="12" customHeight="1" x14ac:dyDescent="0.2">
      <c r="A137" s="198" t="s">
        <v>127</v>
      </c>
      <c r="B137" s="6" t="s">
        <v>419</v>
      </c>
      <c r="C137" s="1235"/>
    </row>
    <row r="138" spans="1:9" s="706" customFormat="1" ht="12" customHeight="1" thickBot="1" x14ac:dyDescent="0.25">
      <c r="A138" s="207" t="s">
        <v>128</v>
      </c>
      <c r="B138" s="4" t="s">
        <v>420</v>
      </c>
      <c r="C138" s="1235"/>
    </row>
    <row r="139" spans="1:9" ht="12" customHeight="1" thickBot="1" x14ac:dyDescent="0.25">
      <c r="A139" s="25" t="s">
        <v>21</v>
      </c>
      <c r="B139" s="54" t="s">
        <v>457</v>
      </c>
      <c r="C139" s="1241">
        <f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35"/>
    </row>
    <row r="141" spans="1:9" ht="12" customHeight="1" x14ac:dyDescent="0.2">
      <c r="A141" s="198" t="s">
        <v>82</v>
      </c>
      <c r="B141" s="6" t="s">
        <v>305</v>
      </c>
      <c r="C141" s="1235">
        <v>55076107</v>
      </c>
    </row>
    <row r="142" spans="1:9" s="706" customFormat="1" ht="12" customHeight="1" x14ac:dyDescent="0.2">
      <c r="A142" s="198" t="s">
        <v>218</v>
      </c>
      <c r="B142" s="6" t="s">
        <v>422</v>
      </c>
      <c r="C142" s="1235"/>
    </row>
    <row r="143" spans="1:9" s="706" customFormat="1" ht="12" customHeight="1" thickBot="1" x14ac:dyDescent="0.25">
      <c r="A143" s="207" t="s">
        <v>219</v>
      </c>
      <c r="B143" s="4" t="s">
        <v>323</v>
      </c>
      <c r="C143" s="1235"/>
    </row>
    <row r="144" spans="1:9" s="706" customFormat="1" ht="12" customHeight="1" thickBot="1" x14ac:dyDescent="0.25">
      <c r="A144" s="25" t="s">
        <v>22</v>
      </c>
      <c r="B144" s="54" t="s">
        <v>423</v>
      </c>
      <c r="C144" s="1212">
        <f>+C145+C146+C147+C148+C149</f>
        <v>0</v>
      </c>
    </row>
    <row r="145" spans="1:4" s="706" customFormat="1" ht="12" customHeight="1" x14ac:dyDescent="0.2">
      <c r="A145" s="198" t="s">
        <v>83</v>
      </c>
      <c r="B145" s="6" t="s">
        <v>424</v>
      </c>
      <c r="C145" s="1235"/>
    </row>
    <row r="146" spans="1:4" s="706" customFormat="1" ht="12" customHeight="1" x14ac:dyDescent="0.2">
      <c r="A146" s="198" t="s">
        <v>84</v>
      </c>
      <c r="B146" s="6" t="s">
        <v>425</v>
      </c>
      <c r="C146" s="1235"/>
    </row>
    <row r="147" spans="1:4" s="706" customFormat="1" ht="12" customHeight="1" x14ac:dyDescent="0.2">
      <c r="A147" s="198" t="s">
        <v>230</v>
      </c>
      <c r="B147" s="6" t="s">
        <v>426</v>
      </c>
      <c r="C147" s="1235"/>
    </row>
    <row r="148" spans="1:4" ht="12.75" customHeight="1" x14ac:dyDescent="0.2">
      <c r="A148" s="198" t="s">
        <v>231</v>
      </c>
      <c r="B148" s="6" t="s">
        <v>458</v>
      </c>
      <c r="C148" s="1235"/>
    </row>
    <row r="149" spans="1:4" ht="12.75" customHeight="1" thickBot="1" x14ac:dyDescent="0.25">
      <c r="A149" s="207" t="s">
        <v>428</v>
      </c>
      <c r="B149" s="4" t="s">
        <v>429</v>
      </c>
      <c r="C149" s="1237"/>
    </row>
    <row r="150" spans="1:4" ht="12.75" customHeight="1" thickBot="1" x14ac:dyDescent="0.25">
      <c r="A150" s="254" t="s">
        <v>23</v>
      </c>
      <c r="B150" s="54" t="s">
        <v>430</v>
      </c>
      <c r="C150" s="1212"/>
    </row>
    <row r="151" spans="1:4" ht="12" customHeight="1" thickBot="1" x14ac:dyDescent="0.25">
      <c r="A151" s="254" t="s">
        <v>24</v>
      </c>
      <c r="B151" s="54" t="s">
        <v>431</v>
      </c>
      <c r="C151" s="1212"/>
    </row>
    <row r="152" spans="1:4" ht="15" customHeight="1" thickBot="1" x14ac:dyDescent="0.25">
      <c r="A152" s="25" t="s">
        <v>25</v>
      </c>
      <c r="B152" s="54" t="s">
        <v>432</v>
      </c>
      <c r="C152" s="1243">
        <f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43">
        <f>+C127+C152</f>
        <v>4659208376</v>
      </c>
      <c r="D153" s="704"/>
    </row>
    <row r="154" spans="1:4" ht="14.25" customHeight="1" thickBot="1" x14ac:dyDescent="0.25">
      <c r="A154" s="97" t="s">
        <v>459</v>
      </c>
      <c r="B154" s="98"/>
      <c r="C154" s="1121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2" customWidth="1"/>
    <col min="5" max="5" width="16.1640625" style="702" customWidth="1"/>
    <col min="6" max="16384" width="9.33203125" style="702"/>
  </cols>
  <sheetData>
    <row r="1" spans="1:5" x14ac:dyDescent="0.2">
      <c r="A1" s="1471" t="str">
        <f>CONCATENATE("12. melléklet"," ",ALAPADATOK!A7," ",ALAPADATOK!B7," ",ALAPADATOK!C7," ",ALAPADATOK!D7," ",ALAPADATOK!E7," ",ALAPADATOK!F7," ",ALAPADATOK!G7," ",ALAPADATOK!H7)</f>
        <v>12. melléklet a .. / 2022. ( …... ) önkormányzati rendelethez</v>
      </c>
      <c r="B1" s="1471"/>
      <c r="C1" s="1471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8" t="s">
        <v>899</v>
      </c>
      <c r="B3" s="1428"/>
      <c r="C3" s="1428"/>
    </row>
    <row r="4" spans="1:5" ht="13.5" thickBot="1" x14ac:dyDescent="0.25">
      <c r="A4" s="175" t="s">
        <v>153</v>
      </c>
      <c r="B4" s="81" t="s">
        <v>50</v>
      </c>
      <c r="C4" s="156" t="s">
        <v>897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34">
        <f>+C8+C9+C10+C13+C14+C15</f>
        <v>388159129</v>
      </c>
      <c r="D7" s="715"/>
      <c r="E7" s="700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5"/>
      <c r="E8" s="700"/>
    </row>
    <row r="9" spans="1:5" s="39" customFormat="1" ht="12" customHeight="1" x14ac:dyDescent="0.2">
      <c r="A9" s="199" t="s">
        <v>86</v>
      </c>
      <c r="B9" s="185" t="s">
        <v>181</v>
      </c>
      <c r="C9" s="764"/>
      <c r="D9" s="715"/>
      <c r="E9" s="700"/>
    </row>
    <row r="10" spans="1:5" s="39" customFormat="1" ht="12" customHeight="1" x14ac:dyDescent="0.2">
      <c r="A10" s="199" t="s">
        <v>87</v>
      </c>
      <c r="B10" s="185" t="s">
        <v>720</v>
      </c>
      <c r="C10" s="1347">
        <f>SUM(C11:C12)</f>
        <v>388159129</v>
      </c>
      <c r="D10" s="715"/>
      <c r="E10" s="700"/>
    </row>
    <row r="11" spans="1:5" s="39" customFormat="1" ht="12" customHeight="1" x14ac:dyDescent="0.2">
      <c r="A11" s="199" t="s">
        <v>718</v>
      </c>
      <c r="B11" s="185" t="s">
        <v>721</v>
      </c>
      <c r="C11" s="1347">
        <f>372765129+15394000</f>
        <v>388159129</v>
      </c>
      <c r="D11" s="715"/>
      <c r="E11" s="700"/>
    </row>
    <row r="12" spans="1:5" s="39" customFormat="1" ht="12" customHeight="1" x14ac:dyDescent="0.2">
      <c r="A12" s="199" t="s">
        <v>719</v>
      </c>
      <c r="B12" s="185" t="s">
        <v>722</v>
      </c>
      <c r="C12" s="764"/>
      <c r="D12" s="715"/>
      <c r="E12" s="700"/>
    </row>
    <row r="13" spans="1:5" s="39" customFormat="1" ht="12" customHeight="1" x14ac:dyDescent="0.2">
      <c r="A13" s="199" t="s">
        <v>88</v>
      </c>
      <c r="B13" s="185" t="s">
        <v>183</v>
      </c>
      <c r="C13" s="764"/>
      <c r="D13" s="715"/>
      <c r="E13" s="700"/>
    </row>
    <row r="14" spans="1:5" s="39" customFormat="1" ht="12" customHeight="1" x14ac:dyDescent="0.2">
      <c r="A14" s="199" t="s">
        <v>111</v>
      </c>
      <c r="B14" s="185" t="s">
        <v>446</v>
      </c>
      <c r="C14" s="764"/>
      <c r="D14" s="715"/>
      <c r="E14" s="700"/>
    </row>
    <row r="15" spans="1:5" s="38" customFormat="1" ht="12" customHeight="1" thickBot="1" x14ac:dyDescent="0.25">
      <c r="A15" s="200" t="s">
        <v>89</v>
      </c>
      <c r="B15" s="186" t="s">
        <v>389</v>
      </c>
      <c r="C15" s="1235"/>
      <c r="D15" s="715"/>
      <c r="E15" s="700"/>
    </row>
    <row r="16" spans="1:5" s="38" customFormat="1" ht="12" customHeight="1" thickBot="1" x14ac:dyDescent="0.25">
      <c r="A16" s="25" t="s">
        <v>17</v>
      </c>
      <c r="B16" s="107" t="s">
        <v>184</v>
      </c>
      <c r="C16" s="1234">
        <f>+C17+C18+C19+C20+C21</f>
        <v>177738453</v>
      </c>
      <c r="D16" s="715"/>
      <c r="E16" s="700"/>
    </row>
    <row r="17" spans="1:5" s="38" customFormat="1" ht="12" customHeight="1" x14ac:dyDescent="0.2">
      <c r="A17" s="198" t="s">
        <v>91</v>
      </c>
      <c r="B17" s="184" t="s">
        <v>185</v>
      </c>
      <c r="C17" s="1236"/>
      <c r="D17" s="715"/>
      <c r="E17" s="700"/>
    </row>
    <row r="18" spans="1:5" s="38" customFormat="1" ht="12" customHeight="1" x14ac:dyDescent="0.2">
      <c r="A18" s="199" t="s">
        <v>92</v>
      </c>
      <c r="B18" s="185" t="s">
        <v>186</v>
      </c>
      <c r="C18" s="1235"/>
      <c r="D18" s="715"/>
      <c r="E18" s="700"/>
    </row>
    <row r="19" spans="1:5" s="38" customFormat="1" ht="12" customHeight="1" x14ac:dyDescent="0.2">
      <c r="A19" s="199" t="s">
        <v>93</v>
      </c>
      <c r="B19" s="185" t="s">
        <v>352</v>
      </c>
      <c r="C19" s="1235"/>
      <c r="D19" s="715"/>
      <c r="E19" s="700"/>
    </row>
    <row r="20" spans="1:5" s="38" customFormat="1" ht="12" customHeight="1" x14ac:dyDescent="0.2">
      <c r="A20" s="199" t="s">
        <v>94</v>
      </c>
      <c r="B20" s="185" t="s">
        <v>353</v>
      </c>
      <c r="C20" s="1235"/>
      <c r="D20" s="715"/>
      <c r="E20" s="700"/>
    </row>
    <row r="21" spans="1:5" s="38" customFormat="1" ht="12" customHeight="1" x14ac:dyDescent="0.2">
      <c r="A21" s="199" t="s">
        <v>95</v>
      </c>
      <c r="B21" s="185" t="s">
        <v>187</v>
      </c>
      <c r="C21" s="1353">
        <f>126028453+5000000+46710000</f>
        <v>177738453</v>
      </c>
      <c r="D21" s="715"/>
      <c r="E21" s="700"/>
    </row>
    <row r="22" spans="1:5" s="39" customFormat="1" ht="12" customHeight="1" thickBot="1" x14ac:dyDescent="0.25">
      <c r="A22" s="200" t="s">
        <v>104</v>
      </c>
      <c r="B22" s="186" t="s">
        <v>188</v>
      </c>
      <c r="C22" s="1239"/>
      <c r="D22" s="715"/>
      <c r="E22" s="700"/>
    </row>
    <row r="23" spans="1:5" s="39" customFormat="1" ht="12" customHeight="1" thickBot="1" x14ac:dyDescent="0.25">
      <c r="A23" s="25" t="s">
        <v>18</v>
      </c>
      <c r="B23" s="18" t="s">
        <v>189</v>
      </c>
      <c r="C23" s="1234">
        <f>+C24+C25+C26+C27+C28</f>
        <v>4290000</v>
      </c>
      <c r="D23" s="715"/>
      <c r="E23" s="700"/>
    </row>
    <row r="24" spans="1:5" s="39" customFormat="1" ht="12" customHeight="1" x14ac:dyDescent="0.2">
      <c r="A24" s="198" t="s">
        <v>74</v>
      </c>
      <c r="B24" s="184" t="s">
        <v>190</v>
      </c>
      <c r="C24" s="1240"/>
      <c r="D24" s="715"/>
      <c r="E24" s="700"/>
    </row>
    <row r="25" spans="1:5" s="38" customFormat="1" ht="12" customHeight="1" x14ac:dyDescent="0.2">
      <c r="A25" s="199" t="s">
        <v>75</v>
      </c>
      <c r="B25" s="185" t="s">
        <v>191</v>
      </c>
      <c r="C25" s="1238"/>
      <c r="D25" s="715"/>
      <c r="E25" s="700"/>
    </row>
    <row r="26" spans="1:5" s="39" customFormat="1" ht="12" customHeight="1" x14ac:dyDescent="0.2">
      <c r="A26" s="199" t="s">
        <v>76</v>
      </c>
      <c r="B26" s="185" t="s">
        <v>354</v>
      </c>
      <c r="C26" s="1238"/>
      <c r="D26" s="715"/>
      <c r="E26" s="700"/>
    </row>
    <row r="27" spans="1:5" s="39" customFormat="1" ht="12" customHeight="1" x14ac:dyDescent="0.2">
      <c r="A27" s="199" t="s">
        <v>77</v>
      </c>
      <c r="B27" s="185" t="s">
        <v>355</v>
      </c>
      <c r="C27" s="1238"/>
      <c r="D27" s="715"/>
      <c r="E27" s="700"/>
    </row>
    <row r="28" spans="1:5" s="39" customFormat="1" ht="12" customHeight="1" x14ac:dyDescent="0.2">
      <c r="A28" s="199" t="s">
        <v>122</v>
      </c>
      <c r="B28" s="185" t="s">
        <v>192</v>
      </c>
      <c r="C28" s="1353">
        <v>4290000</v>
      </c>
      <c r="D28" s="715"/>
      <c r="E28" s="700"/>
    </row>
    <row r="29" spans="1:5" s="39" customFormat="1" ht="12" customHeight="1" thickBot="1" x14ac:dyDescent="0.25">
      <c r="A29" s="200" t="s">
        <v>123</v>
      </c>
      <c r="B29" s="186" t="s">
        <v>193</v>
      </c>
      <c r="C29" s="1239"/>
      <c r="D29" s="715"/>
      <c r="E29" s="700"/>
    </row>
    <row r="30" spans="1:5" s="39" customFormat="1" ht="12" customHeight="1" thickBot="1" x14ac:dyDescent="0.25">
      <c r="A30" s="25" t="s">
        <v>124</v>
      </c>
      <c r="B30" s="18" t="s">
        <v>194</v>
      </c>
      <c r="C30" s="1241">
        <f>+C31++C35+C36</f>
        <v>0</v>
      </c>
      <c r="D30" s="715"/>
      <c r="E30" s="700"/>
    </row>
    <row r="31" spans="1:5" s="39" customFormat="1" ht="12" customHeight="1" x14ac:dyDescent="0.2">
      <c r="A31" s="198" t="s">
        <v>195</v>
      </c>
      <c r="B31" s="184" t="s">
        <v>562</v>
      </c>
      <c r="C31" s="1213">
        <f>SUM(C32:C33)</f>
        <v>0</v>
      </c>
      <c r="D31" s="715"/>
      <c r="E31" s="700"/>
    </row>
    <row r="32" spans="1:5" s="39" customFormat="1" ht="12" customHeight="1" x14ac:dyDescent="0.2">
      <c r="A32" s="199" t="s">
        <v>196</v>
      </c>
      <c r="B32" s="185" t="s">
        <v>201</v>
      </c>
      <c r="C32" s="1235"/>
      <c r="D32" s="715"/>
      <c r="E32" s="700"/>
    </row>
    <row r="33" spans="1:5" s="39" customFormat="1" ht="12" customHeight="1" x14ac:dyDescent="0.2">
      <c r="A33" s="199" t="s">
        <v>197</v>
      </c>
      <c r="B33" s="242" t="s">
        <v>561</v>
      </c>
      <c r="C33" s="1235"/>
      <c r="D33" s="715"/>
      <c r="E33" s="700"/>
    </row>
    <row r="34" spans="1:5" s="39" customFormat="1" ht="12" customHeight="1" x14ac:dyDescent="0.2">
      <c r="A34" s="199" t="s">
        <v>198</v>
      </c>
      <c r="B34" s="185" t="s">
        <v>472</v>
      </c>
      <c r="C34" s="1238"/>
      <c r="D34" s="715"/>
      <c r="E34" s="700"/>
    </row>
    <row r="35" spans="1:5" s="39" customFormat="1" ht="12" customHeight="1" x14ac:dyDescent="0.2">
      <c r="A35" s="199" t="s">
        <v>199</v>
      </c>
      <c r="B35" s="185" t="s">
        <v>203</v>
      </c>
      <c r="C35" s="1235"/>
      <c r="D35" s="715"/>
      <c r="E35" s="700"/>
    </row>
    <row r="36" spans="1:5" s="39" customFormat="1" ht="12" customHeight="1" thickBot="1" x14ac:dyDescent="0.25">
      <c r="A36" s="200" t="s">
        <v>200</v>
      </c>
      <c r="B36" s="186" t="s">
        <v>204</v>
      </c>
      <c r="C36" s="1239"/>
      <c r="D36" s="715"/>
      <c r="E36" s="700"/>
    </row>
    <row r="37" spans="1:5" s="39" customFormat="1" ht="12" customHeight="1" thickBot="1" x14ac:dyDescent="0.25">
      <c r="A37" s="25" t="s">
        <v>20</v>
      </c>
      <c r="B37" s="18" t="s">
        <v>390</v>
      </c>
      <c r="C37" s="1234">
        <f>SUM(C38:C48)</f>
        <v>21820900</v>
      </c>
      <c r="D37" s="715"/>
      <c r="E37" s="700"/>
    </row>
    <row r="38" spans="1:5" s="39" customFormat="1" ht="12" customHeight="1" x14ac:dyDescent="0.2">
      <c r="A38" s="198" t="s">
        <v>78</v>
      </c>
      <c r="B38" s="184" t="s">
        <v>207</v>
      </c>
      <c r="C38" s="1240"/>
      <c r="D38" s="715"/>
      <c r="E38" s="700"/>
    </row>
    <row r="39" spans="1:5" s="39" customFormat="1" ht="12" customHeight="1" x14ac:dyDescent="0.2">
      <c r="A39" s="199" t="s">
        <v>79</v>
      </c>
      <c r="B39" s="185" t="s">
        <v>208</v>
      </c>
      <c r="C39" s="1238">
        <v>1781102</v>
      </c>
      <c r="D39" s="715"/>
      <c r="E39" s="700"/>
    </row>
    <row r="40" spans="1:5" s="39" customFormat="1" ht="12" customHeight="1" x14ac:dyDescent="0.2">
      <c r="A40" s="199" t="s">
        <v>80</v>
      </c>
      <c r="B40" s="185" t="s">
        <v>209</v>
      </c>
      <c r="C40" s="1238"/>
      <c r="D40" s="715"/>
      <c r="E40" s="700"/>
    </row>
    <row r="41" spans="1:5" s="39" customFormat="1" ht="12" customHeight="1" x14ac:dyDescent="0.2">
      <c r="A41" s="199" t="s">
        <v>126</v>
      </c>
      <c r="B41" s="185" t="s">
        <v>210</v>
      </c>
      <c r="C41" s="1238"/>
      <c r="D41" s="715"/>
      <c r="E41" s="700"/>
    </row>
    <row r="42" spans="1:5" s="39" customFormat="1" ht="12" customHeight="1" x14ac:dyDescent="0.2">
      <c r="A42" s="199" t="s">
        <v>127</v>
      </c>
      <c r="B42" s="185" t="s">
        <v>211</v>
      </c>
      <c r="C42" s="1238"/>
      <c r="D42" s="715"/>
      <c r="E42" s="700"/>
    </row>
    <row r="43" spans="1:5" s="39" customFormat="1" ht="12" customHeight="1" x14ac:dyDescent="0.2">
      <c r="A43" s="199" t="s">
        <v>128</v>
      </c>
      <c r="B43" s="185" t="s">
        <v>212</v>
      </c>
      <c r="C43" s="1238">
        <v>480898</v>
      </c>
      <c r="D43" s="715"/>
      <c r="E43" s="700"/>
    </row>
    <row r="44" spans="1:5" s="39" customFormat="1" ht="12" customHeight="1" x14ac:dyDescent="0.2">
      <c r="A44" s="199" t="s">
        <v>129</v>
      </c>
      <c r="B44" s="185" t="s">
        <v>213</v>
      </c>
      <c r="C44" s="1238">
        <v>19458900</v>
      </c>
      <c r="D44" s="715"/>
      <c r="E44" s="700"/>
    </row>
    <row r="45" spans="1:5" s="39" customFormat="1" ht="12" customHeight="1" x14ac:dyDescent="0.2">
      <c r="A45" s="199" t="s">
        <v>130</v>
      </c>
      <c r="B45" s="185" t="s">
        <v>214</v>
      </c>
      <c r="C45" s="1238"/>
      <c r="D45" s="715"/>
      <c r="E45" s="700"/>
    </row>
    <row r="46" spans="1:5" s="39" customFormat="1" ht="12" customHeight="1" x14ac:dyDescent="0.2">
      <c r="A46" s="199" t="s">
        <v>205</v>
      </c>
      <c r="B46" s="185" t="s">
        <v>215</v>
      </c>
      <c r="C46" s="1238"/>
      <c r="D46" s="715"/>
      <c r="E46" s="700"/>
    </row>
    <row r="47" spans="1:5" s="39" customFormat="1" ht="12" customHeight="1" x14ac:dyDescent="0.2">
      <c r="A47" s="200" t="s">
        <v>206</v>
      </c>
      <c r="B47" s="186" t="s">
        <v>391</v>
      </c>
      <c r="C47" s="1239"/>
      <c r="D47" s="715"/>
      <c r="E47" s="700"/>
    </row>
    <row r="48" spans="1:5" s="39" customFormat="1" ht="12" customHeight="1" thickBot="1" x14ac:dyDescent="0.25">
      <c r="A48" s="200" t="s">
        <v>392</v>
      </c>
      <c r="B48" s="186" t="s">
        <v>216</v>
      </c>
      <c r="C48" s="1239">
        <v>100000</v>
      </c>
      <c r="D48" s="715"/>
      <c r="E48" s="700"/>
    </row>
    <row r="49" spans="1:5" s="39" customFormat="1" ht="12" customHeight="1" thickBot="1" x14ac:dyDescent="0.25">
      <c r="A49" s="25" t="s">
        <v>21</v>
      </c>
      <c r="B49" s="18" t="s">
        <v>217</v>
      </c>
      <c r="C49" s="1234">
        <f>SUM(C50:C54)</f>
        <v>0</v>
      </c>
      <c r="D49" s="715"/>
      <c r="E49" s="700"/>
    </row>
    <row r="50" spans="1:5" s="39" customFormat="1" ht="12" customHeight="1" x14ac:dyDescent="0.2">
      <c r="A50" s="198" t="s">
        <v>81</v>
      </c>
      <c r="B50" s="184" t="s">
        <v>221</v>
      </c>
      <c r="C50" s="1240"/>
      <c r="D50" s="715"/>
      <c r="E50" s="700"/>
    </row>
    <row r="51" spans="1:5" s="39" customFormat="1" ht="12" customHeight="1" x14ac:dyDescent="0.2">
      <c r="A51" s="199" t="s">
        <v>82</v>
      </c>
      <c r="B51" s="185" t="s">
        <v>222</v>
      </c>
      <c r="C51" s="1238"/>
      <c r="D51" s="715"/>
      <c r="E51" s="700"/>
    </row>
    <row r="52" spans="1:5" s="39" customFormat="1" ht="12" customHeight="1" x14ac:dyDescent="0.2">
      <c r="A52" s="199" t="s">
        <v>218</v>
      </c>
      <c r="B52" s="185" t="s">
        <v>223</v>
      </c>
      <c r="C52" s="1238"/>
      <c r="D52" s="715"/>
      <c r="E52" s="700"/>
    </row>
    <row r="53" spans="1:5" s="39" customFormat="1" ht="12" customHeight="1" x14ac:dyDescent="0.2">
      <c r="A53" s="199" t="s">
        <v>219</v>
      </c>
      <c r="B53" s="185" t="s">
        <v>224</v>
      </c>
      <c r="C53" s="1238"/>
      <c r="D53" s="715"/>
      <c r="E53" s="700"/>
    </row>
    <row r="54" spans="1:5" s="39" customFormat="1" ht="12" customHeight="1" thickBot="1" x14ac:dyDescent="0.25">
      <c r="A54" s="200" t="s">
        <v>220</v>
      </c>
      <c r="B54" s="186" t="s">
        <v>225</v>
      </c>
      <c r="C54" s="1239"/>
      <c r="D54" s="715"/>
      <c r="E54" s="700"/>
    </row>
    <row r="55" spans="1:5" s="39" customFormat="1" ht="12" customHeight="1" thickBot="1" x14ac:dyDescent="0.25">
      <c r="A55" s="25" t="s">
        <v>131</v>
      </c>
      <c r="B55" s="18" t="s">
        <v>226</v>
      </c>
      <c r="C55" s="1234">
        <f>SUM(C56:C58)</f>
        <v>200000</v>
      </c>
      <c r="D55" s="715"/>
      <c r="E55" s="700"/>
    </row>
    <row r="56" spans="1:5" s="39" customFormat="1" ht="12" customHeight="1" x14ac:dyDescent="0.2">
      <c r="A56" s="198" t="s">
        <v>83</v>
      </c>
      <c r="B56" s="184" t="s">
        <v>227</v>
      </c>
      <c r="C56" s="1236"/>
      <c r="D56" s="715"/>
      <c r="E56" s="700"/>
    </row>
    <row r="57" spans="1:5" s="39" customFormat="1" ht="12" customHeight="1" x14ac:dyDescent="0.2">
      <c r="A57" s="199" t="s">
        <v>84</v>
      </c>
      <c r="B57" s="185" t="s">
        <v>356</v>
      </c>
      <c r="C57" s="1238">
        <v>200000</v>
      </c>
      <c r="D57" s="715"/>
      <c r="E57" s="700"/>
    </row>
    <row r="58" spans="1:5" s="39" customFormat="1" ht="12" customHeight="1" x14ac:dyDescent="0.2">
      <c r="A58" s="199" t="s">
        <v>230</v>
      </c>
      <c r="B58" s="185" t="s">
        <v>228</v>
      </c>
      <c r="C58" s="1238"/>
      <c r="D58" s="715"/>
      <c r="E58" s="700"/>
    </row>
    <row r="59" spans="1:5" s="39" customFormat="1" ht="12" customHeight="1" thickBot="1" x14ac:dyDescent="0.25">
      <c r="A59" s="200" t="s">
        <v>231</v>
      </c>
      <c r="B59" s="186" t="s">
        <v>229</v>
      </c>
      <c r="C59" s="1237"/>
      <c r="D59" s="715"/>
      <c r="E59" s="700"/>
    </row>
    <row r="60" spans="1:5" s="39" customFormat="1" ht="12" customHeight="1" thickBot="1" x14ac:dyDescent="0.25">
      <c r="A60" s="25" t="s">
        <v>23</v>
      </c>
      <c r="B60" s="107" t="s">
        <v>232</v>
      </c>
      <c r="C60" s="1234">
        <f>SUM(C61:C63)</f>
        <v>0</v>
      </c>
      <c r="D60" s="715"/>
      <c r="E60" s="700"/>
    </row>
    <row r="61" spans="1:5" s="39" customFormat="1" ht="12" customHeight="1" x14ac:dyDescent="0.2">
      <c r="A61" s="198" t="s">
        <v>132</v>
      </c>
      <c r="B61" s="184" t="s">
        <v>234</v>
      </c>
      <c r="C61" s="1238"/>
      <c r="D61" s="715"/>
      <c r="E61" s="700"/>
    </row>
    <row r="62" spans="1:5" s="39" customFormat="1" ht="12" customHeight="1" x14ac:dyDescent="0.2">
      <c r="A62" s="199" t="s">
        <v>133</v>
      </c>
      <c r="B62" s="185" t="s">
        <v>357</v>
      </c>
      <c r="C62" s="1238"/>
      <c r="D62" s="715"/>
      <c r="E62" s="700"/>
    </row>
    <row r="63" spans="1:5" s="39" customFormat="1" ht="12" customHeight="1" x14ac:dyDescent="0.2">
      <c r="A63" s="199" t="s">
        <v>158</v>
      </c>
      <c r="B63" s="185" t="s">
        <v>235</v>
      </c>
      <c r="C63" s="1238"/>
      <c r="D63" s="715"/>
      <c r="E63" s="700"/>
    </row>
    <row r="64" spans="1:5" s="39" customFormat="1" ht="12" customHeight="1" thickBot="1" x14ac:dyDescent="0.25">
      <c r="A64" s="200" t="s">
        <v>233</v>
      </c>
      <c r="B64" s="186" t="s">
        <v>236</v>
      </c>
      <c r="C64" s="1238"/>
      <c r="D64" s="715"/>
      <c r="E64" s="700"/>
    </row>
    <row r="65" spans="1:5" s="39" customFormat="1" ht="12" customHeight="1" thickBot="1" x14ac:dyDescent="0.25">
      <c r="A65" s="25" t="s">
        <v>24</v>
      </c>
      <c r="B65" s="18" t="s">
        <v>237</v>
      </c>
      <c r="C65" s="1241">
        <f>+C7+C16+C23+C30+C37+C49+C55+C60</f>
        <v>592208482</v>
      </c>
      <c r="D65" s="715"/>
      <c r="E65" s="700"/>
    </row>
    <row r="66" spans="1:5" s="39" customFormat="1" ht="12" customHeight="1" thickBot="1" x14ac:dyDescent="0.2">
      <c r="A66" s="201" t="s">
        <v>327</v>
      </c>
      <c r="B66" s="107" t="s">
        <v>239</v>
      </c>
      <c r="C66" s="1234">
        <f>SUM(C67:C69)</f>
        <v>0</v>
      </c>
      <c r="D66" s="715"/>
      <c r="E66" s="700"/>
    </row>
    <row r="67" spans="1:5" s="39" customFormat="1" ht="12" customHeight="1" x14ac:dyDescent="0.2">
      <c r="A67" s="198" t="s">
        <v>270</v>
      </c>
      <c r="B67" s="184" t="s">
        <v>240</v>
      </c>
      <c r="C67" s="1238"/>
      <c r="D67" s="715"/>
      <c r="E67" s="700"/>
    </row>
    <row r="68" spans="1:5" s="39" customFormat="1" ht="12" customHeight="1" x14ac:dyDescent="0.2">
      <c r="A68" s="199" t="s">
        <v>279</v>
      </c>
      <c r="B68" s="185" t="s">
        <v>241</v>
      </c>
      <c r="C68" s="1238"/>
      <c r="D68" s="715"/>
      <c r="E68" s="700"/>
    </row>
    <row r="69" spans="1:5" s="39" customFormat="1" ht="12" customHeight="1" thickBot="1" x14ac:dyDescent="0.25">
      <c r="A69" s="200" t="s">
        <v>280</v>
      </c>
      <c r="B69" s="187" t="s">
        <v>242</v>
      </c>
      <c r="C69" s="1238"/>
      <c r="D69" s="715"/>
      <c r="E69" s="700"/>
    </row>
    <row r="70" spans="1:5" s="39" customFormat="1" ht="12" customHeight="1" thickBot="1" x14ac:dyDescent="0.2">
      <c r="A70" s="201" t="s">
        <v>243</v>
      </c>
      <c r="B70" s="107" t="s">
        <v>244</v>
      </c>
      <c r="C70" s="1234">
        <f>SUM(C71:C74)</f>
        <v>0</v>
      </c>
      <c r="D70" s="715"/>
      <c r="E70" s="700"/>
    </row>
    <row r="71" spans="1:5" s="39" customFormat="1" ht="12" customHeight="1" x14ac:dyDescent="0.2">
      <c r="A71" s="198" t="s">
        <v>112</v>
      </c>
      <c r="B71" s="184" t="s">
        <v>245</v>
      </c>
      <c r="C71" s="1238"/>
      <c r="D71" s="715"/>
      <c r="E71" s="700"/>
    </row>
    <row r="72" spans="1:5" s="39" customFormat="1" ht="12" customHeight="1" x14ac:dyDescent="0.2">
      <c r="A72" s="199" t="s">
        <v>113</v>
      </c>
      <c r="B72" s="185" t="s">
        <v>246</v>
      </c>
      <c r="C72" s="1238"/>
      <c r="D72" s="715"/>
      <c r="E72" s="700"/>
    </row>
    <row r="73" spans="1:5" s="39" customFormat="1" ht="12" customHeight="1" x14ac:dyDescent="0.2">
      <c r="A73" s="199" t="s">
        <v>271</v>
      </c>
      <c r="B73" s="185" t="s">
        <v>247</v>
      </c>
      <c r="C73" s="1238"/>
      <c r="D73" s="715"/>
      <c r="E73" s="700"/>
    </row>
    <row r="74" spans="1:5" s="39" customFormat="1" ht="12" customHeight="1" thickBot="1" x14ac:dyDescent="0.25">
      <c r="A74" s="200" t="s">
        <v>272</v>
      </c>
      <c r="B74" s="186" t="s">
        <v>248</v>
      </c>
      <c r="C74" s="1238"/>
      <c r="D74" s="715"/>
      <c r="E74" s="700"/>
    </row>
    <row r="75" spans="1:5" s="39" customFormat="1" ht="12" customHeight="1" thickBot="1" x14ac:dyDescent="0.2">
      <c r="A75" s="201" t="s">
        <v>249</v>
      </c>
      <c r="B75" s="107" t="s">
        <v>250</v>
      </c>
      <c r="C75" s="1234">
        <f>SUM(C76:C77)</f>
        <v>0</v>
      </c>
      <c r="D75" s="715"/>
      <c r="E75" s="700"/>
    </row>
    <row r="76" spans="1:5" s="39" customFormat="1" ht="12" customHeight="1" x14ac:dyDescent="0.2">
      <c r="A76" s="198" t="s">
        <v>273</v>
      </c>
      <c r="B76" s="184" t="s">
        <v>251</v>
      </c>
      <c r="C76" s="1238"/>
      <c r="D76" s="715"/>
      <c r="E76" s="700"/>
    </row>
    <row r="77" spans="1:5" s="39" customFormat="1" ht="12" customHeight="1" thickBot="1" x14ac:dyDescent="0.25">
      <c r="A77" s="200" t="s">
        <v>274</v>
      </c>
      <c r="B77" s="186" t="s">
        <v>252</v>
      </c>
      <c r="C77" s="1238"/>
      <c r="D77" s="715"/>
      <c r="E77" s="700"/>
    </row>
    <row r="78" spans="1:5" s="38" customFormat="1" ht="12" customHeight="1" thickBot="1" x14ac:dyDescent="0.2">
      <c r="A78" s="201" t="s">
        <v>253</v>
      </c>
      <c r="B78" s="107" t="s">
        <v>254</v>
      </c>
      <c r="C78" s="1234">
        <f>SUM(C79:C81)</f>
        <v>0</v>
      </c>
      <c r="D78" s="715"/>
      <c r="E78" s="700"/>
    </row>
    <row r="79" spans="1:5" s="39" customFormat="1" ht="12" customHeight="1" x14ac:dyDescent="0.2">
      <c r="A79" s="198" t="s">
        <v>275</v>
      </c>
      <c r="B79" s="184" t="s">
        <v>255</v>
      </c>
      <c r="C79" s="1238"/>
      <c r="D79" s="715"/>
      <c r="E79" s="700"/>
    </row>
    <row r="80" spans="1:5" s="39" customFormat="1" ht="12" customHeight="1" x14ac:dyDescent="0.2">
      <c r="A80" s="199" t="s">
        <v>276</v>
      </c>
      <c r="B80" s="185" t="s">
        <v>256</v>
      </c>
      <c r="C80" s="1238"/>
      <c r="D80" s="715"/>
      <c r="E80" s="700"/>
    </row>
    <row r="81" spans="1:5" s="39" customFormat="1" ht="12" customHeight="1" thickBot="1" x14ac:dyDescent="0.25">
      <c r="A81" s="200" t="s">
        <v>277</v>
      </c>
      <c r="B81" s="186" t="s">
        <v>257</v>
      </c>
      <c r="C81" s="1238"/>
      <c r="D81" s="715"/>
      <c r="E81" s="700"/>
    </row>
    <row r="82" spans="1:5" s="39" customFormat="1" ht="12" customHeight="1" thickBot="1" x14ac:dyDescent="0.2">
      <c r="A82" s="201" t="s">
        <v>258</v>
      </c>
      <c r="B82" s="107" t="s">
        <v>278</v>
      </c>
      <c r="C82" s="1234">
        <f>SUM(C83:C86)</f>
        <v>0</v>
      </c>
      <c r="D82" s="715"/>
      <c r="E82" s="700"/>
    </row>
    <row r="83" spans="1:5" s="39" customFormat="1" ht="12" customHeight="1" x14ac:dyDescent="0.2">
      <c r="A83" s="202" t="s">
        <v>259</v>
      </c>
      <c r="B83" s="184" t="s">
        <v>260</v>
      </c>
      <c r="C83" s="1238"/>
      <c r="D83" s="715"/>
      <c r="E83" s="700"/>
    </row>
    <row r="84" spans="1:5" s="39" customFormat="1" ht="12" customHeight="1" x14ac:dyDescent="0.2">
      <c r="A84" s="203" t="s">
        <v>261</v>
      </c>
      <c r="B84" s="185" t="s">
        <v>262</v>
      </c>
      <c r="C84" s="1238"/>
      <c r="D84" s="715"/>
      <c r="E84" s="700"/>
    </row>
    <row r="85" spans="1:5" s="39" customFormat="1" ht="12" customHeight="1" x14ac:dyDescent="0.2">
      <c r="A85" s="203" t="s">
        <v>263</v>
      </c>
      <c r="B85" s="185" t="s">
        <v>264</v>
      </c>
      <c r="C85" s="1238"/>
      <c r="D85" s="715"/>
      <c r="E85" s="700"/>
    </row>
    <row r="86" spans="1:5" s="38" customFormat="1" ht="12" customHeight="1" thickBot="1" x14ac:dyDescent="0.25">
      <c r="A86" s="204" t="s">
        <v>265</v>
      </c>
      <c r="B86" s="186" t="s">
        <v>266</v>
      </c>
      <c r="C86" s="1238"/>
      <c r="D86" s="715"/>
      <c r="E86" s="700"/>
    </row>
    <row r="87" spans="1:5" s="38" customFormat="1" ht="12" customHeight="1" thickBot="1" x14ac:dyDescent="0.2">
      <c r="A87" s="201" t="s">
        <v>267</v>
      </c>
      <c r="B87" s="107" t="s">
        <v>395</v>
      </c>
      <c r="C87" s="1242"/>
      <c r="D87" s="715"/>
      <c r="E87" s="700"/>
    </row>
    <row r="88" spans="1:5" s="38" customFormat="1" ht="12" customHeight="1" thickBot="1" x14ac:dyDescent="0.2">
      <c r="A88" s="201" t="s">
        <v>447</v>
      </c>
      <c r="B88" s="107" t="s">
        <v>268</v>
      </c>
      <c r="C88" s="1242"/>
      <c r="D88" s="715"/>
      <c r="E88" s="700"/>
    </row>
    <row r="89" spans="1:5" s="38" customFormat="1" ht="12" customHeight="1" thickBot="1" x14ac:dyDescent="0.2">
      <c r="A89" s="201" t="s">
        <v>448</v>
      </c>
      <c r="B89" s="191" t="s">
        <v>396</v>
      </c>
      <c r="C89" s="1241">
        <f>+C66+C70+C75+C78+C82+C88+C87</f>
        <v>0</v>
      </c>
      <c r="D89" s="715"/>
      <c r="E89" s="700"/>
    </row>
    <row r="90" spans="1:5" s="38" customFormat="1" ht="12" customHeight="1" thickBot="1" x14ac:dyDescent="0.2">
      <c r="A90" s="205" t="s">
        <v>449</v>
      </c>
      <c r="B90" s="192" t="s">
        <v>450</v>
      </c>
      <c r="C90" s="1241">
        <f>+C65+C89</f>
        <v>592208482</v>
      </c>
      <c r="D90" s="715"/>
      <c r="E90" s="700"/>
    </row>
    <row r="91" spans="1:5" s="32" customFormat="1" ht="16.5" customHeight="1" thickBot="1" x14ac:dyDescent="0.25">
      <c r="A91" s="1474" t="s">
        <v>53</v>
      </c>
      <c r="B91" s="1475"/>
      <c r="C91" s="1476"/>
      <c r="E91" s="700"/>
    </row>
    <row r="92" spans="1:5" s="706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219516757</v>
      </c>
      <c r="E92" s="700"/>
    </row>
    <row r="93" spans="1:5" ht="12" customHeight="1" x14ac:dyDescent="0.2">
      <c r="A93" s="206" t="s">
        <v>85</v>
      </c>
      <c r="B93" s="386" t="s">
        <v>46</v>
      </c>
      <c r="C93" s="1346">
        <f>3472852+1291631+29664224</f>
        <v>34428707</v>
      </c>
      <c r="D93" s="706"/>
      <c r="E93" s="700"/>
    </row>
    <row r="94" spans="1:5" ht="12" customHeight="1" x14ac:dyDescent="0.2">
      <c r="A94" s="199" t="s">
        <v>86</v>
      </c>
      <c r="B94" s="387" t="s">
        <v>134</v>
      </c>
      <c r="C94" s="1347">
        <f>1482606+199020+3385159</f>
        <v>5066785</v>
      </c>
      <c r="D94" s="706"/>
      <c r="E94" s="700"/>
    </row>
    <row r="95" spans="1:5" ht="12" customHeight="1" x14ac:dyDescent="0.2">
      <c r="A95" s="199" t="s">
        <v>87</v>
      </c>
      <c r="B95" s="387" t="s">
        <v>110</v>
      </c>
      <c r="C95" s="1356">
        <f>112474577+11876+31233199+2+13779801</f>
        <v>157499455</v>
      </c>
      <c r="D95" s="706"/>
      <c r="E95" s="700"/>
    </row>
    <row r="96" spans="1:5" ht="12" customHeight="1" x14ac:dyDescent="0.2">
      <c r="A96" s="199" t="s">
        <v>88</v>
      </c>
      <c r="B96" s="390" t="s">
        <v>135</v>
      </c>
      <c r="C96" s="173"/>
      <c r="D96" s="706"/>
      <c r="E96" s="700"/>
    </row>
    <row r="97" spans="1:5" ht="12" customHeight="1" x14ac:dyDescent="0.2">
      <c r="A97" s="199" t="s">
        <v>99</v>
      </c>
      <c r="B97" s="16" t="s">
        <v>136</v>
      </c>
      <c r="C97" s="1356">
        <f>SUM(C98:C109)</f>
        <v>22521810</v>
      </c>
      <c r="D97" s="706"/>
      <c r="E97" s="700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6"/>
      <c r="E98" s="700"/>
    </row>
    <row r="99" spans="1:5" ht="12" customHeight="1" x14ac:dyDescent="0.2">
      <c r="A99" s="199" t="s">
        <v>90</v>
      </c>
      <c r="B99" s="398" t="s">
        <v>400</v>
      </c>
      <c r="C99" s="173"/>
      <c r="D99" s="706"/>
      <c r="E99" s="700"/>
    </row>
    <row r="100" spans="1:5" ht="12" customHeight="1" x14ac:dyDescent="0.2">
      <c r="A100" s="199" t="s">
        <v>100</v>
      </c>
      <c r="B100" s="398" t="s">
        <v>401</v>
      </c>
      <c r="C100" s="173"/>
      <c r="D100" s="706"/>
      <c r="E100" s="700"/>
    </row>
    <row r="101" spans="1:5" ht="12" customHeight="1" x14ac:dyDescent="0.2">
      <c r="A101" s="199" t="s">
        <v>101</v>
      </c>
      <c r="B101" s="398" t="s">
        <v>284</v>
      </c>
      <c r="C101" s="173"/>
      <c r="D101" s="706"/>
      <c r="E101" s="700"/>
    </row>
    <row r="102" spans="1:5" ht="12" customHeight="1" x14ac:dyDescent="0.2">
      <c r="A102" s="199" t="s">
        <v>102</v>
      </c>
      <c r="B102" s="395" t="s">
        <v>285</v>
      </c>
      <c r="C102" s="173"/>
      <c r="D102" s="706"/>
      <c r="E102" s="700"/>
    </row>
    <row r="103" spans="1:5" ht="12" customHeight="1" x14ac:dyDescent="0.2">
      <c r="A103" s="199" t="s">
        <v>103</v>
      </c>
      <c r="B103" s="395" t="s">
        <v>286</v>
      </c>
      <c r="C103" s="173"/>
      <c r="D103" s="706"/>
      <c r="E103" s="700"/>
    </row>
    <row r="104" spans="1:5" ht="12" customHeight="1" x14ac:dyDescent="0.2">
      <c r="A104" s="199" t="s">
        <v>105</v>
      </c>
      <c r="B104" s="398" t="s">
        <v>287</v>
      </c>
      <c r="C104" s="173">
        <f>457259</f>
        <v>457259</v>
      </c>
      <c r="D104" s="706"/>
      <c r="E104" s="700"/>
    </row>
    <row r="105" spans="1:5" ht="12" customHeight="1" x14ac:dyDescent="0.2">
      <c r="A105" s="199" t="s">
        <v>137</v>
      </c>
      <c r="B105" s="398" t="s">
        <v>288</v>
      </c>
      <c r="C105" s="173"/>
      <c r="D105" s="706"/>
      <c r="E105" s="700"/>
    </row>
    <row r="106" spans="1:5" ht="12" customHeight="1" x14ac:dyDescent="0.2">
      <c r="A106" s="199" t="s">
        <v>282</v>
      </c>
      <c r="B106" s="395" t="s">
        <v>289</v>
      </c>
      <c r="C106" s="173"/>
      <c r="D106" s="706"/>
      <c r="E106" s="700"/>
    </row>
    <row r="107" spans="1:5" ht="12" customHeight="1" x14ac:dyDescent="0.2">
      <c r="A107" s="207" t="s">
        <v>283</v>
      </c>
      <c r="B107" s="389" t="s">
        <v>290</v>
      </c>
      <c r="C107" s="173"/>
      <c r="D107" s="706"/>
      <c r="E107" s="700"/>
    </row>
    <row r="108" spans="1:5" ht="12" customHeight="1" x14ac:dyDescent="0.2">
      <c r="A108" s="199" t="s">
        <v>402</v>
      </c>
      <c r="B108" s="389" t="s">
        <v>291</v>
      </c>
      <c r="C108" s="173"/>
      <c r="D108" s="706"/>
      <c r="E108" s="700"/>
    </row>
    <row r="109" spans="1:5" ht="12" customHeight="1" x14ac:dyDescent="0.2">
      <c r="A109" s="199" t="s">
        <v>403</v>
      </c>
      <c r="B109" s="395" t="s">
        <v>292</v>
      </c>
      <c r="C109" s="1347">
        <f>20497388-150000+1330000</f>
        <v>21677388</v>
      </c>
      <c r="D109" s="706"/>
      <c r="E109" s="700"/>
    </row>
    <row r="110" spans="1:5" ht="12" customHeight="1" x14ac:dyDescent="0.2">
      <c r="A110" s="199" t="s">
        <v>404</v>
      </c>
      <c r="B110" s="390" t="s">
        <v>47</v>
      </c>
      <c r="C110" s="764">
        <f>SUM(C111:C112)</f>
        <v>0</v>
      </c>
      <c r="D110" s="706"/>
      <c r="E110" s="700"/>
    </row>
    <row r="111" spans="1:5" ht="12" customHeight="1" x14ac:dyDescent="0.2">
      <c r="A111" s="200" t="s">
        <v>405</v>
      </c>
      <c r="B111" s="387" t="s">
        <v>452</v>
      </c>
      <c r="C111" s="173"/>
      <c r="D111" s="706"/>
      <c r="E111" s="700"/>
    </row>
    <row r="112" spans="1:5" ht="12" customHeight="1" thickBot="1" x14ac:dyDescent="0.25">
      <c r="A112" s="208" t="s">
        <v>407</v>
      </c>
      <c r="B112" s="1118" t="s">
        <v>453</v>
      </c>
      <c r="C112" s="264"/>
      <c r="D112" s="706"/>
      <c r="E112" s="700"/>
    </row>
    <row r="113" spans="1:5" ht="12" customHeight="1" thickBot="1" x14ac:dyDescent="0.25">
      <c r="A113" s="25" t="s">
        <v>17</v>
      </c>
      <c r="B113" s="1119" t="s">
        <v>293</v>
      </c>
      <c r="C113" s="112">
        <f>+C114+C116+C118</f>
        <v>110119361</v>
      </c>
      <c r="D113" s="706"/>
      <c r="E113" s="700"/>
    </row>
    <row r="114" spans="1:5" ht="12" customHeight="1" x14ac:dyDescent="0.2">
      <c r="A114" s="198" t="s">
        <v>91</v>
      </c>
      <c r="B114" s="387" t="s">
        <v>157</v>
      </c>
      <c r="C114" s="1367">
        <f>47592654+8776150-457258+4290000</f>
        <v>60201546</v>
      </c>
      <c r="D114" s="706"/>
      <c r="E114" s="700"/>
    </row>
    <row r="115" spans="1:5" ht="12" customHeight="1" x14ac:dyDescent="0.2">
      <c r="A115" s="198" t="s">
        <v>92</v>
      </c>
      <c r="B115" s="388" t="s">
        <v>297</v>
      </c>
      <c r="C115" s="222"/>
      <c r="D115" s="706"/>
      <c r="E115" s="700"/>
    </row>
    <row r="116" spans="1:5" ht="12" customHeight="1" x14ac:dyDescent="0.2">
      <c r="A116" s="198" t="s">
        <v>93</v>
      </c>
      <c r="B116" s="388" t="s">
        <v>138</v>
      </c>
      <c r="C116" s="764">
        <v>49000000</v>
      </c>
      <c r="D116" s="706"/>
      <c r="E116" s="700"/>
    </row>
    <row r="117" spans="1:5" ht="12" customHeight="1" x14ac:dyDescent="0.2">
      <c r="A117" s="198" t="s">
        <v>94</v>
      </c>
      <c r="B117" s="388" t="s">
        <v>298</v>
      </c>
      <c r="C117" s="764"/>
      <c r="D117" s="706"/>
      <c r="E117" s="700"/>
    </row>
    <row r="118" spans="1:5" ht="12" customHeight="1" x14ac:dyDescent="0.2">
      <c r="A118" s="198" t="s">
        <v>95</v>
      </c>
      <c r="B118" s="380" t="s">
        <v>159</v>
      </c>
      <c r="C118" s="1347">
        <f>SUM(C119:C126)</f>
        <v>917815</v>
      </c>
      <c r="D118" s="706"/>
      <c r="E118" s="700"/>
    </row>
    <row r="119" spans="1:5" ht="12" customHeight="1" x14ac:dyDescent="0.2">
      <c r="A119" s="198" t="s">
        <v>104</v>
      </c>
      <c r="B119" s="379" t="s">
        <v>358</v>
      </c>
      <c r="C119" s="113"/>
      <c r="D119" s="706"/>
      <c r="E119" s="700"/>
    </row>
    <row r="120" spans="1:5" ht="12" customHeight="1" x14ac:dyDescent="0.2">
      <c r="A120" s="198" t="s">
        <v>106</v>
      </c>
      <c r="B120" s="394" t="s">
        <v>303</v>
      </c>
      <c r="C120" s="113"/>
      <c r="D120" s="706"/>
      <c r="E120" s="700"/>
    </row>
    <row r="121" spans="1:5" ht="12" customHeight="1" x14ac:dyDescent="0.2">
      <c r="A121" s="198" t="s">
        <v>139</v>
      </c>
      <c r="B121" s="395" t="s">
        <v>286</v>
      </c>
      <c r="C121" s="113"/>
      <c r="D121" s="706"/>
      <c r="E121" s="700"/>
    </row>
    <row r="122" spans="1:5" ht="12" customHeight="1" x14ac:dyDescent="0.2">
      <c r="A122" s="198" t="s">
        <v>140</v>
      </c>
      <c r="B122" s="395" t="s">
        <v>302</v>
      </c>
      <c r="C122" s="113"/>
      <c r="D122" s="706"/>
      <c r="E122" s="700"/>
    </row>
    <row r="123" spans="1:5" ht="12" customHeight="1" x14ac:dyDescent="0.2">
      <c r="A123" s="198" t="s">
        <v>141</v>
      </c>
      <c r="B123" s="395" t="s">
        <v>301</v>
      </c>
      <c r="C123" s="113"/>
      <c r="D123" s="706"/>
      <c r="E123" s="700"/>
    </row>
    <row r="124" spans="1:5" ht="12" customHeight="1" x14ac:dyDescent="0.2">
      <c r="A124" s="198" t="s">
        <v>294</v>
      </c>
      <c r="B124" s="395" t="s">
        <v>289</v>
      </c>
      <c r="C124" s="113"/>
      <c r="D124" s="706"/>
      <c r="E124" s="700"/>
    </row>
    <row r="125" spans="1:5" ht="12" customHeight="1" x14ac:dyDescent="0.2">
      <c r="A125" s="198" t="s">
        <v>295</v>
      </c>
      <c r="B125" s="395" t="s">
        <v>300</v>
      </c>
      <c r="C125" s="113"/>
      <c r="D125" s="706"/>
      <c r="E125" s="700"/>
    </row>
    <row r="126" spans="1:5" ht="12" customHeight="1" thickBot="1" x14ac:dyDescent="0.25">
      <c r="A126" s="207" t="s">
        <v>296</v>
      </c>
      <c r="B126" s="395" t="s">
        <v>299</v>
      </c>
      <c r="C126" s="1356">
        <f>150000+767815</f>
        <v>917815</v>
      </c>
      <c r="D126" s="706"/>
      <c r="E126" s="700"/>
    </row>
    <row r="127" spans="1:5" ht="12" customHeight="1" thickBot="1" x14ac:dyDescent="0.25">
      <c r="A127" s="25" t="s">
        <v>18</v>
      </c>
      <c r="B127" s="372" t="s">
        <v>409</v>
      </c>
      <c r="C127" s="112">
        <f>+C92+C113</f>
        <v>329636118</v>
      </c>
      <c r="D127" s="706"/>
      <c r="E127" s="700"/>
    </row>
    <row r="128" spans="1:5" ht="12" customHeight="1" thickBot="1" x14ac:dyDescent="0.25">
      <c r="A128" s="25" t="s">
        <v>19</v>
      </c>
      <c r="B128" s="372" t="s">
        <v>410</v>
      </c>
      <c r="C128" s="112">
        <f>+C129+C130+C131</f>
        <v>1668000</v>
      </c>
      <c r="D128" s="706"/>
      <c r="E128" s="700"/>
    </row>
    <row r="129" spans="1:11" s="706" customFormat="1" ht="12" customHeight="1" x14ac:dyDescent="0.2">
      <c r="A129" s="198" t="s">
        <v>195</v>
      </c>
      <c r="B129" s="392" t="s">
        <v>454</v>
      </c>
      <c r="C129" s="764">
        <v>1668000</v>
      </c>
      <c r="E129" s="700"/>
    </row>
    <row r="130" spans="1:11" ht="12" customHeight="1" x14ac:dyDescent="0.2">
      <c r="A130" s="198" t="s">
        <v>198</v>
      </c>
      <c r="B130" s="392" t="s">
        <v>412</v>
      </c>
      <c r="C130" s="764"/>
      <c r="D130" s="706"/>
      <c r="E130" s="700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6"/>
      <c r="E131" s="700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6"/>
      <c r="E132" s="700"/>
    </row>
    <row r="133" spans="1:11" ht="12" customHeight="1" x14ac:dyDescent="0.2">
      <c r="A133" s="198" t="s">
        <v>78</v>
      </c>
      <c r="B133" s="392" t="s">
        <v>415</v>
      </c>
      <c r="C133" s="113"/>
      <c r="D133" s="706"/>
      <c r="E133" s="700"/>
    </row>
    <row r="134" spans="1:11" ht="12" customHeight="1" x14ac:dyDescent="0.2">
      <c r="A134" s="198" t="s">
        <v>79</v>
      </c>
      <c r="B134" s="392" t="s">
        <v>416</v>
      </c>
      <c r="C134" s="113"/>
      <c r="D134" s="706"/>
      <c r="E134" s="700"/>
    </row>
    <row r="135" spans="1:11" ht="12" customHeight="1" x14ac:dyDescent="0.2">
      <c r="A135" s="198" t="s">
        <v>80</v>
      </c>
      <c r="B135" s="392" t="s">
        <v>417</v>
      </c>
      <c r="C135" s="113"/>
      <c r="D135" s="706"/>
      <c r="E135" s="700"/>
    </row>
    <row r="136" spans="1:11" ht="12" customHeight="1" x14ac:dyDescent="0.2">
      <c r="A136" s="198" t="s">
        <v>126</v>
      </c>
      <c r="B136" s="392" t="s">
        <v>456</v>
      </c>
      <c r="C136" s="113"/>
      <c r="D136" s="706"/>
      <c r="E136" s="700"/>
    </row>
    <row r="137" spans="1:11" ht="12" customHeight="1" x14ac:dyDescent="0.2">
      <c r="A137" s="198" t="s">
        <v>127</v>
      </c>
      <c r="B137" s="392" t="s">
        <v>419</v>
      </c>
      <c r="C137" s="113"/>
      <c r="D137" s="706"/>
      <c r="E137" s="700"/>
    </row>
    <row r="138" spans="1:11" s="706" customFormat="1" ht="12" customHeight="1" thickBot="1" x14ac:dyDescent="0.25">
      <c r="A138" s="207" t="s">
        <v>128</v>
      </c>
      <c r="B138" s="393" t="s">
        <v>420</v>
      </c>
      <c r="C138" s="113"/>
      <c r="E138" s="700"/>
    </row>
    <row r="139" spans="1:11" ht="12" customHeight="1" thickBot="1" x14ac:dyDescent="0.25">
      <c r="A139" s="25" t="s">
        <v>21</v>
      </c>
      <c r="B139" s="372" t="s">
        <v>457</v>
      </c>
      <c r="C139" s="117">
        <f>+C140+C141+C142+C143</f>
        <v>0</v>
      </c>
      <c r="D139" s="706"/>
      <c r="E139" s="700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6"/>
      <c r="E140" s="700"/>
    </row>
    <row r="141" spans="1:11" ht="12" customHeight="1" x14ac:dyDescent="0.2">
      <c r="A141" s="198" t="s">
        <v>82</v>
      </c>
      <c r="B141" s="392" t="s">
        <v>305</v>
      </c>
      <c r="C141" s="113"/>
      <c r="D141" s="706"/>
      <c r="E141" s="700"/>
    </row>
    <row r="142" spans="1:11" s="706" customFormat="1" ht="12" customHeight="1" x14ac:dyDescent="0.2">
      <c r="A142" s="198" t="s">
        <v>218</v>
      </c>
      <c r="B142" s="392" t="s">
        <v>422</v>
      </c>
      <c r="C142" s="113"/>
      <c r="E142" s="700"/>
    </row>
    <row r="143" spans="1:11" s="706" customFormat="1" ht="12" customHeight="1" thickBot="1" x14ac:dyDescent="0.25">
      <c r="A143" s="207" t="s">
        <v>219</v>
      </c>
      <c r="B143" s="393" t="s">
        <v>323</v>
      </c>
      <c r="C143" s="113"/>
      <c r="E143" s="700"/>
    </row>
    <row r="144" spans="1:11" s="706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0"/>
    </row>
    <row r="145" spans="1:5" s="706" customFormat="1" ht="12" customHeight="1" x14ac:dyDescent="0.2">
      <c r="A145" s="198" t="s">
        <v>83</v>
      </c>
      <c r="B145" s="392" t="s">
        <v>424</v>
      </c>
      <c r="C145" s="113"/>
      <c r="E145" s="700"/>
    </row>
    <row r="146" spans="1:5" s="706" customFormat="1" ht="12" customHeight="1" x14ac:dyDescent="0.2">
      <c r="A146" s="198" t="s">
        <v>84</v>
      </c>
      <c r="B146" s="392" t="s">
        <v>425</v>
      </c>
      <c r="C146" s="113"/>
      <c r="E146" s="700"/>
    </row>
    <row r="147" spans="1:5" s="706" customFormat="1" ht="12" customHeight="1" x14ac:dyDescent="0.2">
      <c r="A147" s="198" t="s">
        <v>230</v>
      </c>
      <c r="B147" s="392" t="s">
        <v>426</v>
      </c>
      <c r="C147" s="113"/>
      <c r="E147" s="700"/>
    </row>
    <row r="148" spans="1:5" ht="12.75" customHeight="1" x14ac:dyDescent="0.2">
      <c r="A148" s="198" t="s">
        <v>231</v>
      </c>
      <c r="B148" s="392" t="s">
        <v>458</v>
      </c>
      <c r="C148" s="113"/>
      <c r="D148" s="706"/>
      <c r="E148" s="700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6"/>
      <c r="E149" s="700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6"/>
      <c r="E150" s="700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6"/>
      <c r="E151" s="700"/>
    </row>
    <row r="152" spans="1:5" ht="15" customHeight="1" thickBot="1" x14ac:dyDescent="0.25">
      <c r="A152" s="25" t="s">
        <v>25</v>
      </c>
      <c r="B152" s="372" t="s">
        <v>432</v>
      </c>
      <c r="C152" s="194">
        <f>+C128+C132+C139+C144+C150+C151</f>
        <v>1668000</v>
      </c>
      <c r="D152" s="706"/>
      <c r="E152" s="700"/>
    </row>
    <row r="153" spans="1:5" ht="16.5" thickBot="1" x14ac:dyDescent="0.25">
      <c r="A153" s="209" t="s">
        <v>26</v>
      </c>
      <c r="B153" s="375" t="s">
        <v>433</v>
      </c>
      <c r="C153" s="194">
        <f>+C127+C152</f>
        <v>331304118</v>
      </c>
      <c r="D153" s="706"/>
      <c r="E153" s="700"/>
    </row>
    <row r="154" spans="1:5" ht="14.25" customHeight="1" thickBot="1" x14ac:dyDescent="0.25">
      <c r="A154" s="1620" t="s">
        <v>1062</v>
      </c>
      <c r="B154" s="1621"/>
      <c r="C154" s="1622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zoomScale="115" zoomScaleNormal="115" zoomScaleSheetLayoutView="100" zoomScalePageLayoutView="85" workbookViewId="0">
      <selection activeCell="I17" sqref="I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14" style="316" customWidth="1"/>
    <col min="4" max="4" width="10" style="713" hidden="1" customWidth="1"/>
    <col min="5" max="5" width="10.5" style="713" hidden="1" customWidth="1"/>
    <col min="6" max="6" width="9.33203125" style="717" hidden="1" customWidth="1"/>
    <col min="7" max="9" width="9.33203125" style="717" customWidth="1"/>
    <col min="10" max="19" width="9.33203125" style="717"/>
    <col min="20" max="16384" width="9.33203125" style="708"/>
  </cols>
  <sheetData>
    <row r="1" spans="1:19" x14ac:dyDescent="0.2">
      <c r="A1" s="1477" t="str">
        <f>CONCATENATE("13. melléklet"," ",ALAPADATOK!A7," ",ALAPADATOK!B7," ",ALAPADATOK!C7," ",ALAPADATOK!D7," ",ALAPADATOK!E7," ",ALAPADATOK!F7," ",ALAPADATOK!G7," ",ALAPADATOK!H7)</f>
        <v>13. melléklet a .. / 2022. ( …... ) önkormányzati rendelethez</v>
      </c>
      <c r="B1" s="1477"/>
      <c r="C1" s="1477"/>
    </row>
    <row r="2" spans="1:19" s="77" customFormat="1" ht="21" customHeight="1" x14ac:dyDescent="0.2">
      <c r="A2" s="76"/>
      <c r="B2" s="78"/>
      <c r="C2" s="216"/>
      <c r="D2" s="713"/>
      <c r="E2" s="713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28" t="s">
        <v>900</v>
      </c>
      <c r="B3" s="1428"/>
      <c r="C3" s="1428"/>
      <c r="D3" s="712"/>
      <c r="E3" s="712"/>
      <c r="F3" s="711"/>
    </row>
    <row r="4" spans="1:19" ht="24.75" thickBot="1" x14ac:dyDescent="0.25">
      <c r="A4" s="175" t="s">
        <v>153</v>
      </c>
      <c r="B4" s="81" t="s">
        <v>50</v>
      </c>
      <c r="C4" s="82" t="s">
        <v>897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8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6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1198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1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6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1198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6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6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8">
        <f>SUM(C20:C22)</f>
        <v>16865647</v>
      </c>
      <c r="D19" s="347">
        <f>'18. sz. mell PH.'!C19+'19. sz. mell PH.'!C19+'20. sz. mell. PH.'!C19</f>
        <v>16865647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6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1">
        <f>4442252+12423395</f>
        <v>16865647</v>
      </c>
      <c r="D22" s="347">
        <f>'18. sz. mell PH.'!C22+'19. sz. mell PH.'!C22+'20. sz. mell. PH.'!C22</f>
        <v>16865647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6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5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7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5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7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70247034</v>
      </c>
      <c r="D36" s="347">
        <f>'18. sz. mell PH.'!C36+'19. sz. mell PH.'!C36+'20. sz. mell. PH.'!C36</f>
        <v>70247034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59">
        <f>+C38+C39+C40</f>
        <v>440935939</v>
      </c>
      <c r="D37" s="347">
        <f>'18. sz. mell PH.'!C37+'19. sz. mell PH.'!C37+'20. sz. mell. PH.'!C37</f>
        <v>440935939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5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4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03">
        <f>437259318+1417560+1875666</f>
        <v>440552544</v>
      </c>
      <c r="D40" s="347">
        <f>'18. sz. mell PH.'!C40+'19. sz. mell PH.'!C40+'20. sz. mell. PH.'!C40</f>
        <v>440552544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511182973</v>
      </c>
      <c r="D41" s="347">
        <f>'18. sz. mell PH.'!C41+'19. sz. mell PH.'!C41+'20. sz. mell. PH.'!C41</f>
        <v>511182973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3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8">
        <f>SUM(C46:C50)</f>
        <v>506087963</v>
      </c>
      <c r="D45" s="347">
        <f>'18. sz. mell PH.'!C45+'19. sz. mell PH.'!C45+'20. sz. mell. PH.'!C45</f>
        <v>506087963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0">
        <f>199255493+4615000+11396312</f>
        <v>215266805</v>
      </c>
      <c r="D46" s="347">
        <f>'18. sz. mell PH.'!C46+'19. sz. mell PH.'!C46+'20. sz. mell. PH.'!C46</f>
        <v>215266805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1">
        <f>33797395+644812+1463627</f>
        <v>35905834</v>
      </c>
      <c r="D47" s="347">
        <f>'18. sz. mell PH.'!C47+'19. sz. mell PH.'!C47+'20. sz. mell. PH.'!C47</f>
        <v>35905834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1">
        <f>252461386+1014816+1439122</f>
        <v>254915324</v>
      </c>
      <c r="D48" s="347">
        <f>'18. sz. mell PH.'!C48+'19. sz. mell PH.'!C48+'20. sz. mell. PH.'!C48</f>
        <v>254915324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6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6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8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5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6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6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6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511182973</v>
      </c>
      <c r="D57" s="347">
        <f>'18. sz. mell PH.'!C57+'19. sz. mell PH.'!C57+'20. sz. mell. PH.'!C57</f>
        <v>511182973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72" t="s">
        <v>459</v>
      </c>
      <c r="B59" s="1473"/>
      <c r="C59" s="1281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20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15" zoomScalePageLayoutView="85" workbookViewId="0">
      <selection activeCell="C9" sqref="C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7" customWidth="1"/>
    <col min="4" max="4" width="18" style="170" hidden="1" customWidth="1"/>
    <col min="5" max="5" width="14.5" style="170" hidden="1" customWidth="1"/>
    <col min="6" max="8" width="15.33203125" style="736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4" width="0" style="170" hidden="1" customWidth="1"/>
    <col min="15" max="16384" width="9.33203125" style="170"/>
  </cols>
  <sheetData>
    <row r="1" spans="1:12" s="641" customFormat="1" x14ac:dyDescent="0.25">
      <c r="A1" s="1417" t="str">
        <f>CONCATENATE("1. melléklet"," ",ALAPADATOK!A7," ",ALAPADATOK!B7," ",ALAPADATOK!C7," ",ALAPADATOK!D7," ",ALAPADATOK!E7," ",ALAPADATOK!F7," ",ALAPADATOK!G7," ",ALAPADATOK!H7)</f>
        <v>1. melléklet a .. / 2022. ( …... ) önkormányzati rendelethez</v>
      </c>
      <c r="B1" s="1417"/>
      <c r="C1" s="1417"/>
      <c r="F1" s="736"/>
      <c r="G1" s="736"/>
      <c r="H1" s="736"/>
      <c r="K1" s="330"/>
      <c r="L1" s="331"/>
    </row>
    <row r="2" spans="1:12" s="649" customFormat="1" x14ac:dyDescent="0.25">
      <c r="A2" s="664"/>
      <c r="B2" s="664"/>
      <c r="C2" s="664"/>
      <c r="F2" s="736"/>
      <c r="G2" s="736"/>
      <c r="H2" s="736"/>
      <c r="K2" s="330"/>
      <c r="L2" s="331"/>
    </row>
    <row r="3" spans="1:12" s="641" customFormat="1" x14ac:dyDescent="0.25">
      <c r="A3" s="1422" t="str">
        <f>CONCATENATE(ALAPADATOK!A3)</f>
        <v>Tiszavasvári Város Önkormányzat</v>
      </c>
      <c r="B3" s="1422"/>
      <c r="C3" s="1422"/>
      <c r="D3" s="1422"/>
      <c r="E3" s="1422"/>
      <c r="F3" s="1422"/>
      <c r="G3" s="1422"/>
      <c r="H3" s="1422"/>
      <c r="I3" s="1422"/>
      <c r="K3" s="330"/>
      <c r="L3" s="331"/>
    </row>
    <row r="4" spans="1:12" s="641" customFormat="1" x14ac:dyDescent="0.25">
      <c r="A4" s="1421" t="str">
        <f>CONCATENATE(ALAPADATOK!D7," ÉVI KÖLTSÉGVETÉS")</f>
        <v>2022. ÉVI KÖLTSÉGVETÉS</v>
      </c>
      <c r="B4" s="1421"/>
      <c r="C4" s="1421"/>
      <c r="D4" s="1421"/>
      <c r="E4" s="1421"/>
      <c r="F4" s="1421"/>
      <c r="G4" s="1421"/>
      <c r="H4" s="1421"/>
      <c r="I4" s="1421"/>
      <c r="K4" s="330"/>
      <c r="L4" s="331"/>
    </row>
    <row r="5" spans="1:12" s="641" customFormat="1" x14ac:dyDescent="0.25">
      <c r="A5" s="1421" t="s">
        <v>677</v>
      </c>
      <c r="B5" s="1421"/>
      <c r="C5" s="1421"/>
      <c r="D5" s="1421"/>
      <c r="E5" s="1421"/>
      <c r="F5" s="1421"/>
      <c r="G5" s="1421"/>
      <c r="H5" s="1421"/>
      <c r="I5" s="1421"/>
      <c r="K5" s="330"/>
      <c r="L5" s="331"/>
    </row>
    <row r="6" spans="1:12" s="641" customFormat="1" x14ac:dyDescent="0.25">
      <c r="C6" s="737"/>
      <c r="F6" s="736"/>
      <c r="G6" s="736"/>
      <c r="H6" s="736"/>
      <c r="K6" s="330"/>
      <c r="L6" s="331"/>
    </row>
    <row r="7" spans="1:12" ht="15.95" customHeight="1" x14ac:dyDescent="0.25">
      <c r="A7" s="1419" t="s">
        <v>13</v>
      </c>
      <c r="B7" s="1419"/>
      <c r="C7" s="1419"/>
      <c r="D7" s="736"/>
      <c r="E7" s="736"/>
      <c r="I7" s="736"/>
    </row>
    <row r="8" spans="1:12" ht="15.95" customHeight="1" thickBot="1" x14ac:dyDescent="0.3">
      <c r="A8" s="1032" t="s">
        <v>114</v>
      </c>
      <c r="B8" s="1032"/>
      <c r="C8" s="896" t="s">
        <v>487</v>
      </c>
      <c r="D8" s="736"/>
      <c r="E8" s="736"/>
      <c r="I8" s="736"/>
    </row>
    <row r="9" spans="1:12" ht="38.1" customHeight="1" thickBot="1" x14ac:dyDescent="0.3">
      <c r="A9" s="20" t="s">
        <v>63</v>
      </c>
      <c r="B9" s="21" t="s">
        <v>15</v>
      </c>
      <c r="C9" s="503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897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1992070340</v>
      </c>
      <c r="D11" s="266">
        <f t="shared" ref="D11:I11" si="1">+D12+D13+D14+D17+D18+D19</f>
        <v>1992070340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1992070340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60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749">
        <f t="shared" si="0"/>
        <v>293055250</v>
      </c>
      <c r="D13" s="1161">
        <f>296342550-3287300</f>
        <v>293055250</v>
      </c>
      <c r="E13" s="764"/>
      <c r="F13" s="764"/>
      <c r="G13" s="764"/>
      <c r="H13" s="764"/>
      <c r="I13" s="764"/>
      <c r="K13" s="332">
        <f>'2. sz.mell. '!C13+'3. sz.mell.'!C13+'4. sz.mell. '!C13+'5. sz.mell.'!C13</f>
        <v>293055250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720</v>
      </c>
      <c r="C14" s="749">
        <f t="shared" si="0"/>
        <v>1033629740</v>
      </c>
      <c r="D14" s="1161">
        <f t="shared" ref="D14:I14" si="3">SUM(D15:D16)</f>
        <v>1033629740</v>
      </c>
      <c r="E14" s="764">
        <f t="shared" si="3"/>
        <v>0</v>
      </c>
      <c r="F14" s="764">
        <f t="shared" si="3"/>
        <v>0</v>
      </c>
      <c r="G14" s="764">
        <f t="shared" si="3"/>
        <v>0</v>
      </c>
      <c r="H14" s="764">
        <f t="shared" si="3"/>
        <v>0</v>
      </c>
      <c r="I14" s="764">
        <f t="shared" si="3"/>
        <v>0</v>
      </c>
      <c r="K14" s="332">
        <f>'2. sz.mell. '!C14+'3. sz.mell.'!C14+'4. sz.mell. '!C14+'5. sz.mell.'!C14</f>
        <v>1033629740</v>
      </c>
      <c r="L14" s="334">
        <f t="shared" si="2"/>
        <v>0</v>
      </c>
    </row>
    <row r="15" spans="1:12" s="183" customFormat="1" ht="12" customHeight="1" thickBot="1" x14ac:dyDescent="0.25">
      <c r="A15" s="11" t="s">
        <v>718</v>
      </c>
      <c r="B15" s="185" t="s">
        <v>721</v>
      </c>
      <c r="C15" s="749">
        <f t="shared" si="0"/>
        <v>756229572</v>
      </c>
      <c r="D15" s="1161">
        <f>586051194+153930858+16247520</f>
        <v>756229572</v>
      </c>
      <c r="E15" s="764"/>
      <c r="F15" s="764"/>
      <c r="G15" s="764"/>
      <c r="H15" s="764"/>
      <c r="I15" s="764"/>
      <c r="K15" s="332">
        <f>'2. sz.mell. '!C15+'3. sz.mell.'!C15+'4. sz.mell. '!C15+'5. sz.mell.'!C15</f>
        <v>756229572</v>
      </c>
      <c r="L15" s="334">
        <f t="shared" si="2"/>
        <v>0</v>
      </c>
    </row>
    <row r="16" spans="1:12" s="183" customFormat="1" ht="12" customHeight="1" thickBot="1" x14ac:dyDescent="0.25">
      <c r="A16" s="11" t="s">
        <v>719</v>
      </c>
      <c r="B16" s="185" t="s">
        <v>722</v>
      </c>
      <c r="C16" s="749">
        <f t="shared" si="0"/>
        <v>277400168</v>
      </c>
      <c r="D16" s="1161">
        <f>271004659+9943669-3548160</f>
        <v>277400168</v>
      </c>
      <c r="E16" s="764"/>
      <c r="F16" s="764"/>
      <c r="G16" s="764"/>
      <c r="H16" s="764"/>
      <c r="I16" s="764"/>
      <c r="K16" s="332">
        <f>'2. sz.mell. '!C16+'3. sz.mell.'!C16+'4. sz.mell. '!C16+'5. sz.mell.'!C16</f>
        <v>277400168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14">
        <f t="shared" si="0"/>
        <v>42342119</v>
      </c>
      <c r="D17" s="1161">
        <f>41287119+1055000</f>
        <v>42342119</v>
      </c>
      <c r="E17" s="764"/>
      <c r="F17" s="764"/>
      <c r="G17" s="764"/>
      <c r="H17" s="764"/>
      <c r="I17" s="764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14">
        <f t="shared" si="0"/>
        <v>321806340</v>
      </c>
      <c r="D18" s="1161">
        <f>335081987-13275647</f>
        <v>321806340</v>
      </c>
      <c r="E18" s="764"/>
      <c r="F18" s="764"/>
      <c r="G18" s="764"/>
      <c r="H18" s="764"/>
      <c r="I18" s="764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400184172</v>
      </c>
      <c r="D20" s="266">
        <f t="shared" ref="D20:I20" si="4">+D21+D22+D23+D24+D25</f>
        <v>348807912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400184172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49">
        <f t="shared" si="0"/>
        <v>400184172</v>
      </c>
      <c r="D25" s="1154">
        <f>219593831+17717899+5800000+105696182</f>
        <v>348807912</v>
      </c>
      <c r="E25" s="764"/>
      <c r="F25" s="764"/>
      <c r="G25" s="1161">
        <v>273480</v>
      </c>
      <c r="H25" s="764"/>
      <c r="I25" s="1207">
        <v>51102780</v>
      </c>
      <c r="K25" s="332">
        <f>'2. sz.mell. '!C25+'3. sz.mell.'!C25+'4. sz.mell. '!C25+'5. sz.mell.'!C25</f>
        <v>400184172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1395">
        <f t="shared" si="0"/>
        <v>93758165</v>
      </c>
      <c r="D26" s="766">
        <f>8283554+17143608+30768216+37562787</f>
        <v>93758165</v>
      </c>
      <c r="E26" s="173"/>
      <c r="F26" s="173"/>
      <c r="G26" s="173"/>
      <c r="H26" s="173"/>
      <c r="I26" s="173"/>
      <c r="K26" s="332">
        <f>'2. sz.mell. '!C26+'3. sz.mell.'!C26+'4. sz.mell. '!C26+'5. sz.mell.'!C26</f>
        <v>93758165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431409880</v>
      </c>
      <c r="D27" s="266">
        <f t="shared" ref="D27:I27" si="5">+D28+D29+D30+D31+D32</f>
        <v>412548890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431409880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56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7">
        <f t="shared" si="0"/>
        <v>0</v>
      </c>
      <c r="D29" s="765"/>
      <c r="E29" s="764"/>
      <c r="F29" s="764"/>
      <c r="G29" s="764"/>
      <c r="H29" s="764"/>
      <c r="I29" s="764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5"/>
      <c r="E30" s="764"/>
      <c r="F30" s="764"/>
      <c r="G30" s="764"/>
      <c r="H30" s="764"/>
      <c r="I30" s="764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5"/>
      <c r="E31" s="764"/>
      <c r="F31" s="764"/>
      <c r="G31" s="764"/>
      <c r="H31" s="764"/>
      <c r="I31" s="764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749">
        <f t="shared" si="0"/>
        <v>402636880</v>
      </c>
      <c r="D32" s="1154">
        <f>242049642+141726248</f>
        <v>383775890</v>
      </c>
      <c r="E32" s="764"/>
      <c r="F32" s="764"/>
      <c r="G32" s="764"/>
      <c r="H32" s="764"/>
      <c r="I32" s="764">
        <v>18860990</v>
      </c>
      <c r="K32" s="332">
        <f>'2. sz.mell. '!C32+'3. sz.mell.'!C32+'4. sz.mell. '!C32+'5. sz.mell.'!C32</f>
        <v>402636880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1395">
        <f t="shared" si="0"/>
        <v>379485890</v>
      </c>
      <c r="D33" s="766">
        <f>228389521+12853698+806423+137436248</f>
        <v>379485890</v>
      </c>
      <c r="E33" s="173"/>
      <c r="F33" s="173"/>
      <c r="G33" s="173"/>
      <c r="H33" s="173"/>
      <c r="I33" s="173"/>
      <c r="K33" s="332">
        <f>'2. sz.mell. '!C33+'3. sz.mell.'!C33+'4. sz.mell. '!C33+'5. sz.mell.'!C33</f>
        <v>379485890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>SUM(D35:I35)</f>
        <v>376555000</v>
      </c>
      <c r="D35" s="281">
        <f t="shared" ref="D35:I35" si="7">SUM(D36:D37)</f>
        <v>376555000</v>
      </c>
      <c r="E35" s="281">
        <f t="shared" si="7"/>
        <v>0</v>
      </c>
      <c r="F35" s="281">
        <f t="shared" si="7"/>
        <v>0</v>
      </c>
      <c r="G35" s="281">
        <f t="shared" si="7"/>
        <v>0</v>
      </c>
      <c r="H35" s="281">
        <f t="shared" si="7"/>
        <v>0</v>
      </c>
      <c r="I35" s="281">
        <f t="shared" si="7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>SUM(D36:I36)</f>
        <v>90500000</v>
      </c>
      <c r="D36" s="1159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>SUM(D37:I37)</f>
        <v>286055000</v>
      </c>
      <c r="D37" s="1159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>SUM(D38:I38)</f>
        <v>0</v>
      </c>
      <c r="D38" s="765"/>
      <c r="E38" s="764"/>
      <c r="F38" s="764"/>
      <c r="G38" s="764"/>
      <c r="H38" s="764"/>
      <c r="I38" s="764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>SUM(D39:I39)</f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55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340797944</v>
      </c>
      <c r="D41" s="266">
        <f t="shared" ref="D41:I41" si="8">SUM(D42:D52)</f>
        <v>67060046</v>
      </c>
      <c r="E41" s="112">
        <f t="shared" si="8"/>
        <v>53381387</v>
      </c>
      <c r="F41" s="112">
        <f t="shared" si="8"/>
        <v>12717238</v>
      </c>
      <c r="G41" s="112">
        <f t="shared" si="8"/>
        <v>16536282</v>
      </c>
      <c r="H41" s="112">
        <f t="shared" si="8"/>
        <v>1259535</v>
      </c>
      <c r="I41" s="112">
        <f t="shared" si="8"/>
        <v>189843456</v>
      </c>
      <c r="K41" s="332">
        <f>'2. sz.mell. '!C41+'3. sz.mell.'!C41+'4. sz.mell. '!C41+'5. sz.mell.'!C41</f>
        <v>340797944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7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749">
        <f t="shared" si="0"/>
        <v>49507863</v>
      </c>
      <c r="D43" s="1154">
        <f>13481102+992926</f>
        <v>14474028</v>
      </c>
      <c r="E43" s="1161">
        <v>10800000</v>
      </c>
      <c r="F43" s="1160">
        <v>600000</v>
      </c>
      <c r="G43" s="1160">
        <v>11089435</v>
      </c>
      <c r="H43" s="222"/>
      <c r="I43" s="222">
        <v>12544400</v>
      </c>
      <c r="K43" s="332">
        <f>'2. sz.mell. '!C43+'3. sz.mell.'!C43+'4. sz.mell. '!C43+'5. sz.mell.'!C43</f>
        <v>49507863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749">
        <f t="shared" ref="C44:C94" si="9">SUM(D44:I44)</f>
        <v>34934427</v>
      </c>
      <c r="D44" s="1154">
        <f>13152488+250000</f>
        <v>13402488</v>
      </c>
      <c r="E44" s="1161">
        <f>4904339+357600</f>
        <v>5261939</v>
      </c>
      <c r="F44" s="1160">
        <v>6080000</v>
      </c>
      <c r="G44" s="1160">
        <v>40000</v>
      </c>
      <c r="H44" s="222"/>
      <c r="I44" s="222">
        <v>10150000</v>
      </c>
      <c r="K44" s="332">
        <f>'2. sz.mell. '!C44+'3. sz.mell.'!C44+'4. sz.mell. '!C44+'5. sz.mell.'!C44</f>
        <v>34934427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14">
        <f t="shared" si="9"/>
        <v>9500000</v>
      </c>
      <c r="D45" s="1154">
        <v>9500000</v>
      </c>
      <c r="E45" s="764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1214">
        <f>SUM(D46:I46)</f>
        <v>186164431</v>
      </c>
      <c r="D46" s="765"/>
      <c r="E46" s="1161">
        <v>18214365</v>
      </c>
      <c r="F46" s="1160">
        <v>3325699</v>
      </c>
      <c r="G46" s="1160"/>
      <c r="H46" s="1160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749">
        <f t="shared" si="9"/>
        <v>24309746</v>
      </c>
      <c r="D47" s="1154">
        <f>8508178+335590</f>
        <v>8843768</v>
      </c>
      <c r="E47" s="1161">
        <f>6728050+57216</f>
        <v>6785266</v>
      </c>
      <c r="F47" s="1160">
        <v>2701539</v>
      </c>
      <c r="G47" s="1160">
        <v>2194949</v>
      </c>
      <c r="H47" s="222"/>
      <c r="I47" s="222">
        <v>3784224</v>
      </c>
      <c r="K47" s="332">
        <f>'2. sz.mell. '!C47+'3. sz.mell.'!C47+'4. sz.mell. '!C47+'5. sz.mell.'!C47</f>
        <v>24309746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14">
        <f t="shared" si="9"/>
        <v>31678717</v>
      </c>
      <c r="D48" s="1154">
        <v>19458900</v>
      </c>
      <c r="E48" s="1161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9"/>
        <v>0</v>
      </c>
      <c r="D49" s="765"/>
      <c r="E49" s="764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9"/>
        <v>0</v>
      </c>
      <c r="D50" s="765"/>
      <c r="E50" s="764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9"/>
        <v>0</v>
      </c>
      <c r="D51" s="766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1395">
        <f t="shared" si="9"/>
        <v>4702760</v>
      </c>
      <c r="D52" s="1155">
        <f>1107601+273261</f>
        <v>1380862</v>
      </c>
      <c r="E52" s="1163">
        <v>100000</v>
      </c>
      <c r="F52" s="1160">
        <v>10000</v>
      </c>
      <c r="G52" s="1160">
        <v>3211898</v>
      </c>
      <c r="H52" s="222"/>
      <c r="I52" s="222"/>
      <c r="K52" s="332">
        <f>'2. sz.mell. '!C52+'3. sz.mell.'!C52+'4. sz.mell. '!C52+'5. sz.mell.'!C52</f>
        <v>4702760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9"/>
        <v>48000000</v>
      </c>
      <c r="D53" s="266">
        <f t="shared" ref="D53:I53" si="10">SUM(D54:D58)</f>
        <v>48000000</v>
      </c>
      <c r="E53" s="112">
        <f t="shared" si="10"/>
        <v>0</v>
      </c>
      <c r="F53" s="112">
        <f t="shared" si="10"/>
        <v>0</v>
      </c>
      <c r="G53" s="112">
        <f t="shared" si="10"/>
        <v>0</v>
      </c>
      <c r="H53" s="112">
        <f t="shared" si="10"/>
        <v>0</v>
      </c>
      <c r="I53" s="112">
        <f t="shared" si="10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898">
        <f t="shared" si="9"/>
        <v>0</v>
      </c>
      <c r="D54" s="767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9"/>
        <v>48000000</v>
      </c>
      <c r="D55" s="1154">
        <v>48000000</v>
      </c>
      <c r="E55" s="764"/>
      <c r="F55" s="764"/>
      <c r="G55" s="764"/>
      <c r="H55" s="764"/>
      <c r="I55" s="764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9"/>
        <v>0</v>
      </c>
      <c r="D56" s="765"/>
      <c r="E56" s="764"/>
      <c r="F56" s="764"/>
      <c r="G56" s="764"/>
      <c r="H56" s="764"/>
      <c r="I56" s="764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9"/>
        <v>0</v>
      </c>
      <c r="D57" s="765"/>
      <c r="E57" s="764"/>
      <c r="F57" s="764"/>
      <c r="G57" s="764"/>
      <c r="H57" s="764"/>
      <c r="I57" s="764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899">
        <f t="shared" si="9"/>
        <v>0</v>
      </c>
      <c r="D58" s="766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9"/>
        <v>1656096</v>
      </c>
      <c r="D59" s="266">
        <f t="shared" ref="D59:I59" si="11">SUM(D60:D62)</f>
        <v>1656096</v>
      </c>
      <c r="E59" s="112">
        <f t="shared" si="11"/>
        <v>0</v>
      </c>
      <c r="F59" s="112">
        <f t="shared" si="11"/>
        <v>0</v>
      </c>
      <c r="G59" s="112">
        <f t="shared" si="11"/>
        <v>0</v>
      </c>
      <c r="H59" s="112">
        <f t="shared" si="11"/>
        <v>0</v>
      </c>
      <c r="I59" s="112">
        <f t="shared" si="11"/>
        <v>0</v>
      </c>
      <c r="K59" s="332">
        <f>'2. sz.mell. '!C59+'3. sz.mell.'!C59+'4. sz.mell. '!C59+'5. sz.mell.'!C59</f>
        <v>1656096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9"/>
        <v>1000000</v>
      </c>
      <c r="D60" s="1162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9"/>
        <v>200000</v>
      </c>
      <c r="D61" s="1154">
        <v>200000</v>
      </c>
      <c r="E61" s="764"/>
      <c r="F61" s="764"/>
      <c r="G61" s="764"/>
      <c r="H61" s="764"/>
      <c r="I61" s="764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749">
        <f t="shared" si="9"/>
        <v>456096</v>
      </c>
      <c r="D62" s="765">
        <v>456096</v>
      </c>
      <c r="E62" s="764"/>
      <c r="F62" s="764"/>
      <c r="G62" s="764"/>
      <c r="H62" s="764"/>
      <c r="I62" s="764"/>
      <c r="K62" s="332">
        <f>'2. sz.mell. '!C62+'3. sz.mell.'!C62+'4. sz.mell. '!C62+'5. sz.mell.'!C62</f>
        <v>456096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9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9"/>
        <v>0</v>
      </c>
      <c r="D64" s="266">
        <f t="shared" ref="D64:I64" si="12">SUM(D65:D67)</f>
        <v>0</v>
      </c>
      <c r="E64" s="112">
        <f t="shared" si="12"/>
        <v>0</v>
      </c>
      <c r="F64" s="112">
        <f t="shared" si="12"/>
        <v>0</v>
      </c>
      <c r="G64" s="112">
        <f t="shared" si="12"/>
        <v>0</v>
      </c>
      <c r="H64" s="112">
        <f t="shared" si="12"/>
        <v>0</v>
      </c>
      <c r="I64" s="112">
        <f t="shared" si="12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898">
        <f t="shared" si="9"/>
        <v>0</v>
      </c>
      <c r="D65" s="765"/>
      <c r="E65" s="764"/>
      <c r="F65" s="764"/>
      <c r="G65" s="764"/>
      <c r="H65" s="764"/>
      <c r="I65" s="764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7">
        <f t="shared" si="9"/>
        <v>0</v>
      </c>
      <c r="D66" s="765"/>
      <c r="E66" s="764"/>
      <c r="F66" s="764"/>
      <c r="G66" s="764"/>
      <c r="H66" s="764"/>
      <c r="I66" s="764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9"/>
        <v>0</v>
      </c>
      <c r="D67" s="765"/>
      <c r="E67" s="764"/>
      <c r="F67" s="764"/>
      <c r="G67" s="764"/>
      <c r="H67" s="764"/>
      <c r="I67" s="764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9"/>
        <v>0</v>
      </c>
      <c r="D68" s="765"/>
      <c r="E68" s="764"/>
      <c r="F68" s="764"/>
      <c r="G68" s="764"/>
      <c r="H68" s="764"/>
      <c r="I68" s="764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9"/>
        <v>3605473432</v>
      </c>
      <c r="D69" s="269">
        <f t="shared" ref="D69:I69" si="13">+D11+D20+D27+D34+D41+D53+D59+D64</f>
        <v>3261498284</v>
      </c>
      <c r="E69" s="117">
        <f t="shared" si="13"/>
        <v>53381387</v>
      </c>
      <c r="F69" s="117">
        <f t="shared" si="13"/>
        <v>12717238</v>
      </c>
      <c r="G69" s="117">
        <f t="shared" si="13"/>
        <v>16809762</v>
      </c>
      <c r="H69" s="117">
        <f t="shared" si="13"/>
        <v>1259535</v>
      </c>
      <c r="I69" s="117">
        <f t="shared" si="13"/>
        <v>259807226</v>
      </c>
      <c r="K69" s="332">
        <f>'2. sz.mell. '!C69+'3. sz.mell.'!C69+'4. sz.mell. '!C69+'5. sz.mell.'!C69</f>
        <v>3605473432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9"/>
        <v>1187733250</v>
      </c>
      <c r="D70" s="266">
        <f t="shared" ref="D70:I70" si="14">SUM(D71:D73)</f>
        <v>1187733250</v>
      </c>
      <c r="E70" s="112">
        <f t="shared" si="14"/>
        <v>0</v>
      </c>
      <c r="F70" s="112">
        <f t="shared" si="14"/>
        <v>0</v>
      </c>
      <c r="G70" s="112">
        <f t="shared" si="14"/>
        <v>0</v>
      </c>
      <c r="H70" s="112">
        <f t="shared" si="14"/>
        <v>0</v>
      </c>
      <c r="I70" s="112">
        <f t="shared" si="14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9"/>
        <v>187733250</v>
      </c>
      <c r="D71" s="1154">
        <v>187733250</v>
      </c>
      <c r="E71" s="764"/>
      <c r="F71" s="764"/>
      <c r="G71" s="764"/>
      <c r="H71" s="764"/>
      <c r="I71" s="764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9"/>
        <v>1000000000</v>
      </c>
      <c r="D72" s="1154">
        <v>1000000000</v>
      </c>
      <c r="E72" s="764"/>
      <c r="F72" s="764"/>
      <c r="G72" s="764"/>
      <c r="H72" s="764"/>
      <c r="I72" s="764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899">
        <f t="shared" si="9"/>
        <v>0</v>
      </c>
      <c r="D73" s="765"/>
      <c r="E73" s="764"/>
      <c r="F73" s="764"/>
      <c r="G73" s="764"/>
      <c r="H73" s="764"/>
      <c r="I73" s="764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9"/>
        <v>0</v>
      </c>
      <c r="D74" s="266">
        <f t="shared" ref="D74:I74" si="15">SUM(D75:D78)</f>
        <v>0</v>
      </c>
      <c r="E74" s="112">
        <f t="shared" si="15"/>
        <v>0</v>
      </c>
      <c r="F74" s="112">
        <f t="shared" si="15"/>
        <v>0</v>
      </c>
      <c r="G74" s="112">
        <f t="shared" si="15"/>
        <v>0</v>
      </c>
      <c r="H74" s="112">
        <f t="shared" si="15"/>
        <v>0</v>
      </c>
      <c r="I74" s="112">
        <f t="shared" si="15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898">
        <f t="shared" si="9"/>
        <v>0</v>
      </c>
      <c r="D75" s="765"/>
      <c r="E75" s="764"/>
      <c r="F75" s="764"/>
      <c r="G75" s="764"/>
      <c r="H75" s="764"/>
      <c r="I75" s="764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746</v>
      </c>
      <c r="C76" s="847">
        <f t="shared" si="9"/>
        <v>0</v>
      </c>
      <c r="D76" s="765"/>
      <c r="E76" s="764"/>
      <c r="F76" s="764"/>
      <c r="G76" s="764"/>
      <c r="H76" s="764"/>
      <c r="I76" s="764"/>
      <c r="K76" s="332">
        <f>'2. sz.mell. '!C76+'3. sz.mell.'!C76+'4. sz.mell. '!C76+'5. sz.mell.'!C76</f>
        <v>0</v>
      </c>
      <c r="L76" s="334">
        <f t="shared" ref="L76:L94" si="16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7">
        <f t="shared" si="9"/>
        <v>0</v>
      </c>
      <c r="D77" s="765"/>
      <c r="E77" s="764"/>
      <c r="F77" s="764"/>
      <c r="G77" s="764"/>
      <c r="H77" s="764"/>
      <c r="I77" s="764"/>
      <c r="K77" s="332">
        <f>'2. sz.mell. '!C77+'3. sz.mell.'!C77+'4. sz.mell. '!C77+'5. sz.mell.'!C77</f>
        <v>0</v>
      </c>
      <c r="L77" s="334">
        <f t="shared" si="16"/>
        <v>0</v>
      </c>
    </row>
    <row r="78" spans="1:12" s="183" customFormat="1" ht="12" customHeight="1" thickBot="1" x14ac:dyDescent="0.25">
      <c r="A78" s="13" t="s">
        <v>272</v>
      </c>
      <c r="B78" s="109" t="s">
        <v>747</v>
      </c>
      <c r="C78" s="899">
        <f t="shared" si="9"/>
        <v>0</v>
      </c>
      <c r="D78" s="765"/>
      <c r="E78" s="764"/>
      <c r="F78" s="764"/>
      <c r="G78" s="764"/>
      <c r="H78" s="764"/>
      <c r="I78" s="764"/>
      <c r="K78" s="332">
        <f>'2. sz.mell. '!C78+'3. sz.mell.'!C78+'4. sz.mell. '!C78+'5. sz.mell.'!C78</f>
        <v>0</v>
      </c>
      <c r="L78" s="335">
        <f t="shared" si="16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9"/>
        <v>2438161695</v>
      </c>
      <c r="D79" s="266">
        <f t="shared" ref="D79:I79" si="17">SUM(D80:D81)</f>
        <v>2382072581</v>
      </c>
      <c r="E79" s="112">
        <f t="shared" si="17"/>
        <v>383395</v>
      </c>
      <c r="F79" s="112">
        <f t="shared" si="17"/>
        <v>127382</v>
      </c>
      <c r="G79" s="112">
        <f t="shared" si="17"/>
        <v>1498662</v>
      </c>
      <c r="H79" s="112">
        <f t="shared" si="17"/>
        <v>82725</v>
      </c>
      <c r="I79" s="112">
        <f t="shared" si="17"/>
        <v>53996950</v>
      </c>
      <c r="K79" s="332">
        <f>'2. sz.mell. '!C79+'3. sz.mell.'!C79+'4. sz.mell. '!C79+'5. sz.mell.'!C79</f>
        <v>2438161695</v>
      </c>
      <c r="L79" s="332">
        <f t="shared" si="16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1396">
        <f t="shared" si="9"/>
        <v>2438161695</v>
      </c>
      <c r="D80" s="1154">
        <f>2381931880+140701</f>
        <v>2382072581</v>
      </c>
      <c r="E80" s="1161">
        <v>383395</v>
      </c>
      <c r="F80" s="1161">
        <v>127382</v>
      </c>
      <c r="G80" s="1161">
        <v>1498662</v>
      </c>
      <c r="H80" s="764">
        <v>82725</v>
      </c>
      <c r="I80" s="764">
        <v>53996950</v>
      </c>
      <c r="K80" s="332">
        <f>'2. sz.mell. '!C80+'3. sz.mell.'!C80+'4. sz.mell. '!C80+'5. sz.mell.'!C80</f>
        <v>2438161695</v>
      </c>
      <c r="L80" s="333">
        <f t="shared" si="16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899">
        <f t="shared" si="9"/>
        <v>0</v>
      </c>
      <c r="D81" s="765"/>
      <c r="E81" s="764"/>
      <c r="F81" s="764"/>
      <c r="G81" s="764"/>
      <c r="H81" s="764"/>
      <c r="I81" s="764"/>
      <c r="K81" s="332">
        <f>'2. sz.mell. '!C81+'3. sz.mell.'!C81+'4. sz.mell. '!C81+'5. sz.mell.'!C81</f>
        <v>0</v>
      </c>
      <c r="L81" s="335">
        <f t="shared" si="16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9"/>
        <v>55076107</v>
      </c>
      <c r="D82" s="266">
        <f t="shared" ref="D82:I82" si="18">SUM(D83:D85)</f>
        <v>55076107</v>
      </c>
      <c r="E82" s="112">
        <f t="shared" si="18"/>
        <v>0</v>
      </c>
      <c r="F82" s="112">
        <f t="shared" si="18"/>
        <v>0</v>
      </c>
      <c r="G82" s="112">
        <f t="shared" si="18"/>
        <v>0</v>
      </c>
      <c r="H82" s="112">
        <f t="shared" si="18"/>
        <v>0</v>
      </c>
      <c r="I82" s="112">
        <f t="shared" si="18"/>
        <v>0</v>
      </c>
      <c r="K82" s="332">
        <f>'2. sz.mell. '!C82+'3. sz.mell.'!C82+'4. sz.mell. '!C82+'5. sz.mell.'!C82</f>
        <v>55076107</v>
      </c>
      <c r="L82" s="332">
        <f t="shared" si="16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9"/>
        <v>55076107</v>
      </c>
      <c r="D83" s="1154">
        <v>55076107</v>
      </c>
      <c r="E83" s="764"/>
      <c r="F83" s="764"/>
      <c r="G83" s="764"/>
      <c r="H83" s="764"/>
      <c r="I83" s="764"/>
      <c r="K83" s="332">
        <f>'2. sz.mell. '!C83+'3. sz.mell.'!C83+'4. sz.mell. '!C83+'5. sz.mell.'!C83</f>
        <v>55076107</v>
      </c>
      <c r="L83" s="333">
        <f t="shared" si="16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7">
        <f t="shared" si="9"/>
        <v>0</v>
      </c>
      <c r="D84" s="765"/>
      <c r="E84" s="764"/>
      <c r="F84" s="764"/>
      <c r="G84" s="764"/>
      <c r="H84" s="764"/>
      <c r="I84" s="764"/>
      <c r="K84" s="332">
        <f>'2. sz.mell. '!C84+'3. sz.mell.'!C84+'4. sz.mell. '!C84+'5. sz.mell.'!C84</f>
        <v>0</v>
      </c>
      <c r="L84" s="334">
        <f t="shared" si="16"/>
        <v>0</v>
      </c>
    </row>
    <row r="85" spans="1:12" s="183" customFormat="1" ht="12" customHeight="1" thickBot="1" x14ac:dyDescent="0.25">
      <c r="A85" s="13" t="s">
        <v>277</v>
      </c>
      <c r="B85" s="109" t="s">
        <v>748</v>
      </c>
      <c r="C85" s="899">
        <f t="shared" si="9"/>
        <v>0</v>
      </c>
      <c r="D85" s="765"/>
      <c r="E85" s="764"/>
      <c r="F85" s="764"/>
      <c r="G85" s="764"/>
      <c r="H85" s="764"/>
      <c r="I85" s="764"/>
      <c r="K85" s="332">
        <f>'2. sz.mell. '!C85+'3. sz.mell.'!C85+'4. sz.mell. '!C85+'5. sz.mell.'!C85</f>
        <v>0</v>
      </c>
      <c r="L85" s="335">
        <f t="shared" si="16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9"/>
        <v>0</v>
      </c>
      <c r="D86" s="266">
        <f t="shared" ref="D86:I86" si="19">SUM(D87:D90)</f>
        <v>0</v>
      </c>
      <c r="E86" s="112">
        <f t="shared" si="19"/>
        <v>0</v>
      </c>
      <c r="F86" s="112">
        <f t="shared" si="19"/>
        <v>0</v>
      </c>
      <c r="G86" s="112">
        <f t="shared" si="19"/>
        <v>0</v>
      </c>
      <c r="H86" s="112">
        <f t="shared" si="19"/>
        <v>0</v>
      </c>
      <c r="I86" s="112">
        <f t="shared" si="19"/>
        <v>0</v>
      </c>
      <c r="K86" s="332">
        <f>'2. sz.mell. '!C86+'3. sz.mell.'!C86+'4. sz.mell. '!C86+'5. sz.mell.'!C86</f>
        <v>0</v>
      </c>
      <c r="L86" s="332">
        <f t="shared" si="16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898">
        <f t="shared" si="9"/>
        <v>0</v>
      </c>
      <c r="D87" s="765"/>
      <c r="E87" s="764"/>
      <c r="F87" s="764"/>
      <c r="G87" s="764"/>
      <c r="H87" s="764"/>
      <c r="I87" s="764"/>
      <c r="K87" s="332">
        <f>'2. sz.mell. '!C87+'3. sz.mell.'!C87+'4. sz.mell. '!C87+'5. sz.mell.'!C87</f>
        <v>0</v>
      </c>
      <c r="L87" s="333">
        <f t="shared" si="16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7">
        <f t="shared" si="9"/>
        <v>0</v>
      </c>
      <c r="D88" s="765"/>
      <c r="E88" s="764"/>
      <c r="F88" s="764"/>
      <c r="G88" s="764"/>
      <c r="H88" s="764"/>
      <c r="I88" s="764"/>
      <c r="K88" s="332">
        <f>'2. sz.mell. '!C88+'3. sz.mell.'!C88+'4. sz.mell. '!C88+'5. sz.mell.'!C88</f>
        <v>0</v>
      </c>
      <c r="L88" s="334">
        <f t="shared" si="16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7">
        <f t="shared" si="9"/>
        <v>0</v>
      </c>
      <c r="D89" s="765"/>
      <c r="E89" s="764"/>
      <c r="F89" s="764"/>
      <c r="G89" s="764"/>
      <c r="H89" s="764"/>
      <c r="I89" s="764"/>
      <c r="K89" s="332">
        <f>'2. sz.mell. '!C89+'3. sz.mell.'!C89+'4. sz.mell. '!C89+'5. sz.mell.'!C89</f>
        <v>0</v>
      </c>
      <c r="L89" s="334">
        <f t="shared" si="16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899">
        <f t="shared" si="9"/>
        <v>0</v>
      </c>
      <c r="D90" s="765"/>
      <c r="E90" s="764"/>
      <c r="F90" s="764"/>
      <c r="G90" s="764"/>
      <c r="H90" s="764"/>
      <c r="I90" s="764"/>
      <c r="K90" s="332">
        <f>'2. sz.mell. '!C90+'3. sz.mell.'!C90+'4. sz.mell. '!C90+'5. sz.mell.'!C90</f>
        <v>0</v>
      </c>
      <c r="L90" s="335">
        <f t="shared" si="16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9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6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9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6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9"/>
        <v>3680971052</v>
      </c>
      <c r="D93" s="269">
        <f t="shared" ref="D93:I93" si="20">+D70+D74+D79+D82+D86+D92+D91</f>
        <v>3624881938</v>
      </c>
      <c r="E93" s="117">
        <f t="shared" si="20"/>
        <v>383395</v>
      </c>
      <c r="F93" s="117">
        <f t="shared" si="20"/>
        <v>127382</v>
      </c>
      <c r="G93" s="117">
        <f t="shared" si="20"/>
        <v>1498662</v>
      </c>
      <c r="H93" s="117">
        <f t="shared" si="20"/>
        <v>82725</v>
      </c>
      <c r="I93" s="117">
        <f t="shared" si="20"/>
        <v>53996950</v>
      </c>
      <c r="K93" s="332">
        <f>'2. sz.mell. '!C93+'3. sz.mell.'!C93+'4. sz.mell. '!C93+'5. sz.mell.'!C93</f>
        <v>3680971052</v>
      </c>
      <c r="L93" s="332">
        <f t="shared" si="16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9"/>
        <v>7286444484</v>
      </c>
      <c r="D94" s="269">
        <f t="shared" ref="D94:I94" si="21">+D69+D93</f>
        <v>6886380222</v>
      </c>
      <c r="E94" s="1164">
        <f t="shared" si="21"/>
        <v>53764782</v>
      </c>
      <c r="F94" s="117">
        <f t="shared" si="21"/>
        <v>12844620</v>
      </c>
      <c r="G94" s="117">
        <f t="shared" si="21"/>
        <v>18308424</v>
      </c>
      <c r="H94" s="117">
        <f t="shared" si="21"/>
        <v>1342260</v>
      </c>
      <c r="I94" s="117">
        <f t="shared" si="21"/>
        <v>313804176</v>
      </c>
      <c r="K94" s="332">
        <f>'2. sz.mell. '!C94+'3. sz.mell.'!C94+'4. sz.mell. '!C94+'5. sz.mell.'!C94</f>
        <v>7286444484</v>
      </c>
      <c r="L94" s="332">
        <f t="shared" si="16"/>
        <v>0</v>
      </c>
    </row>
    <row r="95" spans="1:12" ht="16.5" customHeight="1" thickBot="1" x14ac:dyDescent="0.3">
      <c r="A95" s="1419" t="s">
        <v>44</v>
      </c>
      <c r="B95" s="1419"/>
      <c r="C95" s="1419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20" t="s">
        <v>115</v>
      </c>
      <c r="B96" s="1420"/>
      <c r="C96" s="848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 t="shared" ref="D97:I97" si="22">D9</f>
        <v>Önk</v>
      </c>
      <c r="E97" s="736" t="str">
        <f t="shared" si="22"/>
        <v>PH</v>
      </c>
      <c r="F97" s="736" t="str">
        <f t="shared" si="22"/>
        <v>Óvoda</v>
      </c>
      <c r="G97" s="736" t="str">
        <f t="shared" si="22"/>
        <v>EKIK</v>
      </c>
      <c r="H97" s="736" t="str">
        <f t="shared" si="22"/>
        <v>Bölcsőde</v>
      </c>
      <c r="I97" s="736" t="str">
        <f t="shared" si="22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897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00">
        <f t="shared" ref="C99:C160" si="23">SUM(D99:I99)</f>
        <v>3399281337</v>
      </c>
      <c r="D99" s="273">
        <f>+D100+D101+D102+D103+D104+D117</f>
        <v>1173843125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3399193157</v>
      </c>
      <c r="L99" s="332">
        <f t="shared" ref="L99:L160" si="24">C99-K99</f>
        <v>88180</v>
      </c>
    </row>
    <row r="100" spans="1:12" ht="12" customHeight="1" thickBot="1" x14ac:dyDescent="0.3">
      <c r="A100" s="14" t="s">
        <v>85</v>
      </c>
      <c r="B100" s="7" t="s">
        <v>46</v>
      </c>
      <c r="C100" s="1004">
        <f>SUM(D100:I100)</f>
        <v>1452916598</v>
      </c>
      <c r="D100" s="1153">
        <f>58121842+4514601-7749273-22379+45220953</f>
        <v>100085744</v>
      </c>
      <c r="E100" s="1165">
        <v>199255493</v>
      </c>
      <c r="F100" s="1165">
        <v>267518494</v>
      </c>
      <c r="G100" s="1165">
        <v>75852403</v>
      </c>
      <c r="H100" s="261">
        <v>103154129</v>
      </c>
      <c r="I100" s="1209">
        <v>707050335</v>
      </c>
      <c r="K100" s="332">
        <f>'2. sz.mell. '!C100+'3. sz.mell.'!C100+'4. sz.mell. '!C101+'5. sz.mell.'!C101</f>
        <v>1452916598</v>
      </c>
      <c r="L100" s="333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004">
        <f t="shared" si="23"/>
        <v>212332307</v>
      </c>
      <c r="D101" s="1154">
        <f>9537920+5088920-986852+22379+5415948</f>
        <v>19078315</v>
      </c>
      <c r="E101" s="1161">
        <v>33797395</v>
      </c>
      <c r="F101" s="1161">
        <v>35464167</v>
      </c>
      <c r="G101" s="1161">
        <v>10425298</v>
      </c>
      <c r="H101" s="764">
        <v>13799567</v>
      </c>
      <c r="I101" s="1208">
        <v>99767565</v>
      </c>
      <c r="K101" s="332">
        <f>'2. sz.mell. '!C101+'3. sz.mell.'!C101+'4. sz.mell. '!C102+'5. sz.mell.'!C102</f>
        <v>212332307</v>
      </c>
      <c r="L101" s="334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004">
        <f>SUM(D102:I102)</f>
        <v>1352884293</v>
      </c>
      <c r="D102" s="1155">
        <f>587783411+6456541+14867285+4628988+59750612+44090</f>
        <v>673530927</v>
      </c>
      <c r="E102" s="1163">
        <v>252461386</v>
      </c>
      <c r="F102" s="1161">
        <v>81300938</v>
      </c>
      <c r="G102" s="764">
        <v>62889818</v>
      </c>
      <c r="H102" s="764">
        <v>17603512</v>
      </c>
      <c r="I102" s="1208">
        <v>265097712</v>
      </c>
      <c r="K102" s="332">
        <f>'2. sz.mell. '!C102+'3. sz.mell.'!C102+'4. sz.mell. '!C103+'5. sz.mell.'!C103</f>
        <v>1352796113</v>
      </c>
      <c r="L102" s="334">
        <f t="shared" si="24"/>
        <v>88180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5">SUM(D103:I103)</f>
        <v>45050000</v>
      </c>
      <c r="D103" s="1155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1004">
        <f t="shared" si="25"/>
        <v>203074359</v>
      </c>
      <c r="D104" s="766">
        <f>SUM(D105:D116)</f>
        <v>203074359</v>
      </c>
      <c r="E104" s="259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  <c r="K104" s="332">
        <f>'2. sz.mell. '!C104+'3. sz.mell.'!C104+'4. sz.mell. '!C105+'5. sz.mell.'!C105</f>
        <v>203074359</v>
      </c>
      <c r="L104" s="334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1004">
        <f t="shared" si="25"/>
        <v>4353344</v>
      </c>
      <c r="D105" s="766">
        <f>4353344+973615-973615</f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5"/>
        <v>5091319</v>
      </c>
      <c r="D106" s="1155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5"/>
        <v>0</v>
      </c>
      <c r="D107" s="766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5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5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5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1004">
        <f t="shared" si="25"/>
        <v>1269095</v>
      </c>
      <c r="D111" s="1155">
        <f>636000+457259+175836</f>
        <v>1269095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1269095</v>
      </c>
      <c r="L111" s="334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5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5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5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5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004">
        <f t="shared" si="25"/>
        <v>192360601</v>
      </c>
      <c r="D116" s="1154">
        <f>190604229+234570-150000+1671802</f>
        <v>192360601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192360601</v>
      </c>
      <c r="L116" s="334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004">
        <f t="shared" si="25"/>
        <v>133023780</v>
      </c>
      <c r="D117" s="256">
        <f t="shared" ref="D117:I117" si="26">SUM(D118:D119)</f>
        <v>133023780</v>
      </c>
      <c r="E117" s="256">
        <f t="shared" si="26"/>
        <v>0</v>
      </c>
      <c r="F117" s="765">
        <f t="shared" si="26"/>
        <v>0</v>
      </c>
      <c r="G117" s="765">
        <f t="shared" si="26"/>
        <v>0</v>
      </c>
      <c r="H117" s="765">
        <f t="shared" si="26"/>
        <v>0</v>
      </c>
      <c r="I117" s="765">
        <f t="shared" si="26"/>
        <v>0</v>
      </c>
      <c r="K117" s="332">
        <f>'2. sz.mell. '!C117+'3. sz.mell.'!C117+'4. sz.mell. '!C118+'5. sz.mell.'!C118</f>
        <v>133023780</v>
      </c>
      <c r="L117" s="334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04">
        <f t="shared" si="25"/>
        <v>18621011</v>
      </c>
      <c r="D118" s="1155">
        <f>10000000+2761613+2341692-1769228+5286934</f>
        <v>18621011</v>
      </c>
      <c r="E118" s="173"/>
      <c r="F118" s="764"/>
      <c r="G118" s="764"/>
      <c r="H118" s="764"/>
      <c r="I118" s="764"/>
      <c r="K118" s="332">
        <f>'2. sz.mell. '!C118+'3. sz.mell.'!C118+'4. sz.mell. '!C119+'5. sz.mell.'!C119</f>
        <v>18621011</v>
      </c>
      <c r="L118" s="334">
        <f t="shared" si="24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1004">
        <f t="shared" si="25"/>
        <v>114402769</v>
      </c>
      <c r="D119" s="1158">
        <f>120420513-108134-3989610-1920000</f>
        <v>114402769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114402769</v>
      </c>
      <c r="L119" s="335">
        <f t="shared" si="24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3"/>
        <v>2809358744</v>
      </c>
      <c r="D120" s="266">
        <f t="shared" ref="D120:I120" si="27">+D121+D123+D125</f>
        <v>2768850006</v>
      </c>
      <c r="E120" s="112">
        <f t="shared" si="27"/>
        <v>5095010</v>
      </c>
      <c r="F120" s="250">
        <f t="shared" si="27"/>
        <v>1803400</v>
      </c>
      <c r="G120" s="250">
        <f t="shared" si="27"/>
        <v>7342790</v>
      </c>
      <c r="H120" s="250">
        <f t="shared" si="27"/>
        <v>523597</v>
      </c>
      <c r="I120" s="250">
        <f t="shared" si="27"/>
        <v>25743941</v>
      </c>
      <c r="K120" s="332">
        <f>'2. sz.mell. '!C120+'3. sz.mell.'!C120+'4. sz.mell. '!C121+'5. sz.mell.'!C121</f>
        <v>2809358744</v>
      </c>
      <c r="L120" s="332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004">
        <f t="shared" si="23"/>
        <v>897382015</v>
      </c>
      <c r="D121" s="1156">
        <f>700117222-30445+809906+14764078+142293416</f>
        <v>857954177</v>
      </c>
      <c r="E121" s="1160">
        <v>5095010</v>
      </c>
      <c r="F121" s="1160">
        <v>1206500</v>
      </c>
      <c r="G121" s="222">
        <v>6858790</v>
      </c>
      <c r="H121" s="1160">
        <v>523597</v>
      </c>
      <c r="I121" s="1210">
        <v>25743941</v>
      </c>
      <c r="K121" s="332">
        <f>'2. sz.mell. '!C121+'3. sz.mell.'!C121+'4. sz.mell. '!C122+'5. sz.mell.'!C122</f>
        <v>897382015</v>
      </c>
      <c r="L121" s="333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1004">
        <f t="shared" si="23"/>
        <v>362614973</v>
      </c>
      <c r="D122" s="1157">
        <f>1050+1047540+70861712+149722828+2491795+137436248</f>
        <v>361561173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362614973</v>
      </c>
      <c r="L122" s="334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004">
        <f t="shared" si="23"/>
        <v>1908352977</v>
      </c>
      <c r="D123" s="1154">
        <f>1934218597-8470273+588237-19331097+794703-44090</f>
        <v>1907756077</v>
      </c>
      <c r="E123" s="116"/>
      <c r="F123" s="1161">
        <v>596900</v>
      </c>
      <c r="G123" s="764"/>
      <c r="H123" s="764"/>
      <c r="I123" s="764"/>
      <c r="K123" s="332">
        <f>'2. sz.mell. '!C123+'3. sz.mell.'!C123+'4. sz.mell. '!C124+'5. sz.mell.'!C124</f>
        <v>1908352977</v>
      </c>
      <c r="L123" s="334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3"/>
        <v>399460471</v>
      </c>
      <c r="D124" s="765">
        <f>162787385+236673086</f>
        <v>399460471</v>
      </c>
      <c r="E124" s="497"/>
      <c r="F124" s="765"/>
      <c r="G124" s="765"/>
      <c r="H124" s="765"/>
      <c r="I124" s="765"/>
      <c r="K124" s="332">
        <f>'2. sz.mell. '!C124+'3. sz.mell.'!C124+'4. sz.mell. '!C125+'5. sz.mell.'!C125</f>
        <v>399460471</v>
      </c>
      <c r="L124" s="334">
        <f t="shared" si="24"/>
        <v>0</v>
      </c>
    </row>
    <row r="125" spans="1:12" ht="12" customHeight="1" thickBot="1" x14ac:dyDescent="0.3">
      <c r="A125" s="12" t="s">
        <v>95</v>
      </c>
      <c r="B125" s="109" t="s">
        <v>159</v>
      </c>
      <c r="C125" s="1004">
        <f t="shared" si="23"/>
        <v>3623752</v>
      </c>
      <c r="D125" s="1154">
        <f t="shared" ref="D125:I125" si="28">SUM(D126:D133)</f>
        <v>3139752</v>
      </c>
      <c r="E125" s="256">
        <f t="shared" si="28"/>
        <v>0</v>
      </c>
      <c r="F125" s="765">
        <f t="shared" si="28"/>
        <v>0</v>
      </c>
      <c r="G125" s="765">
        <f t="shared" si="28"/>
        <v>484000</v>
      </c>
      <c r="H125" s="765">
        <f t="shared" si="28"/>
        <v>0</v>
      </c>
      <c r="I125" s="765">
        <f t="shared" si="28"/>
        <v>0</v>
      </c>
      <c r="K125" s="332">
        <f>'2. sz.mell. '!C125+'3. sz.mell.'!C125+'4. sz.mell. '!C126+'5. sz.mell.'!C126</f>
        <v>3623752</v>
      </c>
      <c r="L125" s="334">
        <f t="shared" si="24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3"/>
        <v>0</v>
      </c>
      <c r="D126" s="101"/>
      <c r="E126" s="101"/>
      <c r="F126" s="765"/>
      <c r="G126" s="765"/>
      <c r="H126" s="765"/>
      <c r="I126" s="765"/>
      <c r="K126" s="332">
        <f>'2. sz.mell. '!C126+'3. sz.mell.'!C126+'4. sz.mell. '!C127+'5. sz.mell.'!C127</f>
        <v>0</v>
      </c>
      <c r="L126" s="334">
        <f t="shared" si="24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04">
        <f t="shared" si="23"/>
        <v>0</v>
      </c>
      <c r="D127" s="101"/>
      <c r="E127" s="101"/>
      <c r="F127" s="765"/>
      <c r="G127" s="765"/>
      <c r="H127" s="765"/>
      <c r="I127" s="765"/>
      <c r="K127" s="332">
        <f>'2. sz.mell. '!C127+'3. sz.mell.'!C127+'4. sz.mell. '!C128+'5. sz.mell.'!C128</f>
        <v>0</v>
      </c>
      <c r="L127" s="334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3"/>
        <v>0</v>
      </c>
      <c r="D128" s="101"/>
      <c r="E128" s="101"/>
      <c r="F128" s="765"/>
      <c r="G128" s="765"/>
      <c r="H128" s="765"/>
      <c r="I128" s="765"/>
      <c r="K128" s="332">
        <f>'2. sz.mell. '!C128+'3. sz.mell.'!C128+'4. sz.mell. '!C129+'5. sz.mell.'!C129</f>
        <v>0</v>
      </c>
      <c r="L128" s="334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1004">
        <f>SUM(D129:I129)</f>
        <v>798660</v>
      </c>
      <c r="D129" s="101">
        <v>798660</v>
      </c>
      <c r="E129" s="101"/>
      <c r="F129" s="765"/>
      <c r="G129" s="765"/>
      <c r="H129" s="765"/>
      <c r="I129" s="765"/>
      <c r="K129" s="332">
        <f>'2. sz.mell. '!C129+'3. sz.mell.'!C129+'4. sz.mell. '!C130+'5. sz.mell.'!C130</f>
        <v>798660</v>
      </c>
      <c r="L129" s="334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3"/>
        <v>0</v>
      </c>
      <c r="D130" s="101"/>
      <c r="E130" s="101"/>
      <c r="F130" s="765"/>
      <c r="G130" s="765"/>
      <c r="H130" s="765"/>
      <c r="I130" s="765"/>
      <c r="K130" s="332">
        <f>'2. sz.mell. '!C130+'3. sz.mell.'!C130+'4. sz.mell. '!C131+'5. sz.mell.'!C131</f>
        <v>0</v>
      </c>
      <c r="L130" s="334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3"/>
        <v>0</v>
      </c>
      <c r="D131" s="101"/>
      <c r="E131" s="101"/>
      <c r="F131" s="765"/>
      <c r="G131" s="765"/>
      <c r="H131" s="765"/>
      <c r="I131" s="765"/>
      <c r="K131" s="332">
        <f>'2. sz.mell. '!C131+'3. sz.mell.'!C131+'4. sz.mell. '!C132+'5. sz.mell.'!C132</f>
        <v>0</v>
      </c>
      <c r="L131" s="334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3"/>
        <v>0</v>
      </c>
      <c r="D132" s="101"/>
      <c r="E132" s="101"/>
      <c r="F132" s="765"/>
      <c r="G132" s="765"/>
      <c r="H132" s="765"/>
      <c r="I132" s="765"/>
      <c r="K132" s="332">
        <f>'2. sz.mell. '!C132+'3. sz.mell.'!C132+'4. sz.mell. '!C133+'5. sz.mell.'!C133</f>
        <v>0</v>
      </c>
      <c r="L132" s="334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1004">
        <f t="shared" si="23"/>
        <v>2825092</v>
      </c>
      <c r="D133" s="1155">
        <f>1423277+150000+767815</f>
        <v>2341092</v>
      </c>
      <c r="E133" s="259"/>
      <c r="F133" s="766"/>
      <c r="G133" s="1155">
        <v>484000</v>
      </c>
      <c r="H133" s="766"/>
      <c r="I133" s="766"/>
      <c r="K133" s="332">
        <f>'2. sz.mell. '!C133+'3. sz.mell.'!C133+'4. sz.mell. '!C134+'5. sz.mell.'!C134</f>
        <v>2825092</v>
      </c>
      <c r="L133" s="335">
        <f t="shared" si="24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3"/>
        <v>6208640081</v>
      </c>
      <c r="D134" s="266">
        <f t="shared" ref="D134:I134" si="29">+D99+D120</f>
        <v>3942693131</v>
      </c>
      <c r="E134" s="112">
        <f t="shared" si="29"/>
        <v>490609284</v>
      </c>
      <c r="F134" s="112">
        <f t="shared" si="29"/>
        <v>386086999</v>
      </c>
      <c r="G134" s="112">
        <f t="shared" si="29"/>
        <v>156510309</v>
      </c>
      <c r="H134" s="112">
        <f t="shared" si="29"/>
        <v>135080805</v>
      </c>
      <c r="I134" s="112">
        <f t="shared" si="29"/>
        <v>1097659553</v>
      </c>
      <c r="K134" s="332">
        <f>'2. sz.mell. '!C134+'3. sz.mell.'!C134+'4. sz.mell. '!C135+'5. sz.mell.'!C135</f>
        <v>6208551901</v>
      </c>
      <c r="L134" s="332">
        <f t="shared" si="24"/>
        <v>88180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0">+D136+D137+D138</f>
        <v>1022728296</v>
      </c>
      <c r="E135" s="112">
        <f t="shared" si="30"/>
        <v>0</v>
      </c>
      <c r="F135" s="112">
        <f t="shared" si="30"/>
        <v>0</v>
      </c>
      <c r="G135" s="112">
        <f t="shared" si="30"/>
        <v>0</v>
      </c>
      <c r="H135" s="112">
        <f t="shared" si="30"/>
        <v>0</v>
      </c>
      <c r="I135" s="112">
        <f t="shared" si="30"/>
        <v>0</v>
      </c>
      <c r="K135" s="332">
        <f>'2. sz.mell. '!C135+'3. sz.mell.'!C135+'4. sz.mell. '!C136+'5. sz.mell.'!C136</f>
        <v>1022728296</v>
      </c>
      <c r="L135" s="332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54">
        <v>22728296</v>
      </c>
      <c r="E136" s="256"/>
      <c r="F136" s="765"/>
      <c r="G136" s="765"/>
      <c r="H136" s="765"/>
      <c r="I136" s="765"/>
      <c r="K136" s="332">
        <f>'2. sz.mell. '!C136+'3. sz.mell.'!C136+'4. sz.mell. '!C137+'5. sz.mell.'!C137</f>
        <v>22728296</v>
      </c>
      <c r="L136" s="333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54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3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4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3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3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3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3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3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3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3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4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3"/>
        <v>55076107</v>
      </c>
      <c r="D146" s="269">
        <f t="shared" ref="D146:I146" si="31">+D147+D148+D149+D150</f>
        <v>55076107</v>
      </c>
      <c r="E146" s="117">
        <f t="shared" si="31"/>
        <v>0</v>
      </c>
      <c r="F146" s="117">
        <f t="shared" si="31"/>
        <v>0</v>
      </c>
      <c r="G146" s="117">
        <f t="shared" si="31"/>
        <v>0</v>
      </c>
      <c r="H146" s="117">
        <f t="shared" si="31"/>
        <v>0</v>
      </c>
      <c r="I146" s="117">
        <f t="shared" si="31"/>
        <v>0</v>
      </c>
      <c r="K146" s="332">
        <f>'2. sz.mell. '!C146+'3. sz.mell.'!C146+'4. sz.mell. '!C147+'5. sz.mell.'!C147</f>
        <v>55076107</v>
      </c>
      <c r="L146" s="332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3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3"/>
        <v>55076107</v>
      </c>
      <c r="D148" s="1159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3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3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4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3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  <c r="K151" s="332">
        <f>'2. sz.mell. '!C151+'3. sz.mell.'!C151+'4. sz.mell. '!C152+'5. sz.mell.'!C152</f>
        <v>0</v>
      </c>
      <c r="L151" s="332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3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3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3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3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3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4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3"/>
        <v>0</v>
      </c>
      <c r="D157" s="274"/>
      <c r="E157" s="120"/>
      <c r="F157" s="988"/>
      <c r="G157" s="988"/>
      <c r="H157" s="988"/>
      <c r="I157" s="988"/>
      <c r="K157" s="332">
        <f>'2. sz.mell. '!C157+'3. sz.mell.'!C157+'4. sz.mell. '!C158+'5. sz.mell.'!C158</f>
        <v>0</v>
      </c>
      <c r="L157" s="332">
        <f t="shared" si="24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3"/>
        <v>0</v>
      </c>
      <c r="D158" s="274"/>
      <c r="E158" s="120"/>
      <c r="F158" s="988"/>
      <c r="G158" s="988"/>
      <c r="H158" s="988"/>
      <c r="I158" s="988"/>
      <c r="K158" s="332">
        <f>'2. sz.mell. '!C158+'3. sz.mell.'!C158+'4. sz.mell. '!C159+'5. sz.mell.'!C159</f>
        <v>0</v>
      </c>
      <c r="L158" s="332">
        <f t="shared" si="24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3"/>
        <v>1077804403</v>
      </c>
      <c r="D159" s="275">
        <f t="shared" ref="D159:I159" si="32">+D135+D139+D146+D151+D157+D158</f>
        <v>1077804403</v>
      </c>
      <c r="E159" s="194">
        <f t="shared" si="32"/>
        <v>0</v>
      </c>
      <c r="F159" s="989">
        <f t="shared" si="32"/>
        <v>0</v>
      </c>
      <c r="G159" s="989">
        <f t="shared" si="32"/>
        <v>0</v>
      </c>
      <c r="H159" s="989">
        <f t="shared" si="32"/>
        <v>0</v>
      </c>
      <c r="I159" s="989">
        <f t="shared" si="32"/>
        <v>0</v>
      </c>
      <c r="J159" s="195"/>
      <c r="K159" s="332">
        <f>'2. sz.mell. '!C159+'3. sz.mell.'!C159+'4. sz.mell. '!C160+'5. sz.mell.'!C160</f>
        <v>1077804403</v>
      </c>
      <c r="L159" s="332">
        <f t="shared" si="24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3"/>
        <v>7286444484</v>
      </c>
      <c r="D160" s="275">
        <f t="shared" ref="D160:I160" si="33">+D134+D159</f>
        <v>5020497534</v>
      </c>
      <c r="E160" s="194">
        <f t="shared" si="33"/>
        <v>490609284</v>
      </c>
      <c r="F160" s="989">
        <f t="shared" si="33"/>
        <v>386086999</v>
      </c>
      <c r="G160" s="989">
        <f t="shared" si="33"/>
        <v>156510309</v>
      </c>
      <c r="H160" s="989">
        <f t="shared" si="33"/>
        <v>135080805</v>
      </c>
      <c r="I160" s="989">
        <f t="shared" si="33"/>
        <v>1097659553</v>
      </c>
      <c r="K160" s="332">
        <f>'2. sz.mell. '!C160+'3. sz.mell.'!C160+'4. sz.mell. '!C161+'5. sz.mell.'!C161</f>
        <v>7286356304</v>
      </c>
      <c r="L160" s="332">
        <f t="shared" si="24"/>
        <v>88180</v>
      </c>
    </row>
    <row r="161" spans="1:9" x14ac:dyDescent="0.25">
      <c r="A161" s="1421" t="s">
        <v>306</v>
      </c>
      <c r="B161" s="1421"/>
      <c r="C161" s="1421"/>
    </row>
    <row r="162" spans="1:9" ht="15" customHeight="1" thickBot="1" x14ac:dyDescent="0.3">
      <c r="A162" s="1418" t="s">
        <v>116</v>
      </c>
      <c r="B162" s="1418"/>
      <c r="C162" s="896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-2603166649</v>
      </c>
      <c r="D163" s="556"/>
    </row>
    <row r="164" spans="1:9" ht="15" customHeight="1" thickBot="1" x14ac:dyDescent="0.3">
      <c r="A164" s="17" t="s">
        <v>17</v>
      </c>
      <c r="B164" s="22" t="s">
        <v>716</v>
      </c>
      <c r="C164" s="117">
        <f>+C93-C159</f>
        <v>2603166649</v>
      </c>
      <c r="F164" s="829"/>
      <c r="G164" s="829"/>
      <c r="H164" s="829"/>
      <c r="I164" s="829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E42" sqref="E4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708" customWidth="1"/>
    <col min="4" max="16384" width="9.33203125" style="708"/>
  </cols>
  <sheetData>
    <row r="1" spans="1:3" x14ac:dyDescent="0.2">
      <c r="A1" s="1477" t="str">
        <f>CONCATENATE("14. melléklet"," ",ALAPADATOK!A7," ",ALAPADATOK!B7," ",ALAPADATOK!C7," ",ALAPADATOK!D7," ",ALAPADATOK!E7," ",ALAPADATOK!F7," ",ALAPADATOK!G7," ",ALAPADATOK!H7)</f>
        <v>14.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8" t="s">
        <v>901</v>
      </c>
      <c r="B3" s="1428"/>
      <c r="C3" s="1428"/>
    </row>
    <row r="4" spans="1:3" ht="13.5" thickBot="1" x14ac:dyDescent="0.25">
      <c r="A4" s="175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1198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1198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6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16865647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>
        <f>4442252+12423395</f>
        <v>16865647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69766034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9">
        <f>+C38+C39+C40</f>
        <v>177152598</v>
      </c>
    </row>
    <row r="38" spans="1:3" s="168" customFormat="1" ht="12" customHeight="1" x14ac:dyDescent="0.2">
      <c r="A38" s="213" t="s">
        <v>341</v>
      </c>
      <c r="B38" s="214" t="s">
        <v>166</v>
      </c>
      <c r="C38" s="755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03">
        <f>174879697+536160+953346+400000</f>
        <v>176769203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246918632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8">
        <f>SUM(C46:C50)</f>
        <v>246838632</v>
      </c>
    </row>
    <row r="46" spans="1:3" ht="12" customHeight="1" x14ac:dyDescent="0.2">
      <c r="A46" s="212" t="s">
        <v>85</v>
      </c>
      <c r="B46" s="6" t="s">
        <v>46</v>
      </c>
      <c r="C46" s="760">
        <f>7358860+3835000+11057957</f>
        <v>22251817</v>
      </c>
    </row>
    <row r="47" spans="1:3" ht="12" customHeight="1" x14ac:dyDescent="0.2">
      <c r="A47" s="212" t="s">
        <v>86</v>
      </c>
      <c r="B47" s="5" t="s">
        <v>134</v>
      </c>
      <c r="C47" s="761">
        <f>1027686+543412+1419662</f>
        <v>2990760</v>
      </c>
    </row>
    <row r="48" spans="1:3" ht="12" customHeight="1" x14ac:dyDescent="0.2">
      <c r="A48" s="212" t="s">
        <v>87</v>
      </c>
      <c r="B48" s="5" t="s">
        <v>110</v>
      </c>
      <c r="C48" s="761">
        <f>219282117+1014816+1299122</f>
        <v>221596055</v>
      </c>
    </row>
    <row r="49" spans="1:3" ht="12" customHeight="1" x14ac:dyDescent="0.2">
      <c r="A49" s="212" t="s">
        <v>88</v>
      </c>
      <c r="B49" s="5" t="s">
        <v>135</v>
      </c>
      <c r="C49" s="761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5">
        <v>80000</v>
      </c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246918632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280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52" workbookViewId="0">
      <selection activeCell="F48" sqref="F48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77" t="str">
        <f>CONCATENATE("19. melléklet ",ALAPADATOK!A7," ",ALAPADATOK!B7," ",ALAPADATOK!C7," ",ALAPADATOK!D7," ",ALAPADATOK!E7," ",ALAPADATOK!F7," ",ALAPADATOK!G7," ",ALAPADATOK!H7)</f>
        <v>19.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28" t="s">
        <v>1023</v>
      </c>
      <c r="B3" s="1428"/>
      <c r="C3" s="1428"/>
    </row>
    <row r="4" spans="1:3" s="77" customFormat="1" ht="21" customHeight="1" thickBot="1" x14ac:dyDescent="0.25">
      <c r="A4" s="1308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/>
    </row>
    <row r="10" spans="1:3" s="168" customFormat="1" ht="12" customHeight="1" x14ac:dyDescent="0.2">
      <c r="A10" s="212" t="s">
        <v>87</v>
      </c>
      <c r="B10" s="5" t="s">
        <v>209</v>
      </c>
      <c r="C10" s="756"/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/>
    </row>
    <row r="13" spans="1:3" s="168" customFormat="1" ht="12" customHeight="1" x14ac:dyDescent="0.2">
      <c r="A13" s="212" t="s">
        <v>89</v>
      </c>
      <c r="B13" s="5" t="s">
        <v>331</v>
      </c>
      <c r="C13" s="756"/>
    </row>
    <row r="14" spans="1:3" s="168" customFormat="1" ht="12" customHeight="1" x14ac:dyDescent="0.2">
      <c r="A14" s="212" t="s">
        <v>90</v>
      </c>
      <c r="B14" s="4" t="s">
        <v>332</v>
      </c>
      <c r="C14" s="756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9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5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7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8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0"/>
    </row>
    <row r="47" spans="1:3" ht="12" customHeight="1" x14ac:dyDescent="0.2">
      <c r="A47" s="212" t="s">
        <v>86</v>
      </c>
      <c r="B47" s="5" t="s">
        <v>134</v>
      </c>
      <c r="C47" s="756">
        <v>7314</v>
      </c>
    </row>
    <row r="48" spans="1:3" ht="12" customHeight="1" x14ac:dyDescent="0.2">
      <c r="A48" s="212" t="s">
        <v>87</v>
      </c>
      <c r="B48" s="5" t="s">
        <v>110</v>
      </c>
      <c r="C48" s="756">
        <v>101600</v>
      </c>
    </row>
    <row r="49" spans="1:3" ht="12" customHeight="1" x14ac:dyDescent="0.2">
      <c r="A49" s="212" t="s">
        <v>88</v>
      </c>
      <c r="B49" s="5" t="s">
        <v>135</v>
      </c>
      <c r="C49" s="756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0"/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E56" sqref="E56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77" t="str">
        <f>CONCATENATE("15. melléklet"," ",ALAPADATOK!A7," ",ALAPADATOK!B7," ",ALAPADATOK!C7," ",ALAPADATOK!D7," ",ALAPADATOK!E7," ",ALAPADATOK!F7," ",ALAPADATOK!G7," ",ALAPADATOK!H7)</f>
        <v>15.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8" t="s">
        <v>902</v>
      </c>
      <c r="B3" s="1428"/>
      <c r="C3" s="1428"/>
    </row>
    <row r="4" spans="1:3" ht="13.5" thickBot="1" x14ac:dyDescent="0.25">
      <c r="A4" s="175" t="s">
        <v>153</v>
      </c>
      <c r="B4" s="81" t="s">
        <v>50</v>
      </c>
      <c r="C4" s="82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8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6"/>
    </row>
    <row r="10" spans="1:3" s="168" customFormat="1" ht="12" customHeight="1" x14ac:dyDescent="0.2">
      <c r="A10" s="212" t="s">
        <v>87</v>
      </c>
      <c r="B10" s="5" t="s">
        <v>209</v>
      </c>
      <c r="C10" s="1198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6"/>
    </row>
    <row r="12" spans="1:3" s="168" customFormat="1" ht="12" customHeight="1" x14ac:dyDescent="0.2">
      <c r="A12" s="212" t="s">
        <v>111</v>
      </c>
      <c r="B12" s="5" t="s">
        <v>211</v>
      </c>
      <c r="C12" s="756"/>
    </row>
    <row r="13" spans="1:3" s="168" customFormat="1" ht="12" customHeight="1" x14ac:dyDescent="0.2">
      <c r="A13" s="212" t="s">
        <v>89</v>
      </c>
      <c r="B13" s="5" t="s">
        <v>331</v>
      </c>
      <c r="C13" s="756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6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761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7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59">
        <f>+C38+C39+C40</f>
        <v>263674427</v>
      </c>
    </row>
    <row r="38" spans="1:4" s="168" customFormat="1" ht="12" customHeight="1" x14ac:dyDescent="0.2">
      <c r="A38" s="213" t="s">
        <v>341</v>
      </c>
      <c r="B38" s="214" t="s">
        <v>166</v>
      </c>
      <c r="C38" s="755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03">
        <f>262270707+881400+922320-400000</f>
        <v>263674427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264155427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099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8">
        <f>SUM(C46:C50)</f>
        <v>259140417</v>
      </c>
    </row>
    <row r="46" spans="1:4" ht="12" customHeight="1" x14ac:dyDescent="0.2">
      <c r="A46" s="212" t="s">
        <v>85</v>
      </c>
      <c r="B46" s="6" t="s">
        <v>46</v>
      </c>
      <c r="C46" s="760">
        <f>191896633+780000+338355</f>
        <v>193014988</v>
      </c>
    </row>
    <row r="47" spans="1:4" ht="12" customHeight="1" x14ac:dyDescent="0.2">
      <c r="A47" s="212" t="s">
        <v>86</v>
      </c>
      <c r="B47" s="5" t="s">
        <v>134</v>
      </c>
      <c r="C47" s="761">
        <f>32762395+101400+43965</f>
        <v>32907760</v>
      </c>
    </row>
    <row r="48" spans="1:4" ht="12" customHeight="1" x14ac:dyDescent="0.2">
      <c r="A48" s="212" t="s">
        <v>87</v>
      </c>
      <c r="B48" s="5" t="s">
        <v>110</v>
      </c>
      <c r="C48" s="761">
        <f>33077669+140000</f>
        <v>33217669</v>
      </c>
    </row>
    <row r="49" spans="1:3" ht="12" customHeight="1" x14ac:dyDescent="0.2">
      <c r="A49" s="212" t="s">
        <v>88</v>
      </c>
      <c r="B49" s="5" t="s">
        <v>135</v>
      </c>
      <c r="C49" s="756"/>
    </row>
    <row r="50" spans="1:3" ht="12" customHeight="1" thickBot="1" x14ac:dyDescent="0.25">
      <c r="A50" s="212" t="s">
        <v>111</v>
      </c>
      <c r="B50" s="5" t="s">
        <v>136</v>
      </c>
      <c r="C50" s="756"/>
    </row>
    <row r="51" spans="1:3" ht="12" customHeight="1" thickBot="1" x14ac:dyDescent="0.25">
      <c r="A51" s="74" t="s">
        <v>17</v>
      </c>
      <c r="B51" s="54" t="s">
        <v>347</v>
      </c>
      <c r="C51" s="758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5">
        <v>5015010</v>
      </c>
    </row>
    <row r="53" spans="1:3" ht="12" customHeight="1" x14ac:dyDescent="0.2">
      <c r="A53" s="212" t="s">
        <v>92</v>
      </c>
      <c r="B53" s="5" t="s">
        <v>138</v>
      </c>
      <c r="C53" s="756"/>
    </row>
    <row r="54" spans="1:3" ht="12" customHeight="1" x14ac:dyDescent="0.2">
      <c r="A54" s="212" t="s">
        <v>93</v>
      </c>
      <c r="B54" s="5" t="s">
        <v>54</v>
      </c>
      <c r="C54" s="756"/>
    </row>
    <row r="55" spans="1:3" ht="12" customHeight="1" thickBot="1" x14ac:dyDescent="0.25">
      <c r="A55" s="212" t="s">
        <v>94</v>
      </c>
      <c r="B55" s="5" t="s">
        <v>465</v>
      </c>
      <c r="C55" s="756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264155427</v>
      </c>
    </row>
    <row r="58" spans="1:3" ht="15" customHeight="1" thickBot="1" x14ac:dyDescent="0.25">
      <c r="C58" s="315"/>
    </row>
    <row r="59" spans="1:3" ht="14.25" customHeight="1" thickBot="1" x14ac:dyDescent="0.25">
      <c r="A59" s="1472" t="s">
        <v>459</v>
      </c>
      <c r="B59" s="1473"/>
      <c r="C59" s="1279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G55"/>
  <sheetViews>
    <sheetView workbookViewId="0">
      <selection activeCell="D1" sqref="D1:G1048576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9.83203125" style="721" hidden="1" customWidth="1"/>
    <col min="7" max="7" width="8" style="708" hidden="1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x14ac:dyDescent="0.2">
      <c r="A1" s="1477" t="str">
        <f>CONCATENATE("16. melléklet"," ",ALAPADATOK!A7," ",ALAPADATOK!B7," ",ALAPADATOK!C7," ",ALAPADATOK!D7," ",ALAPADATOK!E7," ",ALAPADATOK!F7," ",ALAPADATOK!G7," ",ALAPADATOK!H7)</f>
        <v>16. melléklet a .. / 2022. ( …...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322"/>
      <c r="E2" s="721"/>
      <c r="F2" s="721"/>
    </row>
    <row r="3" spans="1:6" s="217" customFormat="1" ht="33" customHeight="1" thickBot="1" x14ac:dyDescent="0.25">
      <c r="A3" s="1428" t="s">
        <v>903</v>
      </c>
      <c r="B3" s="1428"/>
      <c r="C3" s="1428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377995462</v>
      </c>
      <c r="E36" s="488">
        <f>'22. sz. mell EOI'!C37+'23.sz.mell EOI'!C37</f>
        <v>377995462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760">
        <f>127382+140701</f>
        <v>268083</v>
      </c>
      <c r="E37" s="488">
        <f>'22. sz. mell EOI'!C38+'23.sz.mell EOI'!C38</f>
        <v>268083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03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390712700</v>
      </c>
      <c r="E40" s="488">
        <f>'22. sz. mell EOI'!C41+'23.sz.mell EOI'!C41</f>
        <v>390712700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388721982</v>
      </c>
      <c r="E42" s="488">
        <f>'22. sz. mell EOI'!C43+'23.sz.mell EOI'!C45</f>
        <v>388721982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189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198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761">
        <f>81300938-46617</f>
        <v>81254321</v>
      </c>
      <c r="E45" s="488">
        <f>'22. sz. mell EOI'!C46+'23.sz.mell EOI'!C48</f>
        <v>81254321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1990718</v>
      </c>
      <c r="E48" s="488">
        <f>'22. sz. mell EOI'!C49+'23.sz.mell EOI'!C51</f>
        <v>1990718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761">
        <f>596900+187318</f>
        <v>784218</v>
      </c>
      <c r="E50" s="488">
        <f>'22. sz. mell EOI'!C51+'23.sz.mell EOI'!C53</f>
        <v>784218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390712700</v>
      </c>
      <c r="E54" s="488">
        <f>'22. sz. mell EOI'!C55+'23.sz.mell EOI'!C57</f>
        <v>390712700</v>
      </c>
      <c r="F54" s="488">
        <f t="shared" si="0"/>
        <v>0</v>
      </c>
    </row>
    <row r="55" spans="1:6" ht="13.5" thickBot="1" x14ac:dyDescent="0.25">
      <c r="A55" s="1472" t="s">
        <v>459</v>
      </c>
      <c r="B55" s="1473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H45" sqref="H45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77" t="str">
        <f>CONCATENATE("17. melléklet"," ",ALAPADATOK!A7," ",ALAPADATOK!B7," ",ALAPADATOK!C7," ",ALAPADATOK!D7," ",ALAPADATOK!E7," ",ALAPADATOK!F7," ",ALAPADATOK!G7," ",ALAPADATOK!H7)</f>
        <v>17. melléklet a .. / 2022. ( …...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849"/>
    </row>
    <row r="3" spans="1:6" s="217" customFormat="1" ht="33" customHeight="1" thickBot="1" x14ac:dyDescent="0.25">
      <c r="A3" s="1428" t="s">
        <v>904</v>
      </c>
      <c r="B3" s="1428"/>
      <c r="C3" s="1428"/>
      <c r="E3" s="486"/>
      <c r="F3" s="486"/>
    </row>
    <row r="4" spans="1:6" ht="13.5" thickBot="1" x14ac:dyDescent="0.25">
      <c r="A4" s="1106" t="s">
        <v>153</v>
      </c>
      <c r="B4" s="81" t="s">
        <v>50</v>
      </c>
      <c r="C4" s="326" t="s">
        <v>897</v>
      </c>
      <c r="E4" s="721"/>
      <c r="F4" s="721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12717238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377995462</v>
      </c>
    </row>
    <row r="38" spans="1:3" s="168" customFormat="1" ht="12" customHeight="1" x14ac:dyDescent="0.2">
      <c r="A38" s="213" t="s">
        <v>341</v>
      </c>
      <c r="B38" s="214" t="s">
        <v>166</v>
      </c>
      <c r="C38" s="760">
        <f>127382+140701</f>
        <v>268083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f>373242379+4485000</f>
        <v>377727379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569">
        <f>+C36+C37</f>
        <v>390712700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388721982</v>
      </c>
    </row>
    <row r="44" spans="1:3" ht="12" customHeight="1" x14ac:dyDescent="0.2">
      <c r="A44" s="212" t="s">
        <v>85</v>
      </c>
      <c r="B44" s="6" t="s">
        <v>46</v>
      </c>
      <c r="C44" s="1189">
        <v>267518494</v>
      </c>
    </row>
    <row r="45" spans="1:3" ht="12" customHeight="1" x14ac:dyDescent="0.2">
      <c r="A45" s="212" t="s">
        <v>86</v>
      </c>
      <c r="B45" s="5" t="s">
        <v>134</v>
      </c>
      <c r="C45" s="1198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761">
        <f>81300938-46617</f>
        <v>81254321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1990718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761">
        <f>596900+187318</f>
        <v>784218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390712700</v>
      </c>
    </row>
    <row r="56" spans="1:3" ht="13.5" thickBot="1" x14ac:dyDescent="0.25">
      <c r="A56" s="1472" t="s">
        <v>459</v>
      </c>
      <c r="B56" s="1473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C17" sqref="C17"/>
    </sheetView>
  </sheetViews>
  <sheetFormatPr defaultRowHeight="12.75" x14ac:dyDescent="0.2"/>
  <cols>
    <col min="1" max="1" width="13.83203125" style="748" customWidth="1"/>
    <col min="2" max="2" width="79.1640625" style="748" customWidth="1"/>
    <col min="3" max="3" width="25" style="748" customWidth="1"/>
    <col min="4" max="16384" width="9.33203125" style="748"/>
  </cols>
  <sheetData>
    <row r="1" spans="1:3" x14ac:dyDescent="0.2">
      <c r="A1" s="1477" t="str">
        <f>CONCATENATE("23. melléklet"," ",ALAPADATOK!A7," ",ALAPADATOK!B7," ",ALAPADATOK!C7," ",ALAPADATOK!D7," ",ALAPADATOK!E7," ",ALAPADATOK!F7," ",ALAPADATOK!G7," ",ALAPADATOK!H7)</f>
        <v>23. melléklet a .. / 2022. ( …... ) önkormányzati rendelethez</v>
      </c>
      <c r="B1" s="1477"/>
      <c r="C1" s="1477"/>
    </row>
    <row r="2" spans="1:3" ht="15.75" x14ac:dyDescent="0.2">
      <c r="A2" s="76"/>
      <c r="B2" s="78"/>
      <c r="C2" s="852"/>
    </row>
    <row r="3" spans="1:3" ht="16.5" thickBot="1" x14ac:dyDescent="0.25">
      <c r="A3" s="1428" t="s">
        <v>1024</v>
      </c>
      <c r="B3" s="1428"/>
      <c r="C3" s="1428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8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6"/>
    </row>
    <row r="10" spans="1:3" x14ac:dyDescent="0.2">
      <c r="A10" s="212" t="s">
        <v>87</v>
      </c>
      <c r="B10" s="5" t="s">
        <v>209</v>
      </c>
      <c r="C10" s="756"/>
    </row>
    <row r="11" spans="1:3" x14ac:dyDescent="0.2">
      <c r="A11" s="212" t="s">
        <v>88</v>
      </c>
      <c r="B11" s="5" t="s">
        <v>210</v>
      </c>
      <c r="C11" s="756"/>
    </row>
    <row r="12" spans="1:3" x14ac:dyDescent="0.2">
      <c r="A12" s="212" t="s">
        <v>111</v>
      </c>
      <c r="B12" s="5" t="s">
        <v>211</v>
      </c>
      <c r="C12" s="756"/>
    </row>
    <row r="13" spans="1:3" x14ac:dyDescent="0.2">
      <c r="A13" s="212" t="s">
        <v>89</v>
      </c>
      <c r="B13" s="5" t="s">
        <v>331</v>
      </c>
      <c r="C13" s="756"/>
    </row>
    <row r="14" spans="1:3" x14ac:dyDescent="0.2">
      <c r="A14" s="212" t="s">
        <v>90</v>
      </c>
      <c r="B14" s="4" t="s">
        <v>332</v>
      </c>
      <c r="C14" s="756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6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6"/>
    </row>
    <row r="22" spans="1:3" x14ac:dyDescent="0.2">
      <c r="A22" s="212" t="s">
        <v>93</v>
      </c>
      <c r="B22" s="5" t="s">
        <v>335</v>
      </c>
      <c r="C22" s="761"/>
    </row>
    <row r="23" spans="1:3" ht="13.5" thickBot="1" x14ac:dyDescent="0.25">
      <c r="A23" s="212" t="s">
        <v>94</v>
      </c>
      <c r="B23" s="5" t="s">
        <v>462</v>
      </c>
      <c r="C23" s="756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x14ac:dyDescent="0.2">
      <c r="A26" s="213" t="s">
        <v>195</v>
      </c>
      <c r="B26" s="214" t="s">
        <v>190</v>
      </c>
      <c r="C26" s="755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7"/>
    </row>
    <row r="30" spans="1:3" ht="13.5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x14ac:dyDescent="0.2">
      <c r="A31" s="213" t="s">
        <v>78</v>
      </c>
      <c r="B31" s="214" t="s">
        <v>221</v>
      </c>
      <c r="C31" s="755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7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59">
        <f>+C7+C19+C24+C25+C30+C34+C35</f>
        <v>0</v>
      </c>
    </row>
    <row r="37" spans="1:3" ht="13.5" thickBot="1" x14ac:dyDescent="0.25">
      <c r="A37" s="850" t="s">
        <v>24</v>
      </c>
      <c r="B37" s="54" t="s">
        <v>340</v>
      </c>
      <c r="C37" s="759">
        <f>+C38+C39+C40</f>
        <v>0</v>
      </c>
    </row>
    <row r="38" spans="1:3" x14ac:dyDescent="0.2">
      <c r="A38" s="213" t="s">
        <v>341</v>
      </c>
      <c r="B38" s="214" t="s">
        <v>166</v>
      </c>
      <c r="C38" s="755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7"/>
    </row>
    <row r="41" spans="1:3" ht="13.5" thickBot="1" x14ac:dyDescent="0.25">
      <c r="A41" s="850" t="s">
        <v>25</v>
      </c>
      <c r="B41" s="851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8">
        <f>SUM(C46:C50)</f>
        <v>0</v>
      </c>
    </row>
    <row r="46" spans="1:3" x14ac:dyDescent="0.2">
      <c r="A46" s="212" t="s">
        <v>85</v>
      </c>
      <c r="B46" s="6" t="s">
        <v>46</v>
      </c>
      <c r="C46" s="760"/>
    </row>
    <row r="47" spans="1:3" x14ac:dyDescent="0.2">
      <c r="A47" s="212" t="s">
        <v>86</v>
      </c>
      <c r="B47" s="5" t="s">
        <v>134</v>
      </c>
      <c r="C47" s="761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6"/>
    </row>
    <row r="50" spans="1:3" ht="13.5" thickBot="1" x14ac:dyDescent="0.25">
      <c r="A50" s="212" t="s">
        <v>111</v>
      </c>
      <c r="B50" s="5" t="s">
        <v>136</v>
      </c>
      <c r="C50" s="756"/>
    </row>
    <row r="51" spans="1:3" ht="13.5" thickBot="1" x14ac:dyDescent="0.25">
      <c r="A51" s="74" t="s">
        <v>17</v>
      </c>
      <c r="B51" s="54" t="s">
        <v>347</v>
      </c>
      <c r="C51" s="758">
        <f>SUM(C52:C54)</f>
        <v>0</v>
      </c>
    </row>
    <row r="52" spans="1:3" x14ac:dyDescent="0.2">
      <c r="A52" s="212" t="s">
        <v>91</v>
      </c>
      <c r="B52" s="6" t="s">
        <v>157</v>
      </c>
      <c r="C52" s="760"/>
    </row>
    <row r="53" spans="1:3" x14ac:dyDescent="0.2">
      <c r="A53" s="212" t="s">
        <v>92</v>
      </c>
      <c r="B53" s="5" t="s">
        <v>138</v>
      </c>
      <c r="C53" s="756"/>
    </row>
    <row r="54" spans="1:3" x14ac:dyDescent="0.2">
      <c r="A54" s="212" t="s">
        <v>93</v>
      </c>
      <c r="B54" s="5" t="s">
        <v>54</v>
      </c>
      <c r="C54" s="756"/>
    </row>
    <row r="55" spans="1:3" ht="13.5" thickBot="1" x14ac:dyDescent="0.25">
      <c r="A55" s="212" t="s">
        <v>94</v>
      </c>
      <c r="B55" s="5" t="s">
        <v>465</v>
      </c>
      <c r="C55" s="756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8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6640625" style="721" hidden="1" customWidth="1"/>
    <col min="7" max="7" width="9.33203125" style="708" hidden="1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6" ht="12.75" customHeight="1" x14ac:dyDescent="0.2">
      <c r="A1" s="1477" t="str">
        <f>CONCATENATE("18. melléklet"," ",ALAPADATOK!A7," ",ALAPADATOK!B7," ",ALAPADATOK!C7," ",ALAPADATOK!D7," ",ALAPADATOK!E7," ",ALAPADATOK!F7," ",ALAPADATOK!G7," ",ALAPADATOK!H7)</f>
        <v>18. melléklet a .. / 2022. ( …... ) önkormányzati rendelethez</v>
      </c>
      <c r="B1" s="1477"/>
      <c r="C1" s="1477"/>
    </row>
    <row r="2" spans="1:16" s="77" customFormat="1" ht="21" customHeight="1" x14ac:dyDescent="0.2">
      <c r="A2" s="76"/>
      <c r="B2" s="78"/>
      <c r="C2" s="849"/>
      <c r="E2" s="721"/>
      <c r="F2" s="721"/>
    </row>
    <row r="3" spans="1:16" s="217" customFormat="1" ht="36" customHeight="1" thickBot="1" x14ac:dyDescent="0.25">
      <c r="A3" s="1428" t="s">
        <v>928</v>
      </c>
      <c r="B3" s="1428"/>
      <c r="C3" s="1428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897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16781298</v>
      </c>
      <c r="E7" s="488">
        <f>'25. sz. mell EKIK'!C7+'26. sz. mell EKIK'!C7</f>
        <v>16781298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42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761">
        <f>11089435+192926</f>
        <v>11282361</v>
      </c>
      <c r="E9" s="488">
        <f>'25. sz. mell EKIK'!C9+'26. sz. mell EKIK'!C9</f>
        <v>11282361</v>
      </c>
      <c r="F9" s="488">
        <f t="shared" si="0"/>
        <v>0</v>
      </c>
      <c r="K9" s="217"/>
      <c r="L9" s="217"/>
      <c r="M9" s="1142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6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761">
        <f>2194949+52090</f>
        <v>2247039</v>
      </c>
      <c r="E13" s="488">
        <f>'25. sz. mell EKIK'!C13+'26. sz. mell EKIK'!C13</f>
        <v>2247039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98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6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31130425</v>
      </c>
      <c r="E36" s="488">
        <f>'25. sz. mell EKIK'!C36+'26. sz. mell EKIK'!C36</f>
        <v>31130425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568">
        <f>+C38+C39+C40</f>
        <v>128104549</v>
      </c>
      <c r="E37" s="488">
        <f>'25. sz. mell EKIK'!C37+'26. sz. mell EKIK'!C37</f>
        <v>128104549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3">
        <f>138201885-13190647+1567338+27311</f>
        <v>126605887</v>
      </c>
      <c r="E40" s="488">
        <f>'25. sz. mell EKIK'!C40+'26. sz. mell EKIK'!C40</f>
        <v>126605887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569">
        <f>+C36+C37</f>
        <v>159234974</v>
      </c>
      <c r="E41" s="488">
        <f>'25. sz. mell EKIK'!C41+'26. sz. mell EKIK'!C41</f>
        <v>159234974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74" t="s">
        <v>53</v>
      </c>
      <c r="B44" s="1475"/>
      <c r="C44" s="1476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150324846</v>
      </c>
      <c r="E45" s="488">
        <f>'25. sz. mell EKIK'!C45+'26. sz. mell EKIK'!C45</f>
        <v>150324846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189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198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1">
        <f>62889818+85000+800000+271616</f>
        <v>64046434</v>
      </c>
      <c r="E48" s="488">
        <f>'25. sz. mell EKIK'!C48+'26. sz. mell EKIK'!C48</f>
        <v>64046434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761">
        <v>711</v>
      </c>
      <c r="E50" s="488">
        <f>'25. sz. mell EKIK'!C50+'26. sz. mell EKIK'!C50</f>
        <v>711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189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1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159234974</v>
      </c>
      <c r="E57" s="488">
        <f>'25. sz. mell EKIK'!C57+'26. sz. mell EKIK'!C57</f>
        <v>159234974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80" t="s">
        <v>459</v>
      </c>
      <c r="B59" s="1481"/>
      <c r="C59" s="1029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78" t="s">
        <v>855</v>
      </c>
      <c r="B60" s="1479"/>
      <c r="C60" s="62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G18" sqref="G18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77" t="str">
        <f>CONCATENATE("19. melléklet"," ",ALAPADATOK!A7," ",ALAPADATOK!B7," ",ALAPADATOK!C7," ",ALAPADATOK!D7," ",ALAPADATOK!E7," ",ALAPADATOK!F7," ",ALAPADATOK!G7," ",ALAPADATOK!H7)</f>
        <v>19.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849"/>
    </row>
    <row r="3" spans="1:3" s="217" customFormat="1" ht="33" customHeight="1" thickBot="1" x14ac:dyDescent="0.25">
      <c r="A3" s="1428" t="s">
        <v>929</v>
      </c>
      <c r="B3" s="1428"/>
      <c r="C3" s="1428"/>
    </row>
    <row r="4" spans="1:3" ht="13.5" thickBot="1" x14ac:dyDescent="0.25">
      <c r="A4" s="175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6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1198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6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128097238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03">
        <f>140663703-2461818-13275647+85000+1567338+20000</f>
        <v>126598576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569">
        <f>+C36+C37</f>
        <v>154615765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74" t="s">
        <v>53</v>
      </c>
      <c r="B44" s="1475"/>
      <c r="C44" s="1476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148566455</v>
      </c>
    </row>
    <row r="46" spans="1:3" ht="12" customHeight="1" x14ac:dyDescent="0.2">
      <c r="A46" s="212" t="s">
        <v>85</v>
      </c>
      <c r="B46" s="6" t="s">
        <v>46</v>
      </c>
      <c r="C46" s="1189">
        <v>75694923</v>
      </c>
    </row>
    <row r="47" spans="1:3" ht="12" customHeight="1" x14ac:dyDescent="0.2">
      <c r="A47" s="212" t="s">
        <v>86</v>
      </c>
      <c r="B47" s="5" t="s">
        <v>134</v>
      </c>
      <c r="C47" s="1198">
        <v>10359218</v>
      </c>
    </row>
    <row r="48" spans="1:3" ht="12" customHeight="1" x14ac:dyDescent="0.2">
      <c r="A48" s="212" t="s">
        <v>87</v>
      </c>
      <c r="B48" s="5" t="s">
        <v>110</v>
      </c>
      <c r="C48" s="761">
        <f>61692314+800000+20000</f>
        <v>62512314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1189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13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156992583</v>
      </c>
    </row>
    <row r="58" spans="1:6" ht="14.25" customHeight="1" thickBot="1" x14ac:dyDescent="0.25">
      <c r="C58" s="573"/>
    </row>
    <row r="59" spans="1:6" x14ac:dyDescent="0.2">
      <c r="A59" s="1480" t="s">
        <v>459</v>
      </c>
      <c r="B59" s="1481"/>
      <c r="C59" s="1029">
        <f>19.75</f>
        <v>19.75</v>
      </c>
      <c r="E59" s="488"/>
      <c r="F59" s="488"/>
    </row>
    <row r="60" spans="1:6" ht="13.5" customHeight="1" thickBot="1" x14ac:dyDescent="0.25">
      <c r="A60" s="1478" t="s">
        <v>855</v>
      </c>
      <c r="B60" s="1479"/>
      <c r="C60" s="627"/>
      <c r="E60" s="721"/>
      <c r="F60" s="721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41" sqref="C41"/>
    </sheetView>
  </sheetViews>
  <sheetFormatPr defaultColWidth="9.33203125" defaultRowHeight="12.75" x14ac:dyDescent="0.2"/>
  <cols>
    <col min="1" max="1" width="13.83203125" style="96" customWidth="1"/>
    <col min="2" max="2" width="82" style="708" customWidth="1"/>
    <col min="3" max="3" width="28.5" style="316" customWidth="1"/>
    <col min="4" max="16384" width="9.33203125" style="708"/>
  </cols>
  <sheetData>
    <row r="1" spans="1:8" ht="12.75" customHeight="1" x14ac:dyDescent="0.2">
      <c r="A1" s="1477" t="str">
        <f>CONCATENATE("20. melléklet"," ",ALAPADATOK!A7," ",ALAPADATOK!B7," ",ALAPADATOK!C7," ",ALAPADATOK!D7," ",ALAPADATOK!E7," ",ALAPADATOK!F7," ",ALAPADATOK!G7," ",ALAPADATOK!H7)</f>
        <v>20. melléklet a .. / 2022. ( …... ) önkormányzati rendelethez</v>
      </c>
      <c r="B1" s="1477"/>
      <c r="C1" s="1477"/>
    </row>
    <row r="2" spans="1:8" s="77" customFormat="1" ht="21" customHeight="1" x14ac:dyDescent="0.2">
      <c r="A2" s="76"/>
      <c r="B2" s="78"/>
      <c r="C2" s="852"/>
    </row>
    <row r="3" spans="1:8" s="217" customFormat="1" ht="36.75" customHeight="1" thickBot="1" x14ac:dyDescent="0.25">
      <c r="A3" s="1428" t="s">
        <v>930</v>
      </c>
      <c r="B3" s="1428"/>
      <c r="C3" s="1428"/>
    </row>
    <row r="4" spans="1:8" ht="13.5" thickBot="1" x14ac:dyDescent="0.25">
      <c r="A4" s="175" t="s">
        <v>153</v>
      </c>
      <c r="B4" s="81" t="s">
        <v>50</v>
      </c>
      <c r="C4" s="82" t="s">
        <v>897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8">
        <f>SUM(C8:C18)</f>
        <v>4611898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42"/>
    </row>
    <row r="9" spans="1:8" s="168" customFormat="1" ht="12" customHeight="1" x14ac:dyDescent="0.2">
      <c r="A9" s="212" t="s">
        <v>86</v>
      </c>
      <c r="B9" s="5" t="s">
        <v>208</v>
      </c>
      <c r="C9" s="761">
        <f>909435+192926</f>
        <v>1102361</v>
      </c>
      <c r="H9" s="1142"/>
    </row>
    <row r="10" spans="1:8" s="168" customFormat="1" ht="12" customHeight="1" x14ac:dyDescent="0.2">
      <c r="A10" s="212" t="s">
        <v>87</v>
      </c>
      <c r="B10" s="5" t="s">
        <v>209</v>
      </c>
      <c r="C10" s="756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6"/>
    </row>
    <row r="12" spans="1:8" s="168" customFormat="1" ht="12" customHeight="1" x14ac:dyDescent="0.2">
      <c r="A12" s="212" t="s">
        <v>111</v>
      </c>
      <c r="B12" s="5" t="s">
        <v>211</v>
      </c>
      <c r="C12" s="756"/>
    </row>
    <row r="13" spans="1:8" s="168" customFormat="1" ht="12" customHeight="1" x14ac:dyDescent="0.2">
      <c r="A13" s="212" t="s">
        <v>89</v>
      </c>
      <c r="B13" s="5" t="s">
        <v>331</v>
      </c>
      <c r="C13" s="761">
        <f>245549+52090</f>
        <v>297639</v>
      </c>
    </row>
    <row r="14" spans="1:8" s="168" customFormat="1" ht="12" customHeight="1" x14ac:dyDescent="0.2">
      <c r="A14" s="212" t="s">
        <v>90</v>
      </c>
      <c r="B14" s="4" t="s">
        <v>332</v>
      </c>
      <c r="C14" s="756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6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6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6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8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5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7"/>
    </row>
    <row r="30" spans="1:3" s="220" customFormat="1" ht="12" customHeight="1" thickBot="1" x14ac:dyDescent="0.25">
      <c r="A30" s="74" t="s">
        <v>20</v>
      </c>
      <c r="B30" s="54" t="s">
        <v>337</v>
      </c>
      <c r="C30" s="758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5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7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4611898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7311</v>
      </c>
    </row>
    <row r="38" spans="1:3" s="168" customFormat="1" ht="12" customHeight="1" x14ac:dyDescent="0.2">
      <c r="A38" s="213" t="s">
        <v>341</v>
      </c>
      <c r="B38" s="214" t="s">
        <v>166</v>
      </c>
      <c r="C38" s="755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3">
        <v>7311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163">
        <f>+C36+C37</f>
        <v>4619209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8">
        <f>SUM(C46:C50)</f>
        <v>1758391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1">
        <f>1197504+85000+251616</f>
        <v>1534120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6">
        <v>711</v>
      </c>
    </row>
    <row r="51" spans="1:3" s="221" customFormat="1" ht="12" customHeight="1" thickBot="1" x14ac:dyDescent="0.25">
      <c r="A51" s="74" t="s">
        <v>17</v>
      </c>
      <c r="B51" s="54" t="s">
        <v>347</v>
      </c>
      <c r="C51" s="758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0"/>
    </row>
    <row r="53" spans="1:3" ht="12" customHeight="1" x14ac:dyDescent="0.2">
      <c r="A53" s="212" t="s">
        <v>92</v>
      </c>
      <c r="B53" s="5" t="s">
        <v>138</v>
      </c>
      <c r="C53" s="761"/>
    </row>
    <row r="54" spans="1:3" ht="12" customHeight="1" x14ac:dyDescent="0.2">
      <c r="A54" s="212" t="s">
        <v>93</v>
      </c>
      <c r="B54" s="5" t="s">
        <v>54</v>
      </c>
      <c r="C54" s="756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6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2242391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77" t="str">
        <f>CONCATENATE("21. melléklet"," ",ALAPADATOK!A7," ",ALAPADATOK!B7," ",ALAPADATOK!C7," ",ALAPADATOK!D7," ",ALAPADATOK!E7," ",ALAPADATOK!F7," ",ALAPADATOK!G7," ",ALAPADATOK!H7)</f>
        <v>21. melléklet a .. / 2022. ( …...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849"/>
      <c r="E2" s="721"/>
      <c r="F2" s="721"/>
    </row>
    <row r="3" spans="1:6" s="217" customFormat="1" ht="33" customHeight="1" thickBot="1" x14ac:dyDescent="0.25">
      <c r="A3" s="1428" t="s">
        <v>905</v>
      </c>
      <c r="B3" s="1428"/>
      <c r="C3" s="1428"/>
      <c r="E3" s="486"/>
      <c r="F3" s="486"/>
    </row>
    <row r="4" spans="1:6" ht="13.5" thickBot="1" x14ac:dyDescent="0.25">
      <c r="A4" s="1106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191132717</v>
      </c>
      <c r="E7" s="488">
        <f>'28. sz. mell Kornisné Kp. '!C7+'29. sz. mell Kornisné Kp.'!C7+'30. sz. mell Kornisné Kp '!C9</f>
        <v>191132717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61">
        <f>12544400+800000</f>
        <v>13344400</v>
      </c>
      <c r="E9" s="488">
        <f>'28. sz. mell Kornisné Kp. '!C9+'29. sz. mell Kornisné Kp.'!C9+'30. sz. mell Kornisné Kp '!C11</f>
        <v>13344400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61">
        <f>3784224+216000</f>
        <v>4000224</v>
      </c>
      <c r="E13" s="488">
        <f>'28. sz. mell Kornisné Kp. '!C13+'29. sz. mell Kornisné Kp.'!C13+'30. sz. mell Kornisné Kp '!C15</f>
        <v>4000224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1388">
        <v>273261</v>
      </c>
      <c r="E18" s="488">
        <f>'28. sz. mell Kornisné Kp. '!C18+'29. sz. mell Kornisné Kp.'!C18+'30. sz. mell Kornisné Kp '!C20</f>
        <v>273261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8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77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177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179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180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1387">
        <v>456096</v>
      </c>
      <c r="E34" s="488">
        <f>'28. sz. mell Kornisné Kp. '!C34+'29. sz. mell Kornisné Kp.'!C34+'30. sz. mell Kornisné Kp '!C36</f>
        <v>456096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2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261552583</v>
      </c>
      <c r="E36" s="488">
        <f>'28. sz. mell Kornisné Kp. '!C36+'29. sz. mell Kornisné Kp.'!C36+'30. sz. mell Kornisné Kp '!C38</f>
        <v>261552583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182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181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91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568">
        <f>+C36+C37</f>
        <v>1099720538</v>
      </c>
      <c r="E41" s="488">
        <f>'28. sz. mell Kornisné Kp. '!C41+'29. sz. mell Kornisné Kp.'!C41+'30. sz. mell Kornisné Kp '!C43</f>
        <v>1099720538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1073202044</v>
      </c>
      <c r="E43" s="488">
        <f>'28. sz. mell Kornisné Kp. '!C43+'29. sz. mell Kornisné Kp.'!C43+'30. sz. mell Kornisné Kp '!C47</f>
        <v>1073202044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0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08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1">
        <f>265097712+315628+8960836-501292+1472096</f>
        <v>275344980</v>
      </c>
      <c r="E46" s="488">
        <f>'28. sz. mell Kornisné Kp. '!C46+'29. sz. mell Kornisné Kp.'!C46+'30. sz. mell Kornisné Kp '!C50</f>
        <v>275344980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183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183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26518494</v>
      </c>
      <c r="E49" s="488">
        <f>'28. sz. mell Kornisné Kp. '!C49+'29. sz. mell Kornisné Kp.'!C49+'30. sz. mell Kornisné Kp '!C53</f>
        <v>26518494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60">
        <f>25743941+774553</f>
        <v>26518494</v>
      </c>
      <c r="E50" s="488">
        <f>'28. sz. mell Kornisné Kp. '!C50+'29. sz. mell Kornisné Kp.'!C50+'30. sz. mell Kornisné Kp '!C54</f>
        <v>26518494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1099720538</v>
      </c>
      <c r="E55" s="488">
        <f>'28. sz. mell Kornisné Kp. '!C55+'29. sz. mell Kornisné Kp.'!C55+'30. sz. mell Kornisné Kp '!C59</f>
        <v>1099720538</v>
      </c>
      <c r="F55" s="488">
        <f t="shared" si="0"/>
        <v>0</v>
      </c>
    </row>
    <row r="56" spans="1:6" ht="13.5" thickBot="1" x14ac:dyDescent="0.25">
      <c r="A56" s="1472" t="s">
        <v>459</v>
      </c>
      <c r="B56" s="1473"/>
      <c r="C56" s="1184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86" t="s">
        <v>659</v>
      </c>
      <c r="B57" s="1487"/>
      <c r="C57" s="581">
        <v>2</v>
      </c>
      <c r="E57" s="488"/>
      <c r="F57" s="488"/>
    </row>
    <row r="58" spans="1:6" s="329" customFormat="1" ht="19.899999999999999" customHeight="1" thickBot="1" x14ac:dyDescent="0.25">
      <c r="A58" s="1482" t="s">
        <v>510</v>
      </c>
      <c r="B58" s="1483"/>
      <c r="C58" s="853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84" t="s">
        <v>856</v>
      </c>
      <c r="B59" s="1485"/>
      <c r="C59" s="853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D94" sqref="D1:I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8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17" t="str">
        <f>CONCATENATE("2. melléklet"," ",ALAPADATOK!A7," ",ALAPADATOK!B7," ",ALAPADATOK!C7," ",ALAPADATOK!D7," ",ALAPADATOK!E7," ",ALAPADATOK!F7," ",ALAPADATOK!G7," ",ALAPADATOK!H7)</f>
        <v>2. melléklet a .. / 2022. ( …... ) önkormányzati rendelethez</v>
      </c>
      <c r="B1" s="1417"/>
      <c r="C1" s="1417"/>
      <c r="F1" s="738"/>
      <c r="G1" s="738"/>
      <c r="H1" s="738"/>
    </row>
    <row r="2" spans="1:9" s="738" customFormat="1" x14ac:dyDescent="0.25">
      <c r="A2" s="664"/>
      <c r="B2" s="664"/>
      <c r="C2" s="664"/>
    </row>
    <row r="3" spans="1:9" s="650" customFormat="1" x14ac:dyDescent="0.25">
      <c r="A3" s="1422" t="str">
        <f>CONCATENATE(ALAPADATOK!A3)</f>
        <v>Tiszavasvári Város Önkormányzat</v>
      </c>
      <c r="B3" s="1422"/>
      <c r="C3" s="1422"/>
      <c r="F3" s="738"/>
      <c r="G3" s="738"/>
      <c r="H3" s="738"/>
    </row>
    <row r="4" spans="1:9" s="650" customFormat="1" x14ac:dyDescent="0.25">
      <c r="A4" s="1421" t="str">
        <f>CONCATENATE(ALAPADATOK!D7," ÉVI KÖLTSÉGVETÉS")</f>
        <v>2022. ÉVI KÖLTSÉGVETÉS</v>
      </c>
      <c r="B4" s="1421"/>
      <c r="C4" s="1421"/>
      <c r="F4" s="738"/>
      <c r="G4" s="738"/>
      <c r="H4" s="738"/>
    </row>
    <row r="5" spans="1:9" s="650" customFormat="1" x14ac:dyDescent="0.25">
      <c r="A5" s="1421" t="s">
        <v>678</v>
      </c>
      <c r="B5" s="1421"/>
      <c r="C5" s="1421"/>
      <c r="F5" s="738"/>
      <c r="G5" s="738"/>
      <c r="H5" s="738"/>
    </row>
    <row r="6" spans="1:9" s="650" customFormat="1" x14ac:dyDescent="0.25">
      <c r="A6" s="649"/>
      <c r="B6" s="649"/>
      <c r="C6" s="292"/>
      <c r="F6" s="738"/>
      <c r="G6" s="738"/>
      <c r="H6" s="738"/>
    </row>
    <row r="7" spans="1:9" ht="15.95" customHeight="1" x14ac:dyDescent="0.25">
      <c r="A7" s="1419" t="s">
        <v>13</v>
      </c>
      <c r="B7" s="1419"/>
      <c r="C7" s="1419"/>
      <c r="D7" s="736"/>
      <c r="E7" s="736"/>
      <c r="F7" s="736"/>
      <c r="G7" s="736"/>
      <c r="H7" s="736"/>
      <c r="I7" s="736"/>
    </row>
    <row r="8" spans="1:9" ht="15.95" customHeight="1" thickBot="1" x14ac:dyDescent="0.3">
      <c r="A8" s="1418" t="s">
        <v>114</v>
      </c>
      <c r="B8" s="1418"/>
      <c r="C8" s="121" t="s">
        <v>487</v>
      </c>
      <c r="D8" s="736"/>
      <c r="E8" s="736"/>
      <c r="F8" s="736"/>
      <c r="G8" s="736"/>
      <c r="H8" s="736"/>
      <c r="I8" s="736"/>
    </row>
    <row r="9" spans="1:9" ht="38.1" customHeight="1" thickBot="1" x14ac:dyDescent="0.3">
      <c r="A9" s="20" t="s">
        <v>63</v>
      </c>
      <c r="B9" s="21" t="s">
        <v>15</v>
      </c>
      <c r="C9" s="29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1603911211</v>
      </c>
      <c r="D11" s="266">
        <f t="shared" ref="D11:I11" si="1">+D12+D13+D14+D17+D18+D19</f>
        <v>1603911211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60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749">
        <f t="shared" si="0"/>
        <v>293055250</v>
      </c>
      <c r="D13" s="1161">
        <f>296342550-3287300</f>
        <v>293055250</v>
      </c>
      <c r="E13" s="764"/>
      <c r="F13" s="764"/>
      <c r="G13" s="764"/>
      <c r="H13" s="764"/>
      <c r="I13" s="764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645470611</v>
      </c>
      <c r="D14" s="1161">
        <f t="shared" ref="D14:I14" si="2">SUM(D15:D16)</f>
        <v>645470611</v>
      </c>
      <c r="E14" s="764">
        <f t="shared" si="2"/>
        <v>0</v>
      </c>
      <c r="F14" s="764">
        <f t="shared" si="2"/>
        <v>0</v>
      </c>
      <c r="G14" s="764">
        <f t="shared" si="2"/>
        <v>0</v>
      </c>
      <c r="H14" s="764">
        <f t="shared" si="2"/>
        <v>0</v>
      </c>
      <c r="I14" s="764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749">
        <f t="shared" si="0"/>
        <v>368070443</v>
      </c>
      <c r="D15" s="1161">
        <f>367216923+853520</f>
        <v>368070443</v>
      </c>
      <c r="E15" s="764"/>
      <c r="F15" s="764"/>
      <c r="G15" s="764"/>
      <c r="H15" s="764"/>
      <c r="I15" s="764"/>
    </row>
    <row r="16" spans="1:9" s="183" customFormat="1" ht="12" customHeight="1" x14ac:dyDescent="0.2">
      <c r="A16" s="11" t="s">
        <v>719</v>
      </c>
      <c r="B16" s="185" t="s">
        <v>722</v>
      </c>
      <c r="C16" s="749">
        <f t="shared" si="0"/>
        <v>277400168</v>
      </c>
      <c r="D16" s="1161">
        <f>271004659+9943669-3548160</f>
        <v>277400168</v>
      </c>
      <c r="E16" s="764"/>
      <c r="F16" s="764"/>
      <c r="G16" s="764"/>
      <c r="H16" s="764"/>
      <c r="I16" s="764"/>
    </row>
    <row r="17" spans="1:11" s="183" customFormat="1" ht="12" customHeight="1" x14ac:dyDescent="0.2">
      <c r="A17" s="11" t="s">
        <v>88</v>
      </c>
      <c r="B17" s="185" t="s">
        <v>183</v>
      </c>
      <c r="C17" s="1214">
        <f t="shared" si="0"/>
        <v>42342119</v>
      </c>
      <c r="D17" s="1161">
        <f>41287119+1055000</f>
        <v>42342119</v>
      </c>
      <c r="E17" s="764"/>
      <c r="F17" s="764"/>
      <c r="G17" s="764"/>
      <c r="H17" s="764"/>
      <c r="I17" s="764"/>
    </row>
    <row r="18" spans="1:11" s="183" customFormat="1" ht="12" customHeight="1" x14ac:dyDescent="0.2">
      <c r="A18" s="11" t="s">
        <v>111</v>
      </c>
      <c r="B18" s="108" t="s">
        <v>388</v>
      </c>
      <c r="C18" s="1214">
        <f t="shared" si="0"/>
        <v>321806340</v>
      </c>
      <c r="D18" s="1161">
        <f>335081987-13275647</f>
        <v>321806340</v>
      </c>
      <c r="E18" s="764"/>
      <c r="F18" s="764"/>
      <c r="G18" s="764"/>
      <c r="H18" s="764"/>
      <c r="I18" s="764"/>
    </row>
    <row r="19" spans="1:11" s="183" customFormat="1" ht="12" customHeight="1" thickBot="1" x14ac:dyDescent="0.25">
      <c r="A19" s="13" t="s">
        <v>89</v>
      </c>
      <c r="B19" s="109" t="s">
        <v>389</v>
      </c>
      <c r="C19" s="753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171342939</v>
      </c>
      <c r="D20" s="266">
        <f t="shared" ref="D20:I20" si="3">+D21+D22+D23+D24+D25</f>
        <v>171069459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49">
        <f t="shared" si="0"/>
        <v>171342939</v>
      </c>
      <c r="D25" s="1154">
        <f>93565378+17717899+800000+58986182</f>
        <v>171069459</v>
      </c>
      <c r="E25" s="764"/>
      <c r="F25" s="764"/>
      <c r="G25" s="1161">
        <v>273480</v>
      </c>
      <c r="H25" s="764"/>
      <c r="I25" s="764"/>
    </row>
    <row r="26" spans="1:11" s="183" customFormat="1" ht="12" customHeight="1" thickBot="1" x14ac:dyDescent="0.25">
      <c r="A26" s="13" t="s">
        <v>104</v>
      </c>
      <c r="B26" s="109" t="s">
        <v>188</v>
      </c>
      <c r="C26" s="1394">
        <f t="shared" si="0"/>
        <v>93758165</v>
      </c>
      <c r="D26" s="766">
        <f>56195378+37562787</f>
        <v>93758165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408258890</v>
      </c>
      <c r="D27" s="266">
        <f t="shared" ref="D27:I27" si="4">+D28+D29+D30+D31+D32</f>
        <v>408258890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56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5"/>
      <c r="E29" s="764"/>
      <c r="F29" s="764"/>
      <c r="G29" s="764"/>
      <c r="H29" s="764"/>
      <c r="I29" s="764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5"/>
      <c r="E30" s="764"/>
      <c r="F30" s="764"/>
      <c r="G30" s="764"/>
      <c r="H30" s="764"/>
      <c r="I30" s="764"/>
      <c r="K30" s="836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5"/>
      <c r="E31" s="764"/>
      <c r="F31" s="764"/>
      <c r="G31" s="764"/>
      <c r="H31" s="764"/>
      <c r="I31" s="764"/>
    </row>
    <row r="32" spans="1:11" s="183" customFormat="1" ht="12" customHeight="1" x14ac:dyDescent="0.2">
      <c r="A32" s="11" t="s">
        <v>122</v>
      </c>
      <c r="B32" s="185" t="s">
        <v>192</v>
      </c>
      <c r="C32" s="749">
        <f t="shared" si="0"/>
        <v>379485890</v>
      </c>
      <c r="D32" s="1154">
        <f>242049642+137436248</f>
        <v>379485890</v>
      </c>
      <c r="E32" s="764"/>
      <c r="F32" s="764"/>
      <c r="G32" s="764"/>
      <c r="H32" s="764"/>
      <c r="I32" s="764"/>
    </row>
    <row r="33" spans="1:9" s="183" customFormat="1" ht="12" customHeight="1" thickBot="1" x14ac:dyDescent="0.25">
      <c r="A33" s="13" t="s">
        <v>123</v>
      </c>
      <c r="B33" s="186" t="s">
        <v>193</v>
      </c>
      <c r="C33" s="1394">
        <f t="shared" si="0"/>
        <v>379485890</v>
      </c>
      <c r="D33" s="766">
        <f>242049642+137436248</f>
        <v>379485890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59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59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5"/>
      <c r="E38" s="764"/>
      <c r="F38" s="764"/>
      <c r="G38" s="764"/>
      <c r="H38" s="764"/>
      <c r="I38" s="764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55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137196917</v>
      </c>
      <c r="D41" s="266">
        <f t="shared" ref="D41:I41" si="7">SUM(D42:D52)</f>
        <v>44720869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7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749">
        <f t="shared" si="0"/>
        <v>44504400</v>
      </c>
      <c r="D43" s="1154">
        <f>11700000+800000</f>
        <v>12500000</v>
      </c>
      <c r="E43" s="1161">
        <f>2000000+400000+8400000</f>
        <v>10800000</v>
      </c>
      <c r="F43" s="1160">
        <v>600000</v>
      </c>
      <c r="G43" s="1160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749">
        <f t="shared" si="0"/>
        <v>24634427</v>
      </c>
      <c r="D44" s="1154">
        <f>13152488+250000</f>
        <v>13402488</v>
      </c>
      <c r="E44" s="1161">
        <f>4004339+600000+357600</f>
        <v>4961939</v>
      </c>
      <c r="F44" s="1160">
        <v>6080000</v>
      </c>
      <c r="G44" s="1160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14">
        <f t="shared" si="0"/>
        <v>9500000</v>
      </c>
      <c r="D45" s="1154">
        <v>9500000</v>
      </c>
      <c r="E45" s="764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14">
        <f t="shared" si="0"/>
        <v>22799599</v>
      </c>
      <c r="D46" s="765"/>
      <c r="E46" s="1161">
        <f>18214365</f>
        <v>18214365</v>
      </c>
      <c r="F46" s="1160">
        <v>3325699</v>
      </c>
      <c r="G46" s="1160"/>
      <c r="H46" s="1160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749">
        <f t="shared" si="0"/>
        <v>22521073</v>
      </c>
      <c r="D47" s="1154">
        <f>8027280+283500</f>
        <v>8310780</v>
      </c>
      <c r="E47" s="1161">
        <f>1621172+108000+4917878+57216</f>
        <v>6704266</v>
      </c>
      <c r="F47" s="1160">
        <v>2701539</v>
      </c>
      <c r="G47" s="1160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54"/>
      <c r="E48" s="1161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5"/>
      <c r="E49" s="764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5"/>
      <c r="E50" s="764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6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3">
        <f t="shared" si="0"/>
        <v>1017601</v>
      </c>
      <c r="D52" s="1155">
        <v>1007601</v>
      </c>
      <c r="E52" s="1163"/>
      <c r="F52" s="1160">
        <v>10000</v>
      </c>
      <c r="G52" s="1160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7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54">
        <v>48000000</v>
      </c>
      <c r="E55" s="764"/>
      <c r="F55" s="764"/>
      <c r="G55" s="764"/>
      <c r="H55" s="764"/>
      <c r="I55" s="764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5"/>
      <c r="E56" s="764"/>
      <c r="F56" s="764"/>
      <c r="G56" s="764"/>
      <c r="H56" s="764"/>
      <c r="I56" s="764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5"/>
      <c r="E57" s="764"/>
      <c r="F57" s="764"/>
      <c r="G57" s="764"/>
      <c r="H57" s="764"/>
      <c r="I57" s="764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6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62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54"/>
      <c r="E61" s="764"/>
      <c r="F61" s="764"/>
      <c r="G61" s="764"/>
      <c r="H61" s="764"/>
      <c r="I61" s="764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5"/>
      <c r="E62" s="764"/>
      <c r="F62" s="764"/>
      <c r="G62" s="764"/>
      <c r="H62" s="764"/>
      <c r="I62" s="764"/>
    </row>
    <row r="63" spans="1:9" s="183" customFormat="1" ht="12" customHeight="1" thickBot="1" x14ac:dyDescent="0.25">
      <c r="A63" s="13" t="s">
        <v>231</v>
      </c>
      <c r="B63" s="109" t="s">
        <v>229</v>
      </c>
      <c r="C63" s="753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5"/>
      <c r="E65" s="764"/>
      <c r="F65" s="764"/>
      <c r="G65" s="764"/>
      <c r="H65" s="764"/>
      <c r="I65" s="764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5"/>
      <c r="E66" s="764"/>
      <c r="F66" s="764"/>
      <c r="G66" s="764"/>
      <c r="H66" s="764"/>
      <c r="I66" s="764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5"/>
      <c r="E67" s="764"/>
      <c r="F67" s="764"/>
      <c r="G67" s="764"/>
      <c r="H67" s="764"/>
      <c r="I67" s="764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5"/>
      <c r="E68" s="764"/>
      <c r="F68" s="764"/>
      <c r="G68" s="764"/>
      <c r="H68" s="764"/>
      <c r="I68" s="764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2761064957</v>
      </c>
      <c r="D69" s="269">
        <f t="shared" ref="D69:I69" si="11">+D11+D20+D27+D34+D41+D53+D59+D64</f>
        <v>2668315429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54">
        <v>187733250</v>
      </c>
      <c r="E71" s="764"/>
      <c r="F71" s="764"/>
      <c r="G71" s="764"/>
      <c r="H71" s="764"/>
      <c r="I71" s="764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54">
        <v>1000000000</v>
      </c>
      <c r="E72" s="764"/>
      <c r="F72" s="764"/>
      <c r="G72" s="764"/>
      <c r="H72" s="764"/>
      <c r="I72" s="764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5"/>
      <c r="E73" s="764"/>
      <c r="F73" s="764"/>
      <c r="G73" s="764"/>
      <c r="H73" s="764"/>
      <c r="I73" s="764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5"/>
      <c r="E75" s="764"/>
      <c r="F75" s="764"/>
      <c r="G75" s="764"/>
      <c r="H75" s="764"/>
      <c r="I75" s="764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5"/>
      <c r="E76" s="764"/>
      <c r="F76" s="764"/>
      <c r="G76" s="764"/>
      <c r="H76" s="764"/>
      <c r="I76" s="764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5"/>
      <c r="E77" s="764"/>
      <c r="F77" s="764"/>
      <c r="G77" s="764"/>
      <c r="H77" s="764"/>
      <c r="I77" s="764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5"/>
      <c r="E78" s="764"/>
      <c r="F78" s="764"/>
      <c r="G78" s="764"/>
      <c r="H78" s="764"/>
      <c r="I78" s="764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2390980531</v>
      </c>
      <c r="D79" s="266">
        <f t="shared" ref="D79:I79" si="15">SUM(D80:D81)</f>
        <v>2382072581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1345">
        <f t="shared" si="14"/>
        <v>2390980531</v>
      </c>
      <c r="D80" s="1154">
        <f>2381931880+140701</f>
        <v>2382072581</v>
      </c>
      <c r="E80" s="1161">
        <v>383395</v>
      </c>
      <c r="F80" s="1161">
        <v>127382</v>
      </c>
      <c r="G80" s="1161">
        <v>1498662</v>
      </c>
      <c r="H80" s="764">
        <v>82725</v>
      </c>
      <c r="I80" s="764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5"/>
      <c r="E81" s="764"/>
      <c r="F81" s="764"/>
      <c r="G81" s="764"/>
      <c r="H81" s="764"/>
      <c r="I81" s="764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54">
        <v>55076107</v>
      </c>
      <c r="E83" s="764"/>
      <c r="F83" s="764"/>
      <c r="G83" s="764"/>
      <c r="H83" s="764"/>
      <c r="I83" s="764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5"/>
      <c r="E84" s="764"/>
      <c r="F84" s="764"/>
      <c r="G84" s="764"/>
      <c r="H84" s="764"/>
      <c r="I84" s="764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5"/>
      <c r="E85" s="764"/>
      <c r="F85" s="764"/>
      <c r="G85" s="764"/>
      <c r="H85" s="764"/>
      <c r="I85" s="764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5"/>
      <c r="E87" s="764"/>
      <c r="F87" s="764"/>
      <c r="G87" s="764"/>
      <c r="H87" s="764"/>
      <c r="I87" s="764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5"/>
      <c r="E88" s="764"/>
      <c r="F88" s="764"/>
      <c r="G88" s="764"/>
      <c r="H88" s="764"/>
      <c r="I88" s="764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5"/>
      <c r="E89" s="764"/>
      <c r="F89" s="764"/>
      <c r="G89" s="764"/>
      <c r="H89" s="764"/>
      <c r="I89" s="764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5"/>
      <c r="E90" s="764"/>
      <c r="F90" s="764"/>
      <c r="G90" s="764"/>
      <c r="H90" s="764"/>
      <c r="I90" s="764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3633789888</v>
      </c>
      <c r="D93" s="269">
        <f t="shared" ref="D93:I93" si="18">+D70+D74+D79+D82+D86+D92+D91</f>
        <v>3624881938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6394854845</v>
      </c>
      <c r="D94" s="269">
        <f t="shared" ref="D94:I94" si="19">+D69+D93</f>
        <v>6293197367</v>
      </c>
      <c r="E94" s="1164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19" t="s">
        <v>44</v>
      </c>
      <c r="B95" s="1419"/>
      <c r="C95" s="1419"/>
      <c r="D95" s="556"/>
      <c r="E95" s="736"/>
      <c r="F95" s="736"/>
      <c r="G95" s="736"/>
      <c r="H95" s="736"/>
      <c r="I95" s="736"/>
    </row>
    <row r="96" spans="1:9" s="193" customFormat="1" ht="16.5" customHeight="1" thickBot="1" x14ac:dyDescent="0.3">
      <c r="A96" s="1420" t="s">
        <v>115</v>
      </c>
      <c r="B96" s="1420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6" t="str">
        <f t="shared" ref="D97:I97" si="20">D9</f>
        <v>Önk</v>
      </c>
      <c r="E97" s="736" t="str">
        <f t="shared" si="20"/>
        <v>PH</v>
      </c>
      <c r="F97" s="736" t="str">
        <f t="shared" si="20"/>
        <v>Óvoda</v>
      </c>
      <c r="G97" s="736" t="str">
        <f t="shared" si="20"/>
        <v>EKIK</v>
      </c>
      <c r="H97" s="736" t="str">
        <f t="shared" si="20"/>
        <v>Bölcsőde</v>
      </c>
      <c r="I97" s="736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2058351132</v>
      </c>
      <c r="D99" s="273">
        <f>+D100+D101+D102+D103+D104+D117</f>
        <v>951811893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45">
        <f t="shared" si="21"/>
        <v>687174058</v>
      </c>
      <c r="D100" s="1153">
        <f>54633238+15752+3734601-1494150-22379+15218374</f>
        <v>72085436</v>
      </c>
      <c r="E100" s="1165">
        <f>731087+6627773</f>
        <v>7358860</v>
      </c>
      <c r="F100" s="1165">
        <v>267518494</v>
      </c>
      <c r="G100" s="1165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49">
        <f t="shared" si="21"/>
        <v>97573661</v>
      </c>
      <c r="D101" s="1154">
        <f>8055314+4987520-204794+22379+1986824</f>
        <v>14847243</v>
      </c>
      <c r="E101" s="1161">
        <f>100249+927437</f>
        <v>1027686</v>
      </c>
      <c r="F101" s="1161">
        <v>35464167</v>
      </c>
      <c r="G101" s="1161">
        <v>10359218</v>
      </c>
      <c r="H101" s="764">
        <v>13799567</v>
      </c>
      <c r="I101" s="764">
        <v>22075780</v>
      </c>
    </row>
    <row r="102" spans="1:9" ht="12" customHeight="1" x14ac:dyDescent="0.25">
      <c r="A102" s="11" t="s">
        <v>87</v>
      </c>
      <c r="B102" s="5" t="s">
        <v>110</v>
      </c>
      <c r="C102" s="749">
        <f t="shared" si="21"/>
        <v>914977795</v>
      </c>
      <c r="D102" s="1155">
        <f>475468834-160000+5629221-24893746+4628986+45624391-44090</f>
        <v>506253596</v>
      </c>
      <c r="E102" s="1163">
        <f>5085511+653100+1140520+207726153+4676833+414816</f>
        <v>219696933</v>
      </c>
      <c r="F102" s="1161">
        <v>81300938</v>
      </c>
      <c r="G102" s="764">
        <v>61692314</v>
      </c>
      <c r="H102" s="764">
        <v>17603512</v>
      </c>
      <c r="I102" s="764">
        <v>28430502</v>
      </c>
    </row>
    <row r="103" spans="1:9" ht="12" customHeight="1" x14ac:dyDescent="0.25">
      <c r="A103" s="11" t="s">
        <v>88</v>
      </c>
      <c r="B103" s="5" t="s">
        <v>135</v>
      </c>
      <c r="C103" s="1214">
        <f t="shared" si="21"/>
        <v>45050000</v>
      </c>
      <c r="D103" s="1155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749">
        <f t="shared" si="21"/>
        <v>180551838</v>
      </c>
      <c r="D104" s="766">
        <f>SUM(D105:D116)</f>
        <v>180551838</v>
      </c>
      <c r="E104" s="766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</row>
    <row r="105" spans="1:9" ht="12" customHeight="1" x14ac:dyDescent="0.25">
      <c r="A105" s="11" t="s">
        <v>89</v>
      </c>
      <c r="B105" s="5" t="s">
        <v>399</v>
      </c>
      <c r="C105" s="749">
        <f t="shared" si="21"/>
        <v>3966181</v>
      </c>
      <c r="D105" s="766">
        <f>3966181+973615-973615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55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6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6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6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6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749">
        <f t="shared" si="21"/>
        <v>811125</v>
      </c>
      <c r="D111" s="1155">
        <f>636000+175125</f>
        <v>811125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6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6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6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6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49">
        <f t="shared" si="21"/>
        <v>170683213</v>
      </c>
      <c r="D116" s="1154">
        <f>170106841+234570+341802</f>
        <v>170683213</v>
      </c>
      <c r="E116" s="764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14">
        <f t="shared" si="21"/>
        <v>133023780</v>
      </c>
      <c r="D117" s="765">
        <f t="shared" ref="D117:I117" si="22">SUM(D118:D119)</f>
        <v>133023780</v>
      </c>
      <c r="E117" s="765">
        <f t="shared" si="22"/>
        <v>0</v>
      </c>
      <c r="F117" s="765">
        <f t="shared" si="22"/>
        <v>0</v>
      </c>
      <c r="G117" s="765">
        <f t="shared" si="22"/>
        <v>0</v>
      </c>
      <c r="H117" s="765">
        <f t="shared" si="22"/>
        <v>0</v>
      </c>
      <c r="I117" s="765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49">
        <f t="shared" si="21"/>
        <v>18621011</v>
      </c>
      <c r="D118" s="1155">
        <f>10000000+2761613+2341692-1769228+5286934</f>
        <v>18621011</v>
      </c>
      <c r="E118" s="173"/>
      <c r="F118" s="764"/>
      <c r="G118" s="764"/>
      <c r="H118" s="764"/>
      <c r="I118" s="764"/>
    </row>
    <row r="119" spans="1:9" ht="12" customHeight="1" thickBot="1" x14ac:dyDescent="0.3">
      <c r="A119" s="15" t="s">
        <v>407</v>
      </c>
      <c r="B119" s="247" t="s">
        <v>408</v>
      </c>
      <c r="C119" s="749">
        <f t="shared" si="21"/>
        <v>114402769</v>
      </c>
      <c r="D119" s="1158">
        <f>120420513-108134-3989610-1920000</f>
        <v>114402769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2667971179</v>
      </c>
      <c r="D120" s="266">
        <f t="shared" ref="D120:I120" si="23">+D121+D123+D125</f>
        <v>2657956092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45">
        <f>SUM(D121:I121)</f>
        <v>806396265</v>
      </c>
      <c r="D121" s="1156">
        <f>652524568-30445-7966244+15221336+137228863</f>
        <v>796978078</v>
      </c>
      <c r="E121" s="1160">
        <v>80000</v>
      </c>
      <c r="F121" s="1160">
        <v>1206500</v>
      </c>
      <c r="G121" s="222">
        <v>6858790</v>
      </c>
      <c r="H121" s="1160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361561173</v>
      </c>
      <c r="D122" s="1157">
        <f>224124925+137436248</f>
        <v>361561173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45">
        <f t="shared" si="21"/>
        <v>1859352977</v>
      </c>
      <c r="D123" s="1154">
        <f>1885218597-8470273+588237-19331097+794703-44090</f>
        <v>1858756077</v>
      </c>
      <c r="E123" s="764"/>
      <c r="F123" s="1161">
        <v>596900</v>
      </c>
      <c r="G123" s="764"/>
      <c r="H123" s="764"/>
      <c r="I123" s="764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66">
        <v>399460471</v>
      </c>
      <c r="E124" s="497"/>
      <c r="F124" s="765"/>
      <c r="G124" s="765"/>
      <c r="H124" s="765"/>
      <c r="I124" s="765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2221937</v>
      </c>
      <c r="D125" s="1154">
        <f t="shared" ref="D125:I125" si="24">SUM(D126:D133)</f>
        <v>2221937</v>
      </c>
      <c r="E125" s="765">
        <f t="shared" si="24"/>
        <v>0</v>
      </c>
      <c r="F125" s="765">
        <f t="shared" si="24"/>
        <v>0</v>
      </c>
      <c r="G125" s="765">
        <f t="shared" si="24"/>
        <v>0</v>
      </c>
      <c r="H125" s="765">
        <f t="shared" si="24"/>
        <v>0</v>
      </c>
      <c r="I125" s="765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5"/>
      <c r="G126" s="765"/>
      <c r="H126" s="765"/>
      <c r="I126" s="765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5"/>
      <c r="G127" s="765"/>
      <c r="H127" s="765"/>
      <c r="I127" s="765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5"/>
      <c r="G128" s="765"/>
      <c r="H128" s="765"/>
      <c r="I128" s="765"/>
    </row>
    <row r="129" spans="1:9" ht="12" customHeight="1" x14ac:dyDescent="0.25">
      <c r="A129" s="12" t="s">
        <v>140</v>
      </c>
      <c r="B129" s="59" t="s">
        <v>302</v>
      </c>
      <c r="C129" s="1345">
        <f t="shared" si="21"/>
        <v>798660</v>
      </c>
      <c r="D129" s="101">
        <v>798660</v>
      </c>
      <c r="E129" s="101"/>
      <c r="F129" s="765"/>
      <c r="G129" s="765"/>
      <c r="H129" s="765"/>
      <c r="I129" s="765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5"/>
      <c r="G130" s="765"/>
      <c r="H130" s="765"/>
      <c r="I130" s="765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5"/>
      <c r="G131" s="765"/>
      <c r="H131" s="765"/>
      <c r="I131" s="765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5"/>
      <c r="G132" s="765"/>
      <c r="H132" s="765"/>
      <c r="I132" s="765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55">
        <v>1423277</v>
      </c>
      <c r="E133" s="766"/>
      <c r="F133" s="766"/>
      <c r="G133" s="1155"/>
      <c r="H133" s="766"/>
      <c r="I133" s="766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4726322311</v>
      </c>
      <c r="D134" s="266">
        <f t="shared" ref="D134:I134" si="25">+D99+D120</f>
        <v>3609767985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54">
        <v>21060296</v>
      </c>
      <c r="E136" s="765"/>
      <c r="F136" s="765"/>
      <c r="G136" s="765"/>
      <c r="H136" s="765"/>
      <c r="I136" s="765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54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59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8"/>
      <c r="G157" s="988"/>
      <c r="H157" s="988"/>
      <c r="I157" s="988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988"/>
      <c r="G158" s="988"/>
      <c r="H158" s="988"/>
      <c r="I158" s="988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989">
        <f t="shared" si="28"/>
        <v>0</v>
      </c>
      <c r="G159" s="989">
        <f t="shared" si="28"/>
        <v>0</v>
      </c>
      <c r="H159" s="989">
        <f t="shared" si="28"/>
        <v>0</v>
      </c>
      <c r="I159" s="989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5802458714</v>
      </c>
      <c r="D160" s="275">
        <f t="shared" ref="D160:I160" si="29">+D134+D159</f>
        <v>4685904388</v>
      </c>
      <c r="E160" s="194">
        <f t="shared" si="29"/>
        <v>228163479</v>
      </c>
      <c r="F160" s="989">
        <f t="shared" si="29"/>
        <v>386086999</v>
      </c>
      <c r="G160" s="989">
        <f t="shared" si="29"/>
        <v>154605245</v>
      </c>
      <c r="H160" s="989">
        <f t="shared" si="29"/>
        <v>135080805</v>
      </c>
      <c r="I160" s="989">
        <f t="shared" si="29"/>
        <v>212617798</v>
      </c>
    </row>
    <row r="161" spans="1:9" x14ac:dyDescent="0.25">
      <c r="A161" s="1421" t="s">
        <v>306</v>
      </c>
      <c r="B161" s="1421"/>
      <c r="C161" s="1421"/>
    </row>
    <row r="162" spans="1:9" ht="9.75" customHeight="1" thickBot="1" x14ac:dyDescent="0.3">
      <c r="A162" s="1418" t="s">
        <v>116</v>
      </c>
      <c r="B162" s="1418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-1965257354</v>
      </c>
    </row>
    <row r="164" spans="1:9" ht="21.75" thickBot="1" x14ac:dyDescent="0.3">
      <c r="A164" s="17" t="s">
        <v>17</v>
      </c>
      <c r="B164" s="22" t="s">
        <v>716</v>
      </c>
      <c r="C164" s="112">
        <f>+C93-C159</f>
        <v>2557653485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77" t="str">
        <f>CONCATENATE("22. melléklet"," ",ALAPADATOK!A7," ",ALAPADATOK!B7," ",ALAPADATOK!C7," ",ALAPADATOK!D7," ",ALAPADATOK!E7," ",ALAPADATOK!F7," ",ALAPADATOK!G7," ",ALAPADATOK!H7)</f>
        <v>22.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849"/>
    </row>
    <row r="3" spans="1:3" s="217" customFormat="1" ht="35.25" customHeight="1" thickBot="1" x14ac:dyDescent="0.25">
      <c r="A3" s="1428" t="s">
        <v>906</v>
      </c>
      <c r="B3" s="1428"/>
      <c r="C3" s="1428"/>
    </row>
    <row r="4" spans="1:3" ht="13.5" thickBot="1" x14ac:dyDescent="0.25">
      <c r="A4" s="1106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14445488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761">
        <f>10424400+800000</f>
        <v>11224400</v>
      </c>
    </row>
    <row r="10" spans="1:3" s="168" customFormat="1" ht="12" customHeight="1" x14ac:dyDescent="0.2">
      <c r="A10" s="212" t="s">
        <v>87</v>
      </c>
      <c r="B10" s="5" t="s">
        <v>209</v>
      </c>
      <c r="C10" s="1185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185"/>
    </row>
    <row r="12" spans="1:3" s="168" customFormat="1" ht="12" customHeight="1" x14ac:dyDescent="0.2">
      <c r="A12" s="212" t="s">
        <v>111</v>
      </c>
      <c r="B12" s="5" t="s">
        <v>211</v>
      </c>
      <c r="C12" s="1185"/>
    </row>
    <row r="13" spans="1:3" s="168" customFormat="1" ht="12" customHeight="1" x14ac:dyDescent="0.2">
      <c r="A13" s="212" t="s">
        <v>89</v>
      </c>
      <c r="B13" s="5" t="s">
        <v>331</v>
      </c>
      <c r="C13" s="761">
        <f>2855088+216000</f>
        <v>3071088</v>
      </c>
    </row>
    <row r="14" spans="1:3" s="168" customFormat="1" ht="12" customHeight="1" x14ac:dyDescent="0.2">
      <c r="A14" s="212" t="s">
        <v>90</v>
      </c>
      <c r="B14" s="4" t="s">
        <v>332</v>
      </c>
      <c r="C14" s="1185"/>
    </row>
    <row r="15" spans="1:3" s="168" customFormat="1" ht="12" customHeight="1" x14ac:dyDescent="0.2">
      <c r="A15" s="212" t="s">
        <v>100</v>
      </c>
      <c r="B15" s="5" t="s">
        <v>214</v>
      </c>
      <c r="C15" s="1187"/>
    </row>
    <row r="16" spans="1:3" s="220" customFormat="1" ht="12" customHeight="1" x14ac:dyDescent="0.2">
      <c r="A16" s="212" t="s">
        <v>101</v>
      </c>
      <c r="B16" s="5" t="s">
        <v>215</v>
      </c>
      <c r="C16" s="1186"/>
    </row>
    <row r="17" spans="1:3" s="220" customFormat="1" ht="12" customHeight="1" x14ac:dyDescent="0.2">
      <c r="A17" s="212" t="s">
        <v>102</v>
      </c>
      <c r="B17" s="5" t="s">
        <v>391</v>
      </c>
      <c r="C17" s="1188"/>
    </row>
    <row r="18" spans="1:3" s="220" customFormat="1" ht="12" customHeight="1" thickBot="1" x14ac:dyDescent="0.25">
      <c r="A18" s="212" t="s">
        <v>103</v>
      </c>
      <c r="B18" s="4" t="s">
        <v>216</v>
      </c>
      <c r="C18" s="1188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7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14445488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189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190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v>192372524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213633798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212884498</v>
      </c>
    </row>
    <row r="44" spans="1:3" ht="12" customHeight="1" x14ac:dyDescent="0.2">
      <c r="A44" s="212" t="s">
        <v>85</v>
      </c>
      <c r="B44" s="6" t="s">
        <v>46</v>
      </c>
      <c r="C44" s="1210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1208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61">
        <f>28430502+433004+1016000</f>
        <v>29879506</v>
      </c>
    </row>
    <row r="47" spans="1:3" ht="12" customHeight="1" x14ac:dyDescent="0.2">
      <c r="A47" s="212" t="s">
        <v>88</v>
      </c>
      <c r="B47" s="5" t="s">
        <v>135</v>
      </c>
      <c r="C47" s="1192"/>
    </row>
    <row r="48" spans="1:3" ht="12" customHeight="1" thickBot="1" x14ac:dyDescent="0.25">
      <c r="A48" s="212" t="s">
        <v>111</v>
      </c>
      <c r="B48" s="5" t="s">
        <v>136</v>
      </c>
      <c r="C48" s="1192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193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8">
        <f>+C43+C49+C54</f>
        <v>213633798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5" width="10.83203125" style="708" bestFit="1" customWidth="1"/>
    <col min="6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77" t="str">
        <f>CONCATENATE("23. melléklet"," ",ALAPADATOK!A7," ",ALAPADATOK!B7," ",ALAPADATOK!C7," ",ALAPADATOK!D7," ",ALAPADATOK!E7," ",ALAPADATOK!F7," ",ALAPADATOK!G7," ",ALAPADATOK!H7)</f>
        <v>23. melléklet a .. / 2022. ( …... ) önkormányzati rendelethez</v>
      </c>
      <c r="B1" s="1477"/>
      <c r="C1" s="1477"/>
    </row>
    <row r="2" spans="1:3" s="77" customFormat="1" ht="21" customHeight="1" x14ac:dyDescent="0.2">
      <c r="A2" s="76"/>
      <c r="B2" s="78"/>
      <c r="C2" s="849"/>
    </row>
    <row r="3" spans="1:3" s="217" customFormat="1" ht="34.5" customHeight="1" thickBot="1" x14ac:dyDescent="0.25">
      <c r="A3" s="1428" t="s">
        <v>907</v>
      </c>
      <c r="B3" s="1428"/>
      <c r="C3" s="1428"/>
    </row>
    <row r="4" spans="1:3" ht="13.5" thickBot="1" x14ac:dyDescent="0.25">
      <c r="A4" s="1106" t="s">
        <v>153</v>
      </c>
      <c r="B4" s="81" t="s">
        <v>50</v>
      </c>
      <c r="C4" s="326" t="s">
        <v>897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176687229</v>
      </c>
    </row>
    <row r="8" spans="1:3" s="168" customFormat="1" ht="12" customHeight="1" x14ac:dyDescent="0.2">
      <c r="A8" s="211" t="s">
        <v>85</v>
      </c>
      <c r="B8" s="7" t="s">
        <v>207</v>
      </c>
      <c r="C8" s="1194"/>
    </row>
    <row r="9" spans="1:3" s="168" customFormat="1" ht="12" customHeight="1" x14ac:dyDescent="0.2">
      <c r="A9" s="212" t="s">
        <v>86</v>
      </c>
      <c r="B9" s="5" t="s">
        <v>208</v>
      </c>
      <c r="C9" s="1195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195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195"/>
    </row>
    <row r="12" spans="1:3" s="168" customFormat="1" ht="12" customHeight="1" x14ac:dyDescent="0.2">
      <c r="A12" s="212" t="s">
        <v>111</v>
      </c>
      <c r="B12" s="5" t="s">
        <v>211</v>
      </c>
      <c r="C12" s="1195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195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195"/>
    </row>
    <row r="15" spans="1:3" s="168" customFormat="1" ht="12" customHeight="1" x14ac:dyDescent="0.2">
      <c r="A15" s="212" t="s">
        <v>100</v>
      </c>
      <c r="B15" s="5" t="s">
        <v>214</v>
      </c>
      <c r="C15" s="1196"/>
    </row>
    <row r="16" spans="1:3" s="220" customFormat="1" ht="12" customHeight="1" x14ac:dyDescent="0.2">
      <c r="A16" s="212" t="s">
        <v>101</v>
      </c>
      <c r="B16" s="5" t="s">
        <v>215</v>
      </c>
      <c r="C16" s="1195"/>
    </row>
    <row r="17" spans="1:3" s="220" customFormat="1" ht="12" customHeight="1" x14ac:dyDescent="0.2">
      <c r="A17" s="212" t="s">
        <v>102</v>
      </c>
      <c r="B17" s="5" t="s">
        <v>391</v>
      </c>
      <c r="C17" s="1197"/>
    </row>
    <row r="18" spans="1:3" s="220" customFormat="1" ht="12" customHeight="1" thickBot="1" x14ac:dyDescent="0.25">
      <c r="A18" s="212" t="s">
        <v>103</v>
      </c>
      <c r="B18" s="4" t="s">
        <v>216</v>
      </c>
      <c r="C18" s="1388">
        <v>273261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8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198"/>
    </row>
    <row r="21" spans="1:3" s="220" customFormat="1" ht="12" customHeight="1" x14ac:dyDescent="0.2">
      <c r="A21" s="212" t="s">
        <v>92</v>
      </c>
      <c r="B21" s="5" t="s">
        <v>334</v>
      </c>
      <c r="C21" s="1198"/>
    </row>
    <row r="22" spans="1:3" s="220" customFormat="1" ht="12" customHeight="1" x14ac:dyDescent="0.2">
      <c r="A22" s="212" t="s">
        <v>93</v>
      </c>
      <c r="B22" s="5" t="s">
        <v>335</v>
      </c>
      <c r="C22" s="1199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19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02"/>
    </row>
    <row r="27" spans="1:3" s="220" customFormat="1" ht="12" customHeight="1" x14ac:dyDescent="0.2">
      <c r="A27" s="213" t="s">
        <v>198</v>
      </c>
      <c r="B27" s="214" t="s">
        <v>334</v>
      </c>
      <c r="C27" s="1201"/>
    </row>
    <row r="28" spans="1:3" s="220" customFormat="1" ht="12" customHeight="1" x14ac:dyDescent="0.2">
      <c r="A28" s="213" t="s">
        <v>199</v>
      </c>
      <c r="B28" s="215" t="s">
        <v>336</v>
      </c>
      <c r="C28" s="1200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03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387">
        <v>456096</v>
      </c>
    </row>
    <row r="35" spans="1:3" s="168" customFormat="1" ht="12" customHeight="1" thickBot="1" x14ac:dyDescent="0.25">
      <c r="A35" s="74" t="s">
        <v>22</v>
      </c>
      <c r="B35" s="54" t="s">
        <v>338</v>
      </c>
      <c r="C35" s="842"/>
    </row>
    <row r="36" spans="1:3" s="168" customFormat="1" ht="12" customHeight="1" thickBot="1" x14ac:dyDescent="0.25">
      <c r="A36" s="71" t="s">
        <v>23</v>
      </c>
      <c r="B36" s="54" t="s">
        <v>339</v>
      </c>
      <c r="C36" s="759">
        <f>+C7+C19+C24+C25+C30+C34+C35</f>
        <v>247107095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05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04"/>
    </row>
    <row r="40" spans="1:3" s="220" customFormat="1" ht="15" customHeight="1" thickBot="1" x14ac:dyDescent="0.25">
      <c r="A40" s="212" t="s">
        <v>343</v>
      </c>
      <c r="B40" s="57" t="s">
        <v>344</v>
      </c>
      <c r="C40" s="1203">
        <f>591482853+315628</f>
        <v>591798481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886086740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4">
        <f>SUM(C44:C48)</f>
        <v>860317546</v>
      </c>
    </row>
    <row r="44" spans="1:3" ht="12" customHeight="1" x14ac:dyDescent="0.2">
      <c r="A44" s="212" t="s">
        <v>85</v>
      </c>
      <c r="B44" s="6" t="s">
        <v>46</v>
      </c>
      <c r="C44" s="1189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1198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61">
        <f>236667210+315628+8527832-501292+456096</f>
        <v>245465474</v>
      </c>
    </row>
    <row r="47" spans="1:3" ht="12" customHeight="1" x14ac:dyDescent="0.2">
      <c r="A47" s="212" t="s">
        <v>88</v>
      </c>
      <c r="B47" s="5" t="s">
        <v>135</v>
      </c>
      <c r="C47" s="1206"/>
    </row>
    <row r="48" spans="1:3" ht="12" customHeight="1" thickBot="1" x14ac:dyDescent="0.25">
      <c r="A48" s="212" t="s">
        <v>111</v>
      </c>
      <c r="B48" s="5" t="s">
        <v>136</v>
      </c>
      <c r="C48" s="1206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25769194</v>
      </c>
    </row>
    <row r="50" spans="1:5" ht="12" customHeight="1" x14ac:dyDescent="0.2">
      <c r="A50" s="212" t="s">
        <v>91</v>
      </c>
      <c r="B50" s="6" t="s">
        <v>157</v>
      </c>
      <c r="C50" s="760">
        <f>24994641+774553</f>
        <v>25769194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5"/>
      <c r="E54" s="655"/>
    </row>
    <row r="55" spans="1:5" ht="15" customHeight="1" thickBot="1" x14ac:dyDescent="0.25">
      <c r="A55" s="74" t="s">
        <v>19</v>
      </c>
      <c r="B55" s="95" t="s">
        <v>466</v>
      </c>
      <c r="C55" s="758">
        <f>+C43+C49+C54</f>
        <v>886086740</v>
      </c>
    </row>
    <row r="56" spans="1:5" ht="13.5" thickBot="1" x14ac:dyDescent="0.25">
      <c r="A56" s="1472" t="s">
        <v>459</v>
      </c>
      <c r="B56" s="1473"/>
      <c r="C56" s="1014">
        <f>110-3.33+1+3</f>
        <v>110.67</v>
      </c>
    </row>
    <row r="57" spans="1:5" ht="13.5" thickBot="1" x14ac:dyDescent="0.25">
      <c r="A57" s="1486" t="s">
        <v>660</v>
      </c>
      <c r="B57" s="1487"/>
      <c r="C57" s="581">
        <v>2</v>
      </c>
    </row>
    <row r="58" spans="1:5" ht="13.5" customHeight="1" thickBot="1" x14ac:dyDescent="0.25">
      <c r="A58" s="1484" t="s">
        <v>856</v>
      </c>
      <c r="B58" s="1485"/>
      <c r="C58" s="853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77" t="str">
        <f>CONCATENATE("30. melléklet"," ",ALAPADATOK!A7," ",ALAPADATOK!B7," ",ALAPADATOK!C7," ",ALAPADATOK!D7," ",ALAPADATOK!E7," ",ALAPADATOK!F7," ",ALAPADATOK!G7," ",ALAPADATOK!H7)</f>
        <v>30. melléklet a .. / 2022. ( …...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849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0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0" t="s">
        <v>25</v>
      </c>
      <c r="B43" s="851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8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5"/>
    </row>
    <row r="49" spans="1:4" ht="12" customHeight="1" x14ac:dyDescent="0.2">
      <c r="A49" s="212" t="s">
        <v>86</v>
      </c>
      <c r="B49" s="5" t="s">
        <v>134</v>
      </c>
      <c r="C49" s="756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5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88"/>
      <c r="B62" s="1489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workbookViewId="0">
      <selection activeCell="K43" sqref="K43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3" ht="12.75" customHeight="1" x14ac:dyDescent="0.2">
      <c r="A1" s="1477" t="str">
        <f>CONCATENATE("31. melléklet"," ",ALAPADATOK!A7," ",ALAPADATOK!B7," ",ALAPADATOK!C7," ",ALAPADATOK!D7," ",ALAPADATOK!E7," ",ALAPADATOK!F7," ",ALAPADATOK!G7," ",ALAPADATOK!H7)</f>
        <v>31. melléklet a .. / 2022. ( …... ) önkormányzati rendelethez</v>
      </c>
      <c r="B1" s="1477"/>
      <c r="C1" s="1477"/>
    </row>
    <row r="2" spans="1:13" s="77" customFormat="1" ht="21" customHeight="1" x14ac:dyDescent="0.2">
      <c r="A2" s="76"/>
      <c r="B2" s="78"/>
      <c r="C2" s="849"/>
      <c r="E2" s="721"/>
      <c r="F2" s="721"/>
    </row>
    <row r="3" spans="1:13" s="217" customFormat="1" ht="36" customHeight="1" thickBot="1" x14ac:dyDescent="0.25">
      <c r="A3" s="1428" t="s">
        <v>931</v>
      </c>
      <c r="B3" s="1428"/>
      <c r="C3" s="1428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897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42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42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42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0" t="s">
        <v>24</v>
      </c>
      <c r="B37" s="54" t="s">
        <v>340</v>
      </c>
      <c r="C37" s="759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91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0" t="s">
        <v>25</v>
      </c>
      <c r="B41" s="851" t="s">
        <v>345</v>
      </c>
      <c r="C41" s="759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8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189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198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198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5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8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72" t="s">
        <v>459</v>
      </c>
      <c r="B56" s="1473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77" t="str">
        <f>CONCATENATE("32. melléklet"," ",ALAPADATOK!A7," ",ALAPADATOK!B7," ",ALAPADATOK!C7," ",ALAPADATOK!D7," ",ALAPADATOK!E7," ",ALAPADATOK!F7," ",ALAPADATOK!G7," ",ALAPADATOK!H7)</f>
        <v>32. melléklet a .. / 2022. ( …... ) önkormányzati rendelethez</v>
      </c>
      <c r="B1" s="1477"/>
      <c r="C1" s="1477"/>
    </row>
    <row r="2" spans="1:6" s="77" customFormat="1" ht="21" customHeight="1" x14ac:dyDescent="0.2">
      <c r="A2" s="76"/>
      <c r="B2" s="78"/>
      <c r="C2" s="849"/>
    </row>
    <row r="3" spans="1:6" s="217" customFormat="1" ht="36" customHeight="1" thickBot="1" x14ac:dyDescent="0.25">
      <c r="A3" s="1428" t="s">
        <v>932</v>
      </c>
      <c r="B3" s="1428"/>
      <c r="C3" s="1428"/>
    </row>
    <row r="4" spans="1:6" ht="13.5" thickBot="1" x14ac:dyDescent="0.25">
      <c r="A4" s="175" t="s">
        <v>153</v>
      </c>
      <c r="B4" s="81" t="s">
        <v>50</v>
      </c>
      <c r="C4" s="326" t="s">
        <v>897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42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42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43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0" t="s">
        <v>24</v>
      </c>
      <c r="B37" s="54" t="s">
        <v>340</v>
      </c>
      <c r="C37" s="759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191">
        <v>133738545</v>
      </c>
    </row>
    <row r="41" spans="1:3" s="220" customFormat="1" ht="15" customHeight="1" thickBot="1" x14ac:dyDescent="0.25">
      <c r="A41" s="850" t="s">
        <v>25</v>
      </c>
      <c r="B41" s="851" t="s">
        <v>345</v>
      </c>
      <c r="C41" s="759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8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189">
        <v>103154129</v>
      </c>
    </row>
    <row r="45" spans="1:3" ht="12" customHeight="1" x14ac:dyDescent="0.2">
      <c r="A45" s="212" t="s">
        <v>86</v>
      </c>
      <c r="B45" s="5" t="s">
        <v>134</v>
      </c>
      <c r="C45" s="1198">
        <v>13799567</v>
      </c>
    </row>
    <row r="46" spans="1:3" ht="12" customHeight="1" x14ac:dyDescent="0.2">
      <c r="A46" s="212" t="s">
        <v>87</v>
      </c>
      <c r="B46" s="5" t="s">
        <v>110</v>
      </c>
      <c r="C46" s="756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5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8">
        <f>+C43+C49+C54</f>
        <v>135080805</v>
      </c>
    </row>
    <row r="56" spans="1:3" ht="13.5" thickBot="1" x14ac:dyDescent="0.25">
      <c r="A56" s="1472" t="s">
        <v>459</v>
      </c>
      <c r="B56" s="1473"/>
      <c r="C56" s="1148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17" sqref="C17"/>
    </sheetView>
  </sheetViews>
  <sheetFormatPr defaultRowHeight="12.75" x14ac:dyDescent="0.2"/>
  <cols>
    <col min="1" max="1" width="13.83203125" style="701" customWidth="1"/>
    <col min="2" max="2" width="79.1640625" style="701" customWidth="1"/>
    <col min="3" max="3" width="25" style="701" customWidth="1"/>
    <col min="4" max="16384" width="9.33203125" style="701"/>
  </cols>
  <sheetData>
    <row r="1" spans="1:3" x14ac:dyDescent="0.2">
      <c r="A1" s="1477" t="str">
        <f>CONCATENATE("33. melléklet"," ",ALAPADATOK!A7," ",ALAPADATOK!B7," ",ALAPADATOK!C7," ",ALAPADATOK!D7," ",ALAPADATOK!E7," ",ALAPADATOK!F7," ",ALAPADATOK!G7," ",ALAPADATOK!H7)</f>
        <v>33. melléklet a .. / 2022. ( …... ) önkormányzati rendelethez</v>
      </c>
      <c r="B1" s="1477"/>
      <c r="C1" s="1477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8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862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8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8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6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7"/>
    </row>
    <row r="32" spans="1:3" ht="13.5" thickBot="1" x14ac:dyDescent="0.25">
      <c r="A32" s="74" t="s">
        <v>20</v>
      </c>
      <c r="B32" s="54" t="s">
        <v>337</v>
      </c>
      <c r="C32" s="758">
        <f>+C33+C34+C35</f>
        <v>0</v>
      </c>
    </row>
    <row r="33" spans="1:3" x14ac:dyDescent="0.2">
      <c r="A33" s="213" t="s">
        <v>78</v>
      </c>
      <c r="B33" s="214" t="s">
        <v>221</v>
      </c>
      <c r="C33" s="755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7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59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59">
        <f>+C40+C41+C42</f>
        <v>0</v>
      </c>
    </row>
    <row r="40" spans="1:3" x14ac:dyDescent="0.2">
      <c r="A40" s="213" t="s">
        <v>341</v>
      </c>
      <c r="B40" s="214" t="s">
        <v>166</v>
      </c>
      <c r="C40" s="755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7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8">
        <f>SUM(C48:C52)</f>
        <v>0</v>
      </c>
    </row>
    <row r="48" spans="1:3" x14ac:dyDescent="0.2">
      <c r="A48" s="212" t="s">
        <v>85</v>
      </c>
      <c r="B48" s="6" t="s">
        <v>46</v>
      </c>
      <c r="C48" s="755"/>
    </row>
    <row r="49" spans="1:3" x14ac:dyDescent="0.2">
      <c r="A49" s="212" t="s">
        <v>86</v>
      </c>
      <c r="B49" s="5" t="s">
        <v>134</v>
      </c>
      <c r="C49" s="756"/>
    </row>
    <row r="50" spans="1:3" x14ac:dyDescent="0.2">
      <c r="A50" s="212" t="s">
        <v>87</v>
      </c>
      <c r="B50" s="5" t="s">
        <v>110</v>
      </c>
      <c r="C50" s="756"/>
    </row>
    <row r="51" spans="1:3" x14ac:dyDescent="0.2">
      <c r="A51" s="212" t="s">
        <v>88</v>
      </c>
      <c r="B51" s="5" t="s">
        <v>135</v>
      </c>
      <c r="C51" s="756"/>
    </row>
    <row r="52" spans="1:3" ht="13.5" thickBot="1" x14ac:dyDescent="0.25">
      <c r="A52" s="212" t="s">
        <v>111</v>
      </c>
      <c r="B52" s="5" t="s">
        <v>136</v>
      </c>
      <c r="C52" s="756"/>
    </row>
    <row r="53" spans="1:3" ht="13.5" thickBot="1" x14ac:dyDescent="0.25">
      <c r="A53" s="74" t="s">
        <v>17</v>
      </c>
      <c r="B53" s="54" t="s">
        <v>347</v>
      </c>
      <c r="C53" s="758">
        <f>SUM(C54:C56)</f>
        <v>0</v>
      </c>
    </row>
    <row r="54" spans="1:3" x14ac:dyDescent="0.2">
      <c r="A54" s="212" t="s">
        <v>91</v>
      </c>
      <c r="B54" s="6" t="s">
        <v>157</v>
      </c>
      <c r="C54" s="755"/>
    </row>
    <row r="55" spans="1:3" x14ac:dyDescent="0.2">
      <c r="A55" s="212" t="s">
        <v>92</v>
      </c>
      <c r="B55" s="5" t="s">
        <v>138</v>
      </c>
      <c r="C55" s="756"/>
    </row>
    <row r="56" spans="1:3" x14ac:dyDescent="0.2">
      <c r="A56" s="212" t="s">
        <v>93</v>
      </c>
      <c r="B56" s="5" t="s">
        <v>54</v>
      </c>
      <c r="C56" s="756"/>
    </row>
    <row r="57" spans="1:3" ht="13.5" thickBot="1" x14ac:dyDescent="0.25">
      <c r="A57" s="212" t="s">
        <v>94</v>
      </c>
      <c r="B57" s="5" t="s">
        <v>465</v>
      </c>
      <c r="C57" s="756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8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616" customWidth="1"/>
    <col min="2" max="3" width="12.33203125" style="616" customWidth="1"/>
    <col min="4" max="4" width="12.33203125" style="626" customWidth="1"/>
    <col min="5" max="10" width="12.33203125" style="616" customWidth="1"/>
    <col min="11" max="11" width="12.33203125" style="626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90" t="str">
        <f>CONCATENATE("24. melléklet"," ",ALAPADATOK!A7," ",ALAPADATOK!B7," ",ALAPADATOK!C7," ",ALAPADATOK!D7," ",ALAPADATOK!E7," ",ALAPADATOK!F7," ",ALAPADATOK!G7," ",ALAPADATOK!H7)</f>
        <v>24. melléklet a .. / 2022. ( …... ) önkormányzati rendelethez</v>
      </c>
      <c r="B1" s="1490"/>
      <c r="C1" s="1490"/>
      <c r="D1" s="1490"/>
      <c r="E1" s="1490"/>
      <c r="F1" s="1490"/>
      <c r="G1" s="1490"/>
      <c r="H1" s="1490"/>
      <c r="I1" s="1490"/>
      <c r="J1" s="1490"/>
      <c r="K1" s="1490"/>
    </row>
    <row r="2" spans="1:11" x14ac:dyDescent="0.2">
      <c r="A2" s="614"/>
      <c r="B2" s="614"/>
      <c r="C2" s="614"/>
      <c r="D2" s="615"/>
      <c r="E2" s="614"/>
      <c r="F2" s="614"/>
      <c r="G2" s="617"/>
      <c r="H2" s="617"/>
      <c r="I2" s="617"/>
      <c r="J2" s="617"/>
      <c r="K2" s="618"/>
    </row>
    <row r="3" spans="1:11" x14ac:dyDescent="0.2">
      <c r="A3" s="614"/>
      <c r="B3" s="614"/>
      <c r="C3" s="614"/>
      <c r="D3" s="615"/>
      <c r="E3" s="614"/>
      <c r="F3" s="614"/>
      <c r="G3" s="617"/>
      <c r="H3" s="617"/>
      <c r="I3" s="617"/>
      <c r="J3" s="617"/>
      <c r="K3" s="619"/>
    </row>
    <row r="4" spans="1:11" ht="19.5" x14ac:dyDescent="0.35">
      <c r="A4" s="1501" t="s">
        <v>362</v>
      </c>
      <c r="B4" s="1501"/>
      <c r="C4" s="1501"/>
      <c r="D4" s="1501"/>
      <c r="E4" s="1501"/>
      <c r="F4" s="1501"/>
      <c r="G4" s="1501"/>
      <c r="H4" s="1501"/>
      <c r="I4" s="1501"/>
      <c r="J4" s="1501"/>
      <c r="K4" s="1501"/>
    </row>
    <row r="5" spans="1:11" ht="19.5" x14ac:dyDescent="0.35">
      <c r="A5" s="1501" t="s">
        <v>992</v>
      </c>
      <c r="B5" s="1501"/>
      <c r="C5" s="1501"/>
      <c r="D5" s="1501"/>
      <c r="E5" s="1501"/>
      <c r="F5" s="1501"/>
      <c r="G5" s="1501"/>
      <c r="H5" s="1501"/>
      <c r="I5" s="1501"/>
      <c r="J5" s="1501"/>
      <c r="K5" s="1501"/>
    </row>
    <row r="6" spans="1:11" ht="13.5" thickBot="1" x14ac:dyDescent="0.25">
      <c r="A6" s="1033"/>
      <c r="B6" s="1033"/>
      <c r="C6" s="1033"/>
      <c r="D6" s="1033"/>
      <c r="E6" s="1033"/>
      <c r="F6" s="1033"/>
      <c r="G6" s="1033"/>
      <c r="H6" s="1033"/>
      <c r="I6" s="1033"/>
      <c r="J6" s="1033"/>
      <c r="K6" s="1033"/>
    </row>
    <row r="7" spans="1:11" ht="15.95" customHeight="1" x14ac:dyDescent="0.2">
      <c r="A7" s="1491" t="s">
        <v>873</v>
      </c>
      <c r="B7" s="1493" t="s">
        <v>375</v>
      </c>
      <c r="C7" s="1494"/>
      <c r="D7" s="1495"/>
      <c r="E7" s="1496" t="s">
        <v>376</v>
      </c>
      <c r="F7" s="1497"/>
      <c r="G7" s="1497"/>
      <c r="H7" s="1497"/>
      <c r="I7" s="1497"/>
      <c r="J7" s="1497"/>
      <c r="K7" s="1498"/>
    </row>
    <row r="8" spans="1:11" ht="15.95" customHeight="1" x14ac:dyDescent="0.2">
      <c r="A8" s="1492"/>
      <c r="B8" s="1502" t="s">
        <v>908</v>
      </c>
      <c r="C8" s="1502" t="s">
        <v>914</v>
      </c>
      <c r="D8" s="1502" t="s">
        <v>913</v>
      </c>
      <c r="E8" s="1502" t="s">
        <v>909</v>
      </c>
      <c r="F8" s="1502" t="s">
        <v>915</v>
      </c>
      <c r="G8" s="1502" t="s">
        <v>910</v>
      </c>
      <c r="H8" s="1499" t="s">
        <v>136</v>
      </c>
      <c r="I8" s="1502" t="s">
        <v>912</v>
      </c>
      <c r="J8" s="1502" t="s">
        <v>911</v>
      </c>
      <c r="K8" s="1504" t="s">
        <v>913</v>
      </c>
    </row>
    <row r="9" spans="1:11" ht="15.95" customHeight="1" thickBot="1" x14ac:dyDescent="0.25">
      <c r="A9" s="1492"/>
      <c r="B9" s="1503"/>
      <c r="C9" s="1503"/>
      <c r="D9" s="1503"/>
      <c r="E9" s="1503"/>
      <c r="F9" s="1503"/>
      <c r="G9" s="1503"/>
      <c r="H9" s="1500"/>
      <c r="I9" s="1503"/>
      <c r="J9" s="1503"/>
      <c r="K9" s="1505"/>
    </row>
    <row r="10" spans="1:11" ht="15.95" customHeight="1" thickBot="1" x14ac:dyDescent="0.25">
      <c r="A10" s="1287" t="s">
        <v>385</v>
      </c>
      <c r="B10" s="1288" t="s">
        <v>386</v>
      </c>
      <c r="C10" s="1288" t="s">
        <v>991</v>
      </c>
      <c r="D10" s="1288" t="s">
        <v>990</v>
      </c>
      <c r="E10" s="1288" t="s">
        <v>438</v>
      </c>
      <c r="F10" s="1288" t="s">
        <v>984</v>
      </c>
      <c r="G10" s="1288" t="s">
        <v>985</v>
      </c>
      <c r="H10" s="1289" t="s">
        <v>986</v>
      </c>
      <c r="I10" s="1288" t="s">
        <v>987</v>
      </c>
      <c r="J10" s="1288" t="s">
        <v>988</v>
      </c>
      <c r="K10" s="1290" t="s">
        <v>989</v>
      </c>
    </row>
    <row r="11" spans="1:11" s="296" customFormat="1" ht="18" customHeight="1" x14ac:dyDescent="0.2">
      <c r="A11" s="621" t="s">
        <v>482</v>
      </c>
      <c r="B11" s="1140">
        <f>'17. sz. mell. PH.'!C36+'17. sz. mell. PH.'!C38</f>
        <v>70630429</v>
      </c>
      <c r="C11" s="1021">
        <f>K11-B11</f>
        <v>440552544</v>
      </c>
      <c r="D11" s="784">
        <f>SUM(B11:C11)</f>
        <v>511182973</v>
      </c>
      <c r="E11" s="1022">
        <f>'17. sz. mell. PH.'!C46</f>
        <v>215266805</v>
      </c>
      <c r="F11" s="1022">
        <f>'17. sz. mell. PH.'!C47</f>
        <v>35905834</v>
      </c>
      <c r="G11" s="1022">
        <f>'17. sz. mell. PH.'!C48</f>
        <v>254915324</v>
      </c>
      <c r="H11" s="763">
        <f>'17. sz. mell. PH.'!C50</f>
        <v>0</v>
      </c>
      <c r="I11" s="763">
        <f>'17. sz. mell. PH.'!C49</f>
        <v>0</v>
      </c>
      <c r="J11" s="1022">
        <f>'17. sz. mell. PH.'!C52</f>
        <v>5095010</v>
      </c>
      <c r="K11" s="762">
        <f>SUM(E11:J11)</f>
        <v>511182973</v>
      </c>
    </row>
    <row r="12" spans="1:11" ht="15.95" customHeight="1" x14ac:dyDescent="0.2">
      <c r="A12" s="1282" t="s">
        <v>0</v>
      </c>
      <c r="B12" s="1283">
        <f>'21. sz. mell EOI'!C35+'21. sz. mell EOI'!C37</f>
        <v>12985321</v>
      </c>
      <c r="C12" s="1283">
        <f>K12-B12</f>
        <v>377727379</v>
      </c>
      <c r="D12" s="1284">
        <f>B12+C12</f>
        <v>390712700</v>
      </c>
      <c r="E12" s="1291">
        <f>'21. sz. mell EOI'!C43</f>
        <v>267518494</v>
      </c>
      <c r="F12" s="1291">
        <f>'21. sz. mell EOI'!C44</f>
        <v>39949167</v>
      </c>
      <c r="G12" s="1291">
        <f>'21. sz. mell EOI'!C45</f>
        <v>81254321</v>
      </c>
      <c r="H12" s="1285">
        <f>'21. sz. mell EOI'!C47</f>
        <v>0</v>
      </c>
      <c r="I12" s="1285">
        <f>'21. sz. mell EOI'!C46</f>
        <v>0</v>
      </c>
      <c r="J12" s="1285">
        <f>'21. sz. mell EOI'!C48</f>
        <v>1990718</v>
      </c>
      <c r="K12" s="1286">
        <f>SUM(E12:J12)</f>
        <v>390712700</v>
      </c>
    </row>
    <row r="13" spans="1:11" ht="15.95" customHeight="1" x14ac:dyDescent="0.2">
      <c r="A13" s="620" t="s">
        <v>495</v>
      </c>
      <c r="B13" s="1023">
        <f>'24. sz. mell EKIK'!C36+'24. sz. mell EKIK'!C38</f>
        <v>32629087</v>
      </c>
      <c r="C13" s="1023">
        <f>K13-B13</f>
        <v>126605887</v>
      </c>
      <c r="D13" s="784">
        <f>B13+C13</f>
        <v>159234974</v>
      </c>
      <c r="E13" s="1021">
        <f>'24. sz. mell EKIK'!C46</f>
        <v>75852403</v>
      </c>
      <c r="F13" s="1021">
        <f>'24. sz. mell EKIK'!C47</f>
        <v>10425298</v>
      </c>
      <c r="G13" s="1021">
        <f>'24. sz. mell EKIK'!C48</f>
        <v>64046434</v>
      </c>
      <c r="H13" s="1021">
        <f>'24. sz. mell EKIK'!C50</f>
        <v>711</v>
      </c>
      <c r="I13" s="1021">
        <f>'24. sz. mell EKIK'!C49</f>
        <v>0</v>
      </c>
      <c r="J13" s="1021">
        <f>'24. sz. mell EKIK'!C51</f>
        <v>8910128</v>
      </c>
      <c r="K13" s="762">
        <f>SUM(E13:J13)</f>
        <v>159234974</v>
      </c>
    </row>
    <row r="14" spans="1:11" s="296" customFormat="1" ht="18" customHeight="1" x14ac:dyDescent="0.2">
      <c r="A14" s="621" t="s">
        <v>481</v>
      </c>
      <c r="B14" s="1391">
        <f>'27. sz. mell Kornisné Kp.'!C36+'27. sz. mell Kornisné Kp.'!C38</f>
        <v>315549533</v>
      </c>
      <c r="C14" s="1023">
        <f>K14-B14</f>
        <v>784171005</v>
      </c>
      <c r="D14" s="784">
        <f>B14+C14</f>
        <v>1099720538</v>
      </c>
      <c r="E14" s="1389">
        <f>'27. sz. mell Kornisné Kp.'!C44</f>
        <v>699120392</v>
      </c>
      <c r="F14" s="1389">
        <f>'27. sz. mell Kornisné Kp.'!C45</f>
        <v>98736672</v>
      </c>
      <c r="G14" s="1365">
        <f>'27. sz. mell Kornisné Kp.'!C46</f>
        <v>275344980</v>
      </c>
      <c r="H14" s="1021">
        <f>'27. sz. mell Kornisné Kp.'!C48</f>
        <v>0</v>
      </c>
      <c r="I14" s="1021">
        <f>'27. sz. mell Kornisné Kp.'!C47</f>
        <v>0</v>
      </c>
      <c r="J14" s="1390">
        <f>'27. sz. mell Kornisné Kp.'!C49</f>
        <v>26518494</v>
      </c>
      <c r="K14" s="762">
        <f>SUM(E14:J14)</f>
        <v>1099720538</v>
      </c>
    </row>
    <row r="15" spans="1:11" s="296" customFormat="1" ht="18" customHeight="1" x14ac:dyDescent="0.2">
      <c r="A15" s="621" t="s">
        <v>471</v>
      </c>
      <c r="B15" s="1018">
        <f>'31. sz. mell TIB  '!C36+'31. sz. mell TIB  '!C38</f>
        <v>1342260</v>
      </c>
      <c r="C15" s="1023">
        <f>K15-B15</f>
        <v>133738545</v>
      </c>
      <c r="D15" s="784">
        <f>B15+C15</f>
        <v>135080805</v>
      </c>
      <c r="E15" s="1152">
        <f>'31. sz. mell TIB  '!C44</f>
        <v>103154129</v>
      </c>
      <c r="F15" s="1152">
        <f>'31. sz. mell TIB  '!C45</f>
        <v>13799567</v>
      </c>
      <c r="G15" s="1152">
        <f>'31. sz. mell TIB  '!C46</f>
        <v>17603512</v>
      </c>
      <c r="H15" s="763">
        <f>'31. sz. mell TIB  '!C48</f>
        <v>0</v>
      </c>
      <c r="I15" s="763">
        <f>'31. sz. mell TIB  '!C47</f>
        <v>0</v>
      </c>
      <c r="J15" s="1022">
        <f>'31. sz. mell TIB  '!C49</f>
        <v>523597</v>
      </c>
      <c r="K15" s="762">
        <f>SUM(E15:J15)</f>
        <v>135080805</v>
      </c>
    </row>
    <row r="16" spans="1:11" s="406" customFormat="1" ht="18" customHeight="1" thickBot="1" x14ac:dyDescent="0.25">
      <c r="A16" s="622" t="s">
        <v>363</v>
      </c>
      <c r="B16" s="750">
        <f>SUM(B11:B15)</f>
        <v>433136630</v>
      </c>
      <c r="C16" s="750">
        <f t="shared" ref="C16:J16" si="0">SUM(C11:C15)</f>
        <v>1862795360</v>
      </c>
      <c r="D16" s="750">
        <f t="shared" si="0"/>
        <v>2295931990</v>
      </c>
      <c r="E16" s="750">
        <f t="shared" si="0"/>
        <v>1360912223</v>
      </c>
      <c r="F16" s="750">
        <f t="shared" si="0"/>
        <v>198816538</v>
      </c>
      <c r="G16" s="750">
        <f t="shared" si="0"/>
        <v>693164571</v>
      </c>
      <c r="H16" s="750">
        <f t="shared" si="0"/>
        <v>711</v>
      </c>
      <c r="I16" s="750">
        <f t="shared" si="0"/>
        <v>0</v>
      </c>
      <c r="J16" s="750">
        <f t="shared" si="0"/>
        <v>43037947</v>
      </c>
      <c r="K16" s="750">
        <f>SUM(K11:K15)</f>
        <v>2295931990</v>
      </c>
    </row>
    <row r="17" spans="1:11" s="368" customFormat="1" ht="11.25" x14ac:dyDescent="0.2">
      <c r="A17" s="623"/>
      <c r="B17" s="623"/>
      <c r="C17" s="623"/>
      <c r="D17" s="624"/>
      <c r="E17" s="623"/>
      <c r="F17" s="623"/>
      <c r="G17" s="623"/>
      <c r="H17" s="623"/>
      <c r="I17" s="623"/>
      <c r="J17" s="623"/>
      <c r="K17" s="624"/>
    </row>
    <row r="18" spans="1:11" s="368" customFormat="1" ht="11.25" x14ac:dyDescent="0.2">
      <c r="A18" s="623"/>
      <c r="B18" s="623"/>
      <c r="C18" s="623"/>
      <c r="D18" s="624"/>
      <c r="E18" s="623"/>
      <c r="F18" s="623"/>
      <c r="G18" s="623"/>
      <c r="H18" s="623"/>
      <c r="I18" s="623"/>
      <c r="J18" s="623"/>
      <c r="K18" s="624"/>
    </row>
    <row r="19" spans="1:11" x14ac:dyDescent="0.2">
      <c r="B19" s="625"/>
      <c r="C19" s="625"/>
      <c r="D19" s="625"/>
    </row>
    <row r="20" spans="1:11" x14ac:dyDescent="0.2">
      <c r="C20" s="625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A2" sqref="A2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06" t="str">
        <f>CONCATENATE("25. melléklet"," ",ALAPADATOK!A7," ",ALAPADATOK!B7," ",ALAPADATOK!C7," ",ALAPADATOK!D7," ",ALAPADATOK!E7," ",ALAPADATOK!F7," ",ALAPADATOK!G7," ",ALAPADATOK!H7)</f>
        <v>25. melléklet a .. / 2022. ( …... ) önkormányzati rendelethez</v>
      </c>
      <c r="B1" s="1506"/>
      <c r="C1" s="722"/>
      <c r="D1" s="722"/>
      <c r="E1" s="722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07" t="s">
        <v>359</v>
      </c>
      <c r="B7" s="1507"/>
    </row>
    <row r="8" spans="1:5" ht="19.5" x14ac:dyDescent="0.35">
      <c r="A8" s="1508" t="s">
        <v>1017</v>
      </c>
      <c r="B8" s="1508"/>
    </row>
    <row r="9" spans="1:5" ht="20.25" thickBot="1" x14ac:dyDescent="0.4">
      <c r="A9" s="1100"/>
      <c r="B9" s="1100"/>
    </row>
    <row r="10" spans="1:5" s="411" customFormat="1" ht="33" customHeight="1" thickBot="1" x14ac:dyDescent="0.25">
      <c r="A10" s="1028" t="s">
        <v>57</v>
      </c>
      <c r="B10" s="1129" t="s">
        <v>916</v>
      </c>
    </row>
    <row r="11" spans="1:5" ht="16.5" thickBot="1" x14ac:dyDescent="0.3">
      <c r="A11" s="1303" t="s">
        <v>995</v>
      </c>
      <c r="B11" s="1358">
        <f>10000000+2761613+2341692-1769228+5286934</f>
        <v>18621011</v>
      </c>
      <c r="C11" s="412"/>
      <c r="D11" s="413"/>
    </row>
    <row r="12" spans="1:5" ht="16.5" thickBot="1" x14ac:dyDescent="0.3">
      <c r="A12" s="1303" t="s">
        <v>360</v>
      </c>
      <c r="B12" s="1292">
        <f>SUM(B13:B27)</f>
        <v>114422769</v>
      </c>
      <c r="C12" s="413"/>
      <c r="D12" s="413"/>
    </row>
    <row r="13" spans="1:5" ht="15.75" x14ac:dyDescent="0.25">
      <c r="A13" s="1293" t="s">
        <v>571</v>
      </c>
      <c r="B13" s="1294">
        <f>10000000</f>
        <v>10000000</v>
      </c>
      <c r="C13" s="353"/>
      <c r="D13" s="352"/>
    </row>
    <row r="14" spans="1:5" ht="15.75" x14ac:dyDescent="0.25">
      <c r="A14" s="1295" t="s">
        <v>572</v>
      </c>
      <c r="B14" s="1296">
        <v>1000000</v>
      </c>
      <c r="C14" s="353"/>
      <c r="D14" s="352"/>
    </row>
    <row r="15" spans="1:5" ht="15.75" x14ac:dyDescent="0.25">
      <c r="A15" s="1295" t="s">
        <v>841</v>
      </c>
      <c r="B15" s="1296">
        <f>685553-108134</f>
        <v>577419</v>
      </c>
      <c r="C15" s="353"/>
      <c r="D15" s="352"/>
    </row>
    <row r="16" spans="1:5" ht="15.75" x14ac:dyDescent="0.25">
      <c r="A16" s="1297" t="s">
        <v>704</v>
      </c>
      <c r="B16" s="1296">
        <f>45418996+342126</f>
        <v>45761122</v>
      </c>
      <c r="C16" s="353"/>
      <c r="D16" s="352"/>
    </row>
    <row r="17" spans="1:4" ht="15.75" x14ac:dyDescent="0.25">
      <c r="A17" s="1297" t="s">
        <v>846</v>
      </c>
      <c r="B17" s="1296">
        <f>30581761-2794000-400000</f>
        <v>27387761</v>
      </c>
      <c r="C17" s="353"/>
      <c r="D17" s="352"/>
    </row>
    <row r="18" spans="1:4" ht="15.75" x14ac:dyDescent="0.25">
      <c r="A18" s="1297" t="s">
        <v>844</v>
      </c>
      <c r="B18" s="1296">
        <f>1524072-1500000</f>
        <v>24072</v>
      </c>
      <c r="C18" s="353"/>
      <c r="D18" s="352"/>
    </row>
    <row r="19" spans="1:4" ht="15.75" x14ac:dyDescent="0.25">
      <c r="A19" s="1297" t="s">
        <v>845</v>
      </c>
      <c r="B19" s="1296">
        <v>628001</v>
      </c>
      <c r="C19" s="353"/>
      <c r="D19" s="352"/>
    </row>
    <row r="20" spans="1:4" ht="15.75" x14ac:dyDescent="0.25">
      <c r="A20" s="1297" t="s">
        <v>1038</v>
      </c>
      <c r="B20" s="1357">
        <f>650000-250000-400000</f>
        <v>0</v>
      </c>
      <c r="C20" s="353"/>
      <c r="D20" s="352"/>
    </row>
    <row r="21" spans="1:4" ht="15.75" x14ac:dyDescent="0.25">
      <c r="A21" s="1297" t="s">
        <v>502</v>
      </c>
      <c r="B21" s="1296">
        <v>4000000</v>
      </c>
      <c r="C21" s="353"/>
      <c r="D21" s="352"/>
    </row>
    <row r="22" spans="1:4" ht="15.75" x14ac:dyDescent="0.25">
      <c r="A22" s="1298" t="s">
        <v>706</v>
      </c>
      <c r="B22" s="1357">
        <f>3589610-3589610</f>
        <v>0</v>
      </c>
      <c r="C22" s="353"/>
      <c r="D22" s="352"/>
    </row>
    <row r="23" spans="1:4" ht="15.75" x14ac:dyDescent="0.25">
      <c r="A23" s="1298" t="s">
        <v>705</v>
      </c>
      <c r="B23" s="1296">
        <v>10000000</v>
      </c>
      <c r="C23" s="353"/>
      <c r="D23" s="352"/>
    </row>
    <row r="24" spans="1:4" ht="15.75" x14ac:dyDescent="0.25">
      <c r="A24" s="1298" t="s">
        <v>993</v>
      </c>
      <c r="B24" s="1296">
        <v>519291</v>
      </c>
      <c r="C24" s="353"/>
      <c r="D24" s="352"/>
    </row>
    <row r="25" spans="1:4" ht="15.75" x14ac:dyDescent="0.25">
      <c r="A25" s="1299" t="s">
        <v>842</v>
      </c>
      <c r="B25" s="1296">
        <v>439501</v>
      </c>
      <c r="C25" s="353"/>
      <c r="D25" s="352"/>
    </row>
    <row r="26" spans="1:4" ht="15.75" x14ac:dyDescent="0.25">
      <c r="A26" s="1298" t="s">
        <v>843</v>
      </c>
      <c r="B26" s="1296">
        <f>406461+4715</f>
        <v>411176</v>
      </c>
      <c r="C26" s="353"/>
      <c r="D26" s="352"/>
    </row>
    <row r="27" spans="1:4" ht="16.5" thickBot="1" x14ac:dyDescent="0.3">
      <c r="A27" s="1300" t="s">
        <v>994</v>
      </c>
      <c r="B27" s="1301">
        <v>13674426</v>
      </c>
      <c r="C27" s="353"/>
      <c r="D27" s="352"/>
    </row>
    <row r="28" spans="1:4" ht="16.5" thickBot="1" x14ac:dyDescent="0.3">
      <c r="A28" s="1303" t="s">
        <v>361</v>
      </c>
      <c r="B28" s="1302">
        <f>B11+B12</f>
        <v>133043780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710" customWidth="1"/>
    <col min="2" max="2" width="67.1640625" style="710" bestFit="1" customWidth="1"/>
    <col min="3" max="3" width="16.5" style="718" customWidth="1"/>
    <col min="4" max="4" width="15.5" style="718" customWidth="1"/>
    <col min="5" max="7" width="15.5" style="718" hidden="1" customWidth="1"/>
    <col min="8" max="8" width="15.5" style="718" customWidth="1"/>
    <col min="9" max="9" width="14.33203125" style="709" hidden="1" customWidth="1"/>
    <col min="10" max="10" width="12.6640625" style="709" hidden="1" customWidth="1"/>
    <col min="11" max="11" width="14.33203125" style="709" hidden="1" customWidth="1"/>
    <col min="12" max="31" width="0" style="709" hidden="1" customWidth="1"/>
    <col min="32" max="16384" width="9.33203125" style="709"/>
  </cols>
  <sheetData>
    <row r="1" spans="1:13" x14ac:dyDescent="0.25">
      <c r="A1" s="1509" t="str">
        <f>CONCATENATE("26. melléklet"," ",ALAPADATOK!A7," ",ALAPADATOK!B7," ",ALAPADATOK!C7," ",ALAPADATOK!D7," ",ALAPADATOK!E7," ",ALAPADATOK!F7," ",ALAPADATOK!G7," ",ALAPADATOK!H7)</f>
        <v>26. melléklet a .. / 2022. ( …... ) önkormányzati rendelethez</v>
      </c>
      <c r="B1" s="1509"/>
      <c r="C1" s="1509"/>
      <c r="D1" s="1509"/>
      <c r="E1" s="1509"/>
      <c r="F1" s="1509"/>
      <c r="G1" s="1509"/>
      <c r="H1" s="1509"/>
    </row>
    <row r="2" spans="1:13" x14ac:dyDescent="0.25">
      <c r="H2" s="1339" t="s">
        <v>1026</v>
      </c>
    </row>
    <row r="3" spans="1:13" ht="35.25" customHeight="1" x14ac:dyDescent="0.25">
      <c r="A3" s="1510" t="s">
        <v>996</v>
      </c>
      <c r="B3" s="1511"/>
      <c r="C3" s="1511"/>
      <c r="D3" s="1511"/>
      <c r="E3" s="1511"/>
      <c r="F3" s="1511"/>
      <c r="G3" s="1511"/>
      <c r="H3" s="1511"/>
      <c r="M3" s="709" t="s">
        <v>751</v>
      </c>
    </row>
    <row r="5" spans="1:13" ht="15.95" customHeight="1" thickBot="1" x14ac:dyDescent="0.3">
      <c r="A5" s="1419" t="s">
        <v>917</v>
      </c>
      <c r="B5" s="1419"/>
      <c r="C5" s="1419"/>
      <c r="D5" s="1419"/>
      <c r="E5" s="1419"/>
      <c r="F5" s="1419"/>
      <c r="G5" s="1419"/>
      <c r="H5" s="1419"/>
    </row>
    <row r="6" spans="1:13" ht="38.1" customHeight="1" thickBot="1" x14ac:dyDescent="0.3">
      <c r="A6" s="20" t="s">
        <v>63</v>
      </c>
      <c r="B6" s="21" t="s">
        <v>15</v>
      </c>
      <c r="C6" s="923" t="s">
        <v>998</v>
      </c>
      <c r="D6" s="923" t="s">
        <v>997</v>
      </c>
      <c r="E6" s="935"/>
      <c r="F6" s="935"/>
      <c r="G6" s="935"/>
      <c r="H6" s="937" t="s">
        <v>947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04" t="s">
        <v>387</v>
      </c>
      <c r="D7" s="1305" t="s">
        <v>437</v>
      </c>
      <c r="E7" s="1306"/>
      <c r="F7" s="1306"/>
      <c r="G7" s="1306"/>
      <c r="H7" s="1307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09">
        <f>SUM(C9:C16)-C11</f>
        <v>1383953547</v>
      </c>
      <c r="D8" s="959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1992070340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69">
        <v>256986904</v>
      </c>
      <c r="D9" s="960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70">
        <v>250568625</v>
      </c>
      <c r="D10" s="961">
        <v>262755080</v>
      </c>
      <c r="E10" s="533">
        <v>218107294</v>
      </c>
      <c r="F10" s="534"/>
      <c r="G10" s="534"/>
      <c r="H10" s="1214">
        <f>'1. sz.mell. '!C13</f>
        <v>293055250</v>
      </c>
      <c r="I10" s="764">
        <v>235351616</v>
      </c>
      <c r="J10" s="764"/>
      <c r="K10" s="764"/>
    </row>
    <row r="11" spans="1:13" s="267" customFormat="1" ht="12" customHeight="1" x14ac:dyDescent="0.2">
      <c r="A11" s="11" t="s">
        <v>87</v>
      </c>
      <c r="B11" s="279" t="s">
        <v>182</v>
      </c>
      <c r="C11" s="970">
        <f>SUM(C12:C13)</f>
        <v>793973650</v>
      </c>
      <c r="D11" s="961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14">
        <f>'1. sz.mell. '!C14</f>
        <v>1033629740</v>
      </c>
      <c r="I11" s="764">
        <f>132342947+82528441+152850000+191583306+50232560+61299400+1796961+73694436</f>
        <v>746328051</v>
      </c>
      <c r="J11" s="764"/>
      <c r="K11" s="764"/>
    </row>
    <row r="12" spans="1:13" s="267" customFormat="1" ht="24" customHeight="1" x14ac:dyDescent="0.2">
      <c r="A12" s="11" t="s">
        <v>718</v>
      </c>
      <c r="B12" s="279" t="s">
        <v>721</v>
      </c>
      <c r="C12" s="970">
        <v>616722342</v>
      </c>
      <c r="D12" s="961">
        <v>640407443</v>
      </c>
      <c r="E12" s="533"/>
      <c r="F12" s="534"/>
      <c r="G12" s="534"/>
      <c r="H12" s="1214">
        <f>'1. sz.mell. '!C15</f>
        <v>756229572</v>
      </c>
      <c r="I12" s="764"/>
      <c r="J12" s="764"/>
      <c r="K12" s="764"/>
    </row>
    <row r="13" spans="1:13" s="267" customFormat="1" ht="12" customHeight="1" x14ac:dyDescent="0.2">
      <c r="A13" s="11" t="s">
        <v>719</v>
      </c>
      <c r="B13" s="279" t="s">
        <v>722</v>
      </c>
      <c r="C13" s="970">
        <v>177251308</v>
      </c>
      <c r="D13" s="961">
        <v>188548694</v>
      </c>
      <c r="E13" s="533"/>
      <c r="F13" s="534"/>
      <c r="G13" s="534"/>
      <c r="H13" s="1214">
        <f>'1. sz.mell. '!C16</f>
        <v>277400168</v>
      </c>
      <c r="I13" s="764"/>
      <c r="J13" s="764"/>
      <c r="K13" s="764"/>
    </row>
    <row r="14" spans="1:13" s="267" customFormat="1" ht="12" customHeight="1" x14ac:dyDescent="0.2">
      <c r="A14" s="11" t="s">
        <v>88</v>
      </c>
      <c r="B14" s="279" t="s">
        <v>183</v>
      </c>
      <c r="C14" s="970">
        <v>38970172</v>
      </c>
      <c r="D14" s="961">
        <v>42308416</v>
      </c>
      <c r="E14" s="533">
        <f>4412740+15262320+10629000</f>
        <v>30304060</v>
      </c>
      <c r="F14" s="534"/>
      <c r="G14" s="534"/>
      <c r="H14" s="1214">
        <f>'1. sz.mell. '!C17</f>
        <v>42342119</v>
      </c>
      <c r="I14" s="764">
        <f>4617241+15998620+12622000</f>
        <v>33237861</v>
      </c>
      <c r="J14" s="764"/>
      <c r="K14" s="764"/>
    </row>
    <row r="15" spans="1:13" s="267" customFormat="1" ht="12" customHeight="1" x14ac:dyDescent="0.2">
      <c r="A15" s="11" t="s">
        <v>111</v>
      </c>
      <c r="B15" s="379" t="s">
        <v>388</v>
      </c>
      <c r="C15" s="970">
        <v>43054095</v>
      </c>
      <c r="D15" s="961">
        <v>89874183</v>
      </c>
      <c r="E15" s="533">
        <f>3551000+1060845+168707597+58000+128000-119824582</f>
        <v>53680860</v>
      </c>
      <c r="F15" s="534"/>
      <c r="G15" s="534"/>
      <c r="H15" s="1214">
        <f>'1. sz.mell. '!C18</f>
        <v>321806340</v>
      </c>
      <c r="I15" s="764">
        <f>29417493+205313443</f>
        <v>234730936</v>
      </c>
      <c r="J15" s="764"/>
      <c r="K15" s="764"/>
    </row>
    <row r="16" spans="1:13" s="267" customFormat="1" ht="12" customHeight="1" thickBot="1" x14ac:dyDescent="0.25">
      <c r="A16" s="13" t="s">
        <v>89</v>
      </c>
      <c r="B16" s="380" t="s">
        <v>389</v>
      </c>
      <c r="C16" s="971">
        <v>400101</v>
      </c>
      <c r="D16" s="962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6">
        <f>SUM(C18:C22)</f>
        <v>218745160</v>
      </c>
      <c r="D17" s="963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400184172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69"/>
      <c r="D18" s="960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70"/>
      <c r="D19" s="961"/>
      <c r="E19" s="535"/>
      <c r="F19" s="536"/>
      <c r="G19" s="536"/>
      <c r="H19" s="1214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70"/>
      <c r="D20" s="961"/>
      <c r="E20" s="535"/>
      <c r="F20" s="536"/>
      <c r="G20" s="536"/>
      <c r="H20" s="1214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70"/>
      <c r="D21" s="961"/>
      <c r="E21" s="535"/>
      <c r="F21" s="536"/>
      <c r="G21" s="536"/>
      <c r="H21" s="1214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70">
        <v>218745160</v>
      </c>
      <c r="D22" s="961">
        <v>349462909</v>
      </c>
      <c r="E22" s="533">
        <f>2285000+210000+110446000+65342000-323735435</f>
        <v>-145452435</v>
      </c>
      <c r="F22" s="534"/>
      <c r="G22" s="534">
        <v>5485000</v>
      </c>
      <c r="H22" s="1214">
        <f>'1. sz.mell. '!C25</f>
        <v>400184172</v>
      </c>
      <c r="I22" s="765">
        <f>102792540+24250000+3975280+5670000+67037993</f>
        <v>203725813</v>
      </c>
      <c r="J22" s="764"/>
      <c r="K22" s="764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71">
        <v>80120703</v>
      </c>
      <c r="D23" s="962">
        <v>100718749</v>
      </c>
      <c r="E23" s="539"/>
      <c r="F23" s="540"/>
      <c r="G23" s="540"/>
      <c r="H23" s="400">
        <f>'1. sz.mell. '!C26</f>
        <v>93758165</v>
      </c>
      <c r="I23" s="766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6">
        <f>SUM(C25:C29)</f>
        <v>283396180</v>
      </c>
      <c r="D24" s="963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431409880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69">
        <v>34619116</v>
      </c>
      <c r="D25" s="960">
        <v>1315000000</v>
      </c>
      <c r="E25" s="541"/>
      <c r="F25" s="542"/>
      <c r="G25" s="542"/>
      <c r="H25" s="399">
        <f>'1. sz.mell. '!C28</f>
        <v>28773000</v>
      </c>
      <c r="I25" s="767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72"/>
      <c r="D26" s="964"/>
      <c r="E26" s="533"/>
      <c r="F26" s="534"/>
      <c r="G26" s="534"/>
      <c r="H26" s="402">
        <f>'1. sz.mell. '!C29</f>
        <v>0</v>
      </c>
      <c r="I26" s="765"/>
      <c r="J26" s="764"/>
      <c r="K26" s="764"/>
    </row>
    <row r="27" spans="1:11" s="267" customFormat="1" ht="12" customHeight="1" x14ac:dyDescent="0.2">
      <c r="A27" s="11" t="s">
        <v>76</v>
      </c>
      <c r="B27" s="279" t="s">
        <v>354</v>
      </c>
      <c r="C27" s="970"/>
      <c r="D27" s="961"/>
      <c r="E27" s="533"/>
      <c r="F27" s="534"/>
      <c r="G27" s="534"/>
      <c r="H27" s="1214">
        <f>'1. sz.mell. '!C30</f>
        <v>0</v>
      </c>
      <c r="I27" s="765"/>
      <c r="J27" s="764"/>
      <c r="K27" s="764"/>
    </row>
    <row r="28" spans="1:11" s="267" customFormat="1" ht="12" customHeight="1" x14ac:dyDescent="0.2">
      <c r="A28" s="11" t="s">
        <v>77</v>
      </c>
      <c r="B28" s="279" t="s">
        <v>355</v>
      </c>
      <c r="C28" s="970"/>
      <c r="D28" s="961"/>
      <c r="E28" s="533"/>
      <c r="F28" s="534"/>
      <c r="G28" s="534"/>
      <c r="H28" s="1214">
        <f>'1. sz.mell. '!C31</f>
        <v>0</v>
      </c>
      <c r="I28" s="765"/>
      <c r="J28" s="764"/>
      <c r="K28" s="764"/>
    </row>
    <row r="29" spans="1:11" s="267" customFormat="1" ht="12" customHeight="1" x14ac:dyDescent="0.2">
      <c r="A29" s="11" t="s">
        <v>122</v>
      </c>
      <c r="B29" s="279" t="s">
        <v>192</v>
      </c>
      <c r="C29" s="970">
        <v>248777064</v>
      </c>
      <c r="D29" s="961">
        <v>742307126</v>
      </c>
      <c r="E29" s="533">
        <f>3797300-15179276</f>
        <v>-11381976</v>
      </c>
      <c r="F29" s="534"/>
      <c r="G29" s="534"/>
      <c r="H29" s="1214">
        <f>'1. sz.mell. '!C32</f>
        <v>402636880</v>
      </c>
      <c r="I29" s="765">
        <f>5596040+25377271+3487179+47949076</f>
        <v>82409566</v>
      </c>
      <c r="J29" s="764"/>
      <c r="K29" s="764"/>
    </row>
    <row r="30" spans="1:11" s="267" customFormat="1" ht="12" customHeight="1" thickBot="1" x14ac:dyDescent="0.25">
      <c r="A30" s="13" t="s">
        <v>123</v>
      </c>
      <c r="B30" s="280" t="s">
        <v>193</v>
      </c>
      <c r="C30" s="971">
        <v>239136377</v>
      </c>
      <c r="D30" s="962">
        <v>71627578</v>
      </c>
      <c r="E30" s="539">
        <v>3797300</v>
      </c>
      <c r="F30" s="540"/>
      <c r="G30" s="540"/>
      <c r="H30" s="400">
        <f>'1. sz.mell. '!C33</f>
        <v>379485890</v>
      </c>
      <c r="I30" s="766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6">
        <f>C32+C35+C36+C37+C38</f>
        <v>318511494</v>
      </c>
      <c r="D31" s="963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5">
        <f>SUM(C33:C34)</f>
        <v>306301683</v>
      </c>
      <c r="D32" s="965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70">
        <v>83640757</v>
      </c>
      <c r="D33" s="961">
        <v>91977110</v>
      </c>
      <c r="E33" s="535">
        <f>8990000+70000000</f>
        <v>78990000</v>
      </c>
      <c r="F33" s="536"/>
      <c r="G33" s="536"/>
      <c r="H33" s="1214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70">
        <v>222660926</v>
      </c>
      <c r="D34" s="961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70">
        <v>914</v>
      </c>
      <c r="D35" s="961">
        <v>1</v>
      </c>
      <c r="E35" s="533"/>
      <c r="F35" s="534"/>
      <c r="G35" s="534"/>
      <c r="H35" s="285">
        <f>'1. sz.mell. '!C38</f>
        <v>0</v>
      </c>
      <c r="I35" s="765"/>
      <c r="J35" s="764"/>
      <c r="K35" s="764"/>
    </row>
    <row r="36" spans="1:11" s="267" customFormat="1" ht="12" customHeight="1" x14ac:dyDescent="0.2">
      <c r="A36" s="11" t="s">
        <v>473</v>
      </c>
      <c r="B36" s="279" t="s">
        <v>202</v>
      </c>
      <c r="C36" s="970">
        <v>0</v>
      </c>
      <c r="D36" s="961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70">
        <v>194100</v>
      </c>
      <c r="D37" s="961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71">
        <v>12014797</v>
      </c>
      <c r="D38" s="962">
        <v>13613287</v>
      </c>
      <c r="E38" s="539">
        <v>5500000</v>
      </c>
      <c r="F38" s="540"/>
      <c r="G38" s="540"/>
      <c r="H38" s="400">
        <f>'1. sz.mell. '!C40</f>
        <v>14800000</v>
      </c>
      <c r="I38" s="766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6">
        <f>SUM(C40:C50)</f>
        <v>334062033</v>
      </c>
      <c r="D39" s="963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340797944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69">
        <v>8209247</v>
      </c>
      <c r="D40" s="960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7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70">
        <v>69205220</v>
      </c>
      <c r="D41" s="961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14">
        <f>'1. sz.mell. '!C43</f>
        <v>49507863</v>
      </c>
      <c r="I41" s="765">
        <f>15901900+787402+500000</f>
        <v>17189302</v>
      </c>
      <c r="J41" s="764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70">
        <v>17680191</v>
      </c>
      <c r="D42" s="961">
        <v>27216666</v>
      </c>
      <c r="E42" s="533">
        <f>8458000+947000</f>
        <v>9405000</v>
      </c>
      <c r="F42" s="534">
        <v>500000</v>
      </c>
      <c r="G42" s="532">
        <v>85718340</v>
      </c>
      <c r="H42" s="1214">
        <f>'1. sz.mell. '!C44</f>
        <v>34934427</v>
      </c>
      <c r="I42" s="765">
        <f>20000+6000000+700000+1000000+1109692</f>
        <v>8829692</v>
      </c>
      <c r="J42" s="764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70">
        <v>3774152</v>
      </c>
      <c r="D43" s="961">
        <v>6598332</v>
      </c>
      <c r="E43" s="533">
        <f>430000</f>
        <v>430000</v>
      </c>
      <c r="F43" s="534"/>
      <c r="G43" s="532"/>
      <c r="H43" s="1214">
        <f>'1. sz.mell. '!C45</f>
        <v>9500000</v>
      </c>
      <c r="I43" s="765">
        <f>440000+300000</f>
        <v>740000</v>
      </c>
      <c r="J43" s="764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70">
        <v>176293968</v>
      </c>
      <c r="D44" s="961">
        <v>170792469</v>
      </c>
      <c r="E44" s="533"/>
      <c r="F44" s="534"/>
      <c r="G44" s="532">
        <f>182811402-4572000</f>
        <v>178239402</v>
      </c>
      <c r="H44" s="1214">
        <f>'1. sz.mell. '!C46</f>
        <v>186164431</v>
      </c>
      <c r="I44" s="765"/>
      <c r="J44" s="764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70">
        <v>20117811</v>
      </c>
      <c r="D45" s="961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14">
        <f>'1. sz.mell. '!C47</f>
        <v>24309746</v>
      </c>
      <c r="I45" s="765">
        <f>5400+1993957+12052638+212598+189000+2801434+333450+135000</f>
        <v>17723477</v>
      </c>
      <c r="J45" s="764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70">
        <v>2550000</v>
      </c>
      <c r="D46" s="961">
        <v>8473000</v>
      </c>
      <c r="E46" s="533"/>
      <c r="F46" s="534"/>
      <c r="G46" s="532">
        <v>21034000</v>
      </c>
      <c r="H46" s="1214">
        <f>'1. sz.mell. '!C48</f>
        <v>31678717</v>
      </c>
      <c r="I46" s="765"/>
      <c r="J46" s="764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70">
        <v>153</v>
      </c>
      <c r="D47" s="961">
        <v>5910</v>
      </c>
      <c r="E47" s="533">
        <v>30000</v>
      </c>
      <c r="F47" s="534"/>
      <c r="G47" s="532">
        <v>10000</v>
      </c>
      <c r="H47" s="1214">
        <f>'1. sz.mell. '!C49</f>
        <v>0</v>
      </c>
      <c r="I47" s="765"/>
      <c r="J47" s="764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70"/>
      <c r="D48" s="961"/>
      <c r="E48" s="533"/>
      <c r="F48" s="534"/>
      <c r="G48" s="532"/>
      <c r="H48" s="1214">
        <f>'1. sz.mell. '!C50</f>
        <v>0</v>
      </c>
      <c r="I48" s="765"/>
      <c r="J48" s="764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70">
        <v>1278624</v>
      </c>
      <c r="D49" s="961">
        <v>17361516</v>
      </c>
      <c r="E49" s="539">
        <f>500000</f>
        <v>500000</v>
      </c>
      <c r="F49" s="540"/>
      <c r="G49" s="532"/>
      <c r="H49" s="1214">
        <f>'1. sz.mell. '!C51</f>
        <v>0</v>
      </c>
      <c r="I49" s="766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71">
        <v>34952667</v>
      </c>
      <c r="D50" s="962">
        <v>6503776</v>
      </c>
      <c r="E50" s="539">
        <f>704000</f>
        <v>704000</v>
      </c>
      <c r="F50" s="540">
        <v>100000</v>
      </c>
      <c r="G50" s="532"/>
      <c r="H50" s="400">
        <f>'1. sz.mell. '!C52</f>
        <v>4702760</v>
      </c>
      <c r="I50" s="766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6">
        <f>SUM(C52:C56)</f>
        <v>8433198</v>
      </c>
      <c r="D51" s="963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73"/>
      <c r="D52" s="966"/>
      <c r="E52" s="531"/>
      <c r="F52" s="532"/>
      <c r="G52" s="532"/>
      <c r="H52" s="401">
        <f>'1. sz.mell. '!C54</f>
        <v>0</v>
      </c>
      <c r="I52" s="767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70">
        <v>8058657</v>
      </c>
      <c r="D53" s="961">
        <v>23960843</v>
      </c>
      <c r="E53" s="533">
        <f>25179000</f>
        <v>25179000</v>
      </c>
      <c r="F53" s="534"/>
      <c r="G53" s="534"/>
      <c r="H53" s="1214">
        <f>'1. sz.mell. '!C55</f>
        <v>48000000</v>
      </c>
      <c r="I53" s="765">
        <f>21787500</f>
        <v>21787500</v>
      </c>
      <c r="J53" s="764"/>
      <c r="K53" s="764"/>
    </row>
    <row r="54" spans="1:11" s="267" customFormat="1" ht="12" customHeight="1" x14ac:dyDescent="0.2">
      <c r="A54" s="11" t="s">
        <v>218</v>
      </c>
      <c r="B54" s="279" t="s">
        <v>223</v>
      </c>
      <c r="C54" s="970">
        <v>44541</v>
      </c>
      <c r="D54" s="961">
        <v>54283</v>
      </c>
      <c r="E54" s="533"/>
      <c r="F54" s="534"/>
      <c r="G54" s="534"/>
      <c r="H54" s="1214">
        <f>'1. sz.mell. '!C56</f>
        <v>0</v>
      </c>
      <c r="I54" s="765"/>
      <c r="J54" s="764">
        <f>300000</f>
        <v>300000</v>
      </c>
      <c r="K54" s="764"/>
    </row>
    <row r="55" spans="1:11" s="267" customFormat="1" ht="12" customHeight="1" x14ac:dyDescent="0.2">
      <c r="A55" s="11" t="s">
        <v>219</v>
      </c>
      <c r="B55" s="279" t="s">
        <v>224</v>
      </c>
      <c r="C55" s="970"/>
      <c r="D55" s="961"/>
      <c r="E55" s="533"/>
      <c r="F55" s="534"/>
      <c r="G55" s="534"/>
      <c r="H55" s="1214">
        <f>'1. sz.mell. '!C57</f>
        <v>0</v>
      </c>
      <c r="I55" s="765"/>
      <c r="J55" s="764"/>
      <c r="K55" s="764"/>
    </row>
    <row r="56" spans="1:11" s="267" customFormat="1" ht="12" customHeight="1" thickBot="1" x14ac:dyDescent="0.25">
      <c r="A56" s="13" t="s">
        <v>220</v>
      </c>
      <c r="B56" s="380" t="s">
        <v>225</v>
      </c>
      <c r="C56" s="971">
        <v>330000</v>
      </c>
      <c r="D56" s="962">
        <v>0</v>
      </c>
      <c r="E56" s="539"/>
      <c r="F56" s="540"/>
      <c r="G56" s="540"/>
      <c r="H56" s="403">
        <f>'1. sz.mell. '!C58</f>
        <v>0</v>
      </c>
      <c r="I56" s="766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6">
        <f>SUM(C58:C60)</f>
        <v>2494416</v>
      </c>
      <c r="D57" s="963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1656096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74"/>
      <c r="D58" s="1311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70">
        <v>540368</v>
      </c>
      <c r="D59" s="961">
        <v>431905</v>
      </c>
      <c r="E59" s="533">
        <f>383000+1566000</f>
        <v>1949000</v>
      </c>
      <c r="F59" s="534"/>
      <c r="G59" s="534"/>
      <c r="H59" s="1214">
        <f>'1. sz.mell. '!C61</f>
        <v>200000</v>
      </c>
      <c r="I59" s="765">
        <f>480000</f>
        <v>480000</v>
      </c>
      <c r="J59" s="764"/>
      <c r="K59" s="764"/>
    </row>
    <row r="60" spans="1:11" s="267" customFormat="1" ht="12" customHeight="1" x14ac:dyDescent="0.2">
      <c r="A60" s="11" t="s">
        <v>230</v>
      </c>
      <c r="B60" s="279" t="s">
        <v>228</v>
      </c>
      <c r="C60" s="970">
        <v>1954048</v>
      </c>
      <c r="D60" s="961">
        <v>13916876</v>
      </c>
      <c r="E60" s="533">
        <f>4075000+140433</f>
        <v>4215433</v>
      </c>
      <c r="F60" s="534"/>
      <c r="G60" s="534"/>
      <c r="H60" s="1214">
        <f>'1. sz.mell. '!C62</f>
        <v>456096</v>
      </c>
      <c r="I60" s="765">
        <f>950000</f>
        <v>950000</v>
      </c>
      <c r="J60" s="764"/>
      <c r="K60" s="764"/>
    </row>
    <row r="61" spans="1:11" s="267" customFormat="1" ht="12" customHeight="1" thickBot="1" x14ac:dyDescent="0.25">
      <c r="A61" s="13" t="s">
        <v>231</v>
      </c>
      <c r="B61" s="380" t="s">
        <v>229</v>
      </c>
      <c r="C61" s="971"/>
      <c r="D61" s="962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6">
        <f>SUM(C63:C65)</f>
        <v>11510400</v>
      </c>
      <c r="D62" s="963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73"/>
      <c r="D63" s="966"/>
      <c r="E63" s="533"/>
      <c r="F63" s="534"/>
      <c r="G63" s="534"/>
      <c r="H63" s="401">
        <f>'1. sz.mell. '!C65</f>
        <v>0</v>
      </c>
      <c r="I63" s="765"/>
      <c r="J63" s="764"/>
      <c r="K63" s="764"/>
    </row>
    <row r="64" spans="1:11" s="267" customFormat="1" ht="12" customHeight="1" x14ac:dyDescent="0.2">
      <c r="A64" s="11" t="s">
        <v>133</v>
      </c>
      <c r="B64" s="279" t="s">
        <v>357</v>
      </c>
      <c r="C64" s="972"/>
      <c r="D64" s="964"/>
      <c r="E64" s="533"/>
      <c r="F64" s="534"/>
      <c r="G64" s="534"/>
      <c r="H64" s="402">
        <f>'1. sz.mell. '!C66</f>
        <v>0</v>
      </c>
      <c r="I64" s="765"/>
      <c r="J64" s="764"/>
      <c r="K64" s="764"/>
    </row>
    <row r="65" spans="1:11" s="267" customFormat="1" ht="12" customHeight="1" x14ac:dyDescent="0.2">
      <c r="A65" s="11" t="s">
        <v>158</v>
      </c>
      <c r="B65" s="279" t="s">
        <v>235</v>
      </c>
      <c r="C65" s="970">
        <v>11510400</v>
      </c>
      <c r="D65" s="961">
        <v>250000</v>
      </c>
      <c r="E65" s="533"/>
      <c r="F65" s="534"/>
      <c r="G65" s="534"/>
      <c r="H65" s="402">
        <f>'1. sz.mell. '!C67</f>
        <v>0</v>
      </c>
      <c r="I65" s="765"/>
      <c r="J65" s="764"/>
      <c r="K65" s="764"/>
    </row>
    <row r="66" spans="1:11" s="267" customFormat="1" ht="12" customHeight="1" thickBot="1" x14ac:dyDescent="0.25">
      <c r="A66" s="13" t="s">
        <v>233</v>
      </c>
      <c r="B66" s="380" t="s">
        <v>236</v>
      </c>
      <c r="C66" s="971">
        <v>5060400</v>
      </c>
      <c r="D66" s="962">
        <v>0</v>
      </c>
      <c r="E66" s="533"/>
      <c r="F66" s="534"/>
      <c r="G66" s="534"/>
      <c r="H66" s="403">
        <f>'1. sz.mell. '!C68</f>
        <v>0</v>
      </c>
      <c r="I66" s="765"/>
      <c r="J66" s="764"/>
      <c r="K66" s="764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3605473432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69">
        <v>21319241</v>
      </c>
      <c r="D69" s="960">
        <v>11502781</v>
      </c>
      <c r="E69" s="533">
        <v>44100000</v>
      </c>
      <c r="F69" s="534"/>
      <c r="G69" s="534"/>
      <c r="H69" s="399">
        <f>'1. sz.mell. '!C71</f>
        <v>187733250</v>
      </c>
      <c r="I69" s="765">
        <f>69269106</f>
        <v>69269106</v>
      </c>
      <c r="J69" s="764"/>
      <c r="K69" s="764"/>
    </row>
    <row r="70" spans="1:11" s="267" customFormat="1" ht="12" customHeight="1" x14ac:dyDescent="0.2">
      <c r="A70" s="11" t="s">
        <v>279</v>
      </c>
      <c r="B70" s="279" t="s">
        <v>241</v>
      </c>
      <c r="C70" s="970">
        <v>821155240</v>
      </c>
      <c r="D70" s="961">
        <v>1003497787</v>
      </c>
      <c r="E70" s="533">
        <v>100000000</v>
      </c>
      <c r="F70" s="534"/>
      <c r="G70" s="534"/>
      <c r="H70" s="1214">
        <f>'1. sz.mell. '!C72</f>
        <v>1000000000</v>
      </c>
      <c r="I70" s="765">
        <v>100000000</v>
      </c>
      <c r="J70" s="764"/>
      <c r="K70" s="764"/>
    </row>
    <row r="71" spans="1:11" s="267" customFormat="1" ht="12" customHeight="1" thickBot="1" x14ac:dyDescent="0.25">
      <c r="A71" s="13" t="s">
        <v>280</v>
      </c>
      <c r="B71" s="382" t="s">
        <v>394</v>
      </c>
      <c r="C71" s="975"/>
      <c r="D71" s="967"/>
      <c r="E71" s="533"/>
      <c r="F71" s="534"/>
      <c r="G71" s="534"/>
      <c r="H71" s="403">
        <f>'1. sz.mell. '!C73</f>
        <v>0</v>
      </c>
      <c r="I71" s="765"/>
      <c r="J71" s="764"/>
      <c r="K71" s="764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68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73"/>
      <c r="D73" s="966"/>
      <c r="E73" s="533"/>
      <c r="F73" s="534"/>
      <c r="G73" s="534"/>
      <c r="H73" s="401">
        <f>'1. sz.mell. '!C75</f>
        <v>0</v>
      </c>
      <c r="I73" s="765"/>
      <c r="J73" s="764"/>
      <c r="K73" s="764"/>
    </row>
    <row r="74" spans="1:11" s="267" customFormat="1" ht="17.25" customHeight="1" x14ac:dyDescent="0.2">
      <c r="A74" s="11" t="s">
        <v>113</v>
      </c>
      <c r="B74" s="279" t="s">
        <v>246</v>
      </c>
      <c r="C74" s="972"/>
      <c r="D74" s="964"/>
      <c r="E74" s="533"/>
      <c r="F74" s="534"/>
      <c r="G74" s="534"/>
      <c r="H74" s="402">
        <f>'1. sz.mell. '!C76</f>
        <v>0</v>
      </c>
      <c r="I74" s="765"/>
      <c r="J74" s="764"/>
      <c r="K74" s="764"/>
    </row>
    <row r="75" spans="1:11" s="267" customFormat="1" ht="12" customHeight="1" x14ac:dyDescent="0.2">
      <c r="A75" s="11" t="s">
        <v>271</v>
      </c>
      <c r="B75" s="279" t="s">
        <v>247</v>
      </c>
      <c r="C75" s="972"/>
      <c r="D75" s="964"/>
      <c r="E75" s="533"/>
      <c r="F75" s="534"/>
      <c r="G75" s="534"/>
      <c r="H75" s="402">
        <f>'1. sz.mell. '!C77</f>
        <v>0</v>
      </c>
      <c r="I75" s="765"/>
      <c r="J75" s="764"/>
      <c r="K75" s="764"/>
    </row>
    <row r="76" spans="1:11" s="267" customFormat="1" ht="12" customHeight="1" thickBot="1" x14ac:dyDescent="0.25">
      <c r="A76" s="13" t="s">
        <v>272</v>
      </c>
      <c r="B76" s="380" t="s">
        <v>248</v>
      </c>
      <c r="C76" s="975"/>
      <c r="D76" s="967"/>
      <c r="E76" s="533"/>
      <c r="F76" s="534"/>
      <c r="G76" s="534"/>
      <c r="H76" s="403">
        <f>'1. sz.mell. '!C78</f>
        <v>0</v>
      </c>
      <c r="I76" s="765"/>
      <c r="J76" s="764"/>
      <c r="K76" s="764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2438161695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69">
        <v>933051850</v>
      </c>
      <c r="D78" s="960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2438161695</v>
      </c>
      <c r="I78" s="765">
        <f>346583469</f>
        <v>346583469</v>
      </c>
      <c r="J78" s="764">
        <f>829764</f>
        <v>829764</v>
      </c>
      <c r="K78" s="764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75"/>
      <c r="D79" s="967"/>
      <c r="E79" s="533"/>
      <c r="F79" s="534"/>
      <c r="G79" s="534"/>
      <c r="H79" s="403">
        <f>'1. sz.mell. '!C81</f>
        <v>0</v>
      </c>
      <c r="I79" s="765"/>
      <c r="J79" s="764"/>
      <c r="K79" s="764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69">
        <v>48966750</v>
      </c>
      <c r="D81" s="960">
        <v>55076107</v>
      </c>
      <c r="E81" s="533"/>
      <c r="F81" s="534"/>
      <c r="G81" s="534"/>
      <c r="H81" s="401">
        <f>'1. sz.mell. '!C83</f>
        <v>55076107</v>
      </c>
      <c r="I81" s="765"/>
      <c r="J81" s="764"/>
      <c r="K81" s="764"/>
    </row>
    <row r="82" spans="1:11" s="267" customFormat="1" ht="12" customHeight="1" x14ac:dyDescent="0.2">
      <c r="A82" s="11" t="s">
        <v>276</v>
      </c>
      <c r="B82" s="279" t="s">
        <v>256</v>
      </c>
      <c r="C82" s="972"/>
      <c r="D82" s="964"/>
      <c r="E82" s="533"/>
      <c r="F82" s="534"/>
      <c r="G82" s="534"/>
      <c r="H82" s="402">
        <f>'1. sz.mell. '!C84</f>
        <v>0</v>
      </c>
      <c r="I82" s="765"/>
      <c r="J82" s="764"/>
      <c r="K82" s="764"/>
    </row>
    <row r="83" spans="1:11" s="267" customFormat="1" ht="12" customHeight="1" thickBot="1" x14ac:dyDescent="0.25">
      <c r="A83" s="13" t="s">
        <v>277</v>
      </c>
      <c r="B83" s="380" t="s">
        <v>257</v>
      </c>
      <c r="C83" s="975"/>
      <c r="D83" s="967"/>
      <c r="E83" s="533"/>
      <c r="F83" s="534"/>
      <c r="G83" s="534"/>
      <c r="H83" s="403">
        <f>'1. sz.mell. '!C85</f>
        <v>0</v>
      </c>
      <c r="I83" s="765"/>
      <c r="J83" s="764"/>
      <c r="K83" s="764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68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73"/>
      <c r="D85" s="966"/>
      <c r="E85" s="533"/>
      <c r="F85" s="534"/>
      <c r="G85" s="534"/>
      <c r="H85" s="401">
        <f>'1. sz.mell. '!C87</f>
        <v>0</v>
      </c>
      <c r="I85" s="765"/>
      <c r="J85" s="764"/>
      <c r="K85" s="764"/>
    </row>
    <row r="86" spans="1:11" s="267" customFormat="1" ht="12" customHeight="1" x14ac:dyDescent="0.2">
      <c r="A86" s="189" t="s">
        <v>261</v>
      </c>
      <c r="B86" s="279" t="s">
        <v>262</v>
      </c>
      <c r="C86" s="972"/>
      <c r="D86" s="964"/>
      <c r="E86" s="533"/>
      <c r="F86" s="534"/>
      <c r="G86" s="534"/>
      <c r="H86" s="402">
        <f>'1. sz.mell. '!C88</f>
        <v>0</v>
      </c>
      <c r="I86" s="765"/>
      <c r="J86" s="764"/>
      <c r="K86" s="764"/>
    </row>
    <row r="87" spans="1:11" s="267" customFormat="1" ht="12" customHeight="1" x14ac:dyDescent="0.2">
      <c r="A87" s="189" t="s">
        <v>263</v>
      </c>
      <c r="B87" s="279" t="s">
        <v>264</v>
      </c>
      <c r="C87" s="972"/>
      <c r="D87" s="964"/>
      <c r="E87" s="533"/>
      <c r="F87" s="534"/>
      <c r="G87" s="534"/>
      <c r="H87" s="402">
        <f>'1. sz.mell. '!C89</f>
        <v>0</v>
      </c>
      <c r="I87" s="765"/>
      <c r="J87" s="764"/>
      <c r="K87" s="764"/>
    </row>
    <row r="88" spans="1:11" s="267" customFormat="1" ht="12" customHeight="1" thickBot="1" x14ac:dyDescent="0.25">
      <c r="A88" s="190" t="s">
        <v>265</v>
      </c>
      <c r="B88" s="380" t="s">
        <v>266</v>
      </c>
      <c r="C88" s="975"/>
      <c r="D88" s="967"/>
      <c r="E88" s="533"/>
      <c r="F88" s="534"/>
      <c r="G88" s="534"/>
      <c r="H88" s="403">
        <f>'1. sz.mell. '!C90</f>
        <v>0</v>
      </c>
      <c r="I88" s="765"/>
      <c r="J88" s="764"/>
      <c r="K88" s="764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3680971052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7286444484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19" t="s">
        <v>44</v>
      </c>
      <c r="B93" s="1419"/>
      <c r="C93" s="1419"/>
      <c r="D93" s="1419"/>
      <c r="E93" s="1419"/>
      <c r="F93" s="1419"/>
      <c r="G93" s="1419"/>
      <c r="H93" s="1419"/>
    </row>
    <row r="94" spans="1:11" s="267" customFormat="1" ht="36.75" customHeight="1" thickBot="1" x14ac:dyDescent="0.25">
      <c r="A94" s="20" t="s">
        <v>14</v>
      </c>
      <c r="B94" s="396" t="s">
        <v>45</v>
      </c>
      <c r="C94" s="1310" t="str">
        <f t="shared" ref="C94:H94" si="0">C6</f>
        <v>2020. évi tény</v>
      </c>
      <c r="D94" s="923" t="str">
        <f t="shared" si="0"/>
        <v>2021. évi várható adat</v>
      </c>
      <c r="E94" s="923">
        <f t="shared" si="0"/>
        <v>0</v>
      </c>
      <c r="F94" s="923">
        <f t="shared" si="0"/>
        <v>0</v>
      </c>
      <c r="G94" s="923">
        <f t="shared" si="0"/>
        <v>0</v>
      </c>
      <c r="H94" s="937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21">
        <f>SUM(C97:C101,C114)</f>
        <v>2234422838</v>
      </c>
      <c r="D96" s="921">
        <f>SUM(D97:D101,D114)</f>
        <v>2386975064</v>
      </c>
      <c r="E96" s="930"/>
      <c r="F96" s="932"/>
      <c r="G96" s="921"/>
      <c r="H96" s="939">
        <f>'1. sz.mell. '!C99</f>
        <v>3399281337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78">
        <v>1107374684</v>
      </c>
      <c r="D97" s="924">
        <v>1161174126</v>
      </c>
      <c r="E97" s="936"/>
      <c r="F97" s="940"/>
      <c r="G97" s="940"/>
      <c r="H97" s="948">
        <f>'1. sz.mell. '!C100</f>
        <v>1452916598</v>
      </c>
      <c r="I97" s="768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76">
        <v>200144461</v>
      </c>
      <c r="D98" s="946">
        <v>193253575</v>
      </c>
      <c r="E98" s="941"/>
      <c r="F98" s="947"/>
      <c r="G98" s="947"/>
      <c r="H98" s="948">
        <f>'1. sz.mell. '!C101</f>
        <v>212332307</v>
      </c>
      <c r="I98" s="765">
        <f>4364055+1409889+7817+2684650+14227+10944+444000+1007723</f>
        <v>9943305</v>
      </c>
      <c r="J98" s="764">
        <f>30406649+133681+815187</f>
        <v>31355517</v>
      </c>
      <c r="K98" s="764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76">
        <v>742294097</v>
      </c>
      <c r="D99" s="946">
        <v>781923489</v>
      </c>
      <c r="E99" s="944"/>
      <c r="F99" s="922"/>
      <c r="G99" s="947"/>
      <c r="H99" s="948">
        <f>'1. sz.mell. '!C102</f>
        <v>1352884293</v>
      </c>
      <c r="I99" s="76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4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76">
        <v>46911174</v>
      </c>
      <c r="D100" s="946">
        <v>37424380</v>
      </c>
      <c r="E100" s="944"/>
      <c r="F100" s="922"/>
      <c r="G100" s="922"/>
      <c r="H100" s="948">
        <v>37424380</v>
      </c>
      <c r="I100" s="766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17">
        <f>SUM(C102:C113)</f>
        <v>137698422</v>
      </c>
      <c r="D101" s="917">
        <f>SUM(D102:D113)</f>
        <v>213199494</v>
      </c>
      <c r="E101" s="917">
        <f>SUM(E102:E113)</f>
        <v>0</v>
      </c>
      <c r="F101" s="917">
        <f>SUM(F102:F113)</f>
        <v>0</v>
      </c>
      <c r="G101" s="917">
        <f>SUM(G102:G113)</f>
        <v>0</v>
      </c>
      <c r="H101" s="917">
        <f>'1. sz.mell. '!C104</f>
        <v>203074359</v>
      </c>
      <c r="I101" s="766">
        <f>SUM(I102:I113)</f>
        <v>219979003</v>
      </c>
      <c r="J101" s="766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76">
        <v>792176</v>
      </c>
      <c r="D102" s="946">
        <v>17102997</v>
      </c>
      <c r="E102" s="944"/>
      <c r="F102" s="922"/>
      <c r="G102" s="922"/>
      <c r="H102" s="948">
        <f>'1. sz.mell. '!C105</f>
        <v>4353344</v>
      </c>
      <c r="I102" s="766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76"/>
      <c r="D103" s="946">
        <v>24566831</v>
      </c>
      <c r="E103" s="944"/>
      <c r="F103" s="922"/>
      <c r="G103" s="922"/>
      <c r="H103" s="948">
        <f>'1. sz.mell. '!C106</f>
        <v>5091319</v>
      </c>
      <c r="I103" s="766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76"/>
      <c r="D104" s="946"/>
      <c r="E104" s="944"/>
      <c r="F104" s="922"/>
      <c r="G104" s="922"/>
      <c r="H104" s="948">
        <f>'1. sz.mell. '!C107</f>
        <v>0</v>
      </c>
      <c r="I104" s="766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76"/>
      <c r="D105" s="946"/>
      <c r="E105" s="944"/>
      <c r="F105" s="922"/>
      <c r="G105" s="922"/>
      <c r="H105" s="948">
        <f>'1. sz.mell. '!C108</f>
        <v>0</v>
      </c>
      <c r="I105" s="766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76"/>
      <c r="D106" s="946"/>
      <c r="E106" s="944"/>
      <c r="F106" s="922"/>
      <c r="G106" s="922"/>
      <c r="H106" s="948">
        <f>'1. sz.mell. '!C109</f>
        <v>0</v>
      </c>
      <c r="I106" s="766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76"/>
      <c r="D107" s="946"/>
      <c r="E107" s="944"/>
      <c r="F107" s="922"/>
      <c r="G107" s="922"/>
      <c r="H107" s="948">
        <f>'1. sz.mell. '!C110</f>
        <v>0</v>
      </c>
      <c r="I107" s="766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76">
        <v>1352500</v>
      </c>
      <c r="D108" s="946">
        <v>574972</v>
      </c>
      <c r="E108" s="944"/>
      <c r="F108" s="922"/>
      <c r="G108" s="922"/>
      <c r="H108" s="948">
        <f>'1. sz.mell. '!C111</f>
        <v>1269095</v>
      </c>
      <c r="I108" s="766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76"/>
      <c r="D109" s="946"/>
      <c r="E109" s="944"/>
      <c r="F109" s="922"/>
      <c r="G109" s="922"/>
      <c r="H109" s="948">
        <f>'1. sz.mell. '!C112</f>
        <v>0</v>
      </c>
      <c r="I109" s="766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76"/>
      <c r="D110" s="946"/>
      <c r="E110" s="944"/>
      <c r="F110" s="922"/>
      <c r="G110" s="922"/>
      <c r="H110" s="948">
        <f>'1. sz.mell. '!C113</f>
        <v>0</v>
      </c>
      <c r="I110" s="766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76"/>
      <c r="D111" s="946"/>
      <c r="E111" s="944"/>
      <c r="F111" s="922"/>
      <c r="G111" s="922"/>
      <c r="H111" s="948">
        <f>'1. sz.mell. '!C114</f>
        <v>0</v>
      </c>
      <c r="I111" s="766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76"/>
      <c r="D112" s="946"/>
      <c r="E112" s="944"/>
      <c r="F112" s="922"/>
      <c r="G112" s="922"/>
      <c r="H112" s="948">
        <f>'1. sz.mell. '!C115</f>
        <v>0</v>
      </c>
      <c r="I112" s="766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76">
        <v>135553746</v>
      </c>
      <c r="D113" s="946">
        <v>170954694</v>
      </c>
      <c r="E113" s="941"/>
      <c r="F113" s="947"/>
      <c r="G113" s="922"/>
      <c r="H113" s="948">
        <v>213199494</v>
      </c>
      <c r="I113" s="765">
        <f>1000000+47869145+6604733+15489215+46984511+23326783+69312000+7332000+1437616</f>
        <v>219356003</v>
      </c>
      <c r="J113" s="764"/>
      <c r="K113" s="173"/>
    </row>
    <row r="114" spans="1:11" ht="12" customHeight="1" x14ac:dyDescent="0.25">
      <c r="A114" s="11" t="s">
        <v>404</v>
      </c>
      <c r="B114" s="390" t="s">
        <v>47</v>
      </c>
      <c r="C114" s="976"/>
      <c r="D114" s="946"/>
      <c r="E114" s="941"/>
      <c r="F114" s="947"/>
      <c r="G114" s="947"/>
      <c r="H114" s="948">
        <f>'1. sz.mell. '!C117</f>
        <v>133023780</v>
      </c>
      <c r="I114" s="765">
        <f>SUM(I115:I116)</f>
        <v>78390965</v>
      </c>
      <c r="J114" s="765">
        <f>SUM(J115:J116)</f>
        <v>0</v>
      </c>
      <c r="K114" s="764"/>
    </row>
    <row r="115" spans="1:11" ht="12" customHeight="1" x14ac:dyDescent="0.25">
      <c r="A115" s="11" t="s">
        <v>405</v>
      </c>
      <c r="B115" s="387" t="s">
        <v>406</v>
      </c>
      <c r="C115" s="976"/>
      <c r="D115" s="946"/>
      <c r="E115" s="944"/>
      <c r="F115" s="922"/>
      <c r="G115" s="947"/>
      <c r="H115" s="948">
        <f>'1. sz.mell. '!C118</f>
        <v>18621011</v>
      </c>
      <c r="I115" s="766">
        <v>15000000</v>
      </c>
      <c r="J115" s="173"/>
      <c r="K115" s="764"/>
    </row>
    <row r="116" spans="1:11" ht="12" customHeight="1" thickBot="1" x14ac:dyDescent="0.3">
      <c r="A116" s="15" t="s">
        <v>407</v>
      </c>
      <c r="B116" s="391" t="s">
        <v>408</v>
      </c>
      <c r="C116" s="977"/>
      <c r="D116" s="938"/>
      <c r="E116" s="925"/>
      <c r="F116" s="943"/>
      <c r="G116" s="943"/>
      <c r="H116" s="948">
        <f>'1. sz.mell. '!C119</f>
        <v>114402769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21">
        <f>C118+C120+C122</f>
        <v>401828104</v>
      </c>
      <c r="D117" s="921">
        <f>D118+D120+D122</f>
        <v>564129676</v>
      </c>
      <c r="E117" s="919"/>
      <c r="F117" s="926"/>
      <c r="G117" s="945"/>
      <c r="H117" s="942">
        <f>'1. sz.mell. '!C120</f>
        <v>2809358744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78">
        <v>223119190</v>
      </c>
      <c r="D118" s="924">
        <v>274821481</v>
      </c>
      <c r="E118" s="920"/>
      <c r="F118" s="933"/>
      <c r="G118" s="933"/>
      <c r="H118" s="948">
        <f>'1. sz.mell. '!C121</f>
        <v>897382015</v>
      </c>
      <c r="I118" s="767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76"/>
      <c r="D119" s="946"/>
      <c r="E119" s="920"/>
      <c r="F119" s="933"/>
      <c r="G119" s="933"/>
      <c r="H119" s="948">
        <f>'1. sz.mell. '!C122</f>
        <v>362614973</v>
      </c>
      <c r="I119" s="767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76">
        <v>174642005</v>
      </c>
      <c r="D120" s="946">
        <v>286496384</v>
      </c>
      <c r="E120" s="941"/>
      <c r="F120" s="947"/>
      <c r="G120" s="947"/>
      <c r="H120" s="948">
        <f>'1. sz.mell. '!C123</f>
        <v>1908352977</v>
      </c>
      <c r="I120" s="765">
        <f>9517731+51474577+42450993+1905000</f>
        <v>105348301</v>
      </c>
      <c r="J120" s="764"/>
      <c r="K120" s="764">
        <v>965200</v>
      </c>
    </row>
    <row r="121" spans="1:11" ht="12" customHeight="1" x14ac:dyDescent="0.25">
      <c r="A121" s="12" t="s">
        <v>94</v>
      </c>
      <c r="B121" s="388" t="s">
        <v>298</v>
      </c>
      <c r="C121" s="976"/>
      <c r="D121" s="946"/>
      <c r="E121" s="941"/>
      <c r="F121" s="931"/>
      <c r="G121" s="941"/>
      <c r="H121" s="948">
        <f>'1. sz.mell. '!C124</f>
        <v>399460471</v>
      </c>
      <c r="I121" s="765">
        <f>28614577+42450993-1206500</f>
        <v>69859070</v>
      </c>
      <c r="J121" s="497"/>
      <c r="K121" s="765"/>
    </row>
    <row r="122" spans="1:11" ht="12" customHeight="1" x14ac:dyDescent="0.25">
      <c r="A122" s="12" t="s">
        <v>95</v>
      </c>
      <c r="B122" s="380" t="s">
        <v>159</v>
      </c>
      <c r="C122" s="976">
        <f>SUM(C123:C130)</f>
        <v>4066909</v>
      </c>
      <c r="D122" s="976">
        <f>SUM(D123:D130)</f>
        <v>2811811</v>
      </c>
      <c r="E122" s="941"/>
      <c r="F122" s="941"/>
      <c r="G122" s="941"/>
      <c r="H122" s="948">
        <f>'1. sz.mell. '!C125</f>
        <v>3623752</v>
      </c>
      <c r="I122" s="765">
        <f>SUM(I123:I130)</f>
        <v>26919106</v>
      </c>
      <c r="J122" s="765">
        <f>SUM(J123:J130)</f>
        <v>0</v>
      </c>
      <c r="K122" s="765"/>
    </row>
    <row r="123" spans="1:11" ht="12" customHeight="1" x14ac:dyDescent="0.25">
      <c r="A123" s="12" t="s">
        <v>104</v>
      </c>
      <c r="B123" s="379" t="s">
        <v>358</v>
      </c>
      <c r="C123" s="976"/>
      <c r="D123" s="946"/>
      <c r="E123" s="927"/>
      <c r="F123" s="927"/>
      <c r="G123" s="941"/>
      <c r="H123" s="948">
        <f>'1. sz.mell. '!C126</f>
        <v>0</v>
      </c>
      <c r="I123" s="101"/>
      <c r="J123" s="101"/>
      <c r="K123" s="765"/>
    </row>
    <row r="124" spans="1:11" ht="12" customHeight="1" x14ac:dyDescent="0.25">
      <c r="A124" s="12" t="s">
        <v>106</v>
      </c>
      <c r="B124" s="394" t="s">
        <v>303</v>
      </c>
      <c r="C124" s="976"/>
      <c r="D124" s="946"/>
      <c r="E124" s="927"/>
      <c r="F124" s="927"/>
      <c r="G124" s="941"/>
      <c r="H124" s="948">
        <f>'1. sz.mell. '!C127</f>
        <v>0</v>
      </c>
      <c r="I124" s="101"/>
      <c r="J124" s="101"/>
      <c r="K124" s="765"/>
    </row>
    <row r="125" spans="1:11" ht="12" customHeight="1" x14ac:dyDescent="0.25">
      <c r="A125" s="12" t="s">
        <v>139</v>
      </c>
      <c r="B125" s="395" t="s">
        <v>286</v>
      </c>
      <c r="C125" s="976"/>
      <c r="D125" s="946"/>
      <c r="E125" s="927"/>
      <c r="F125" s="927"/>
      <c r="G125" s="941"/>
      <c r="H125" s="948">
        <f>'1. sz.mell. '!C128</f>
        <v>0</v>
      </c>
      <c r="I125" s="101"/>
      <c r="J125" s="101"/>
      <c r="K125" s="765"/>
    </row>
    <row r="126" spans="1:11" ht="12" customHeight="1" x14ac:dyDescent="0.25">
      <c r="A126" s="12" t="s">
        <v>140</v>
      </c>
      <c r="B126" s="395" t="s">
        <v>302</v>
      </c>
      <c r="C126" s="976"/>
      <c r="D126" s="946"/>
      <c r="E126" s="927"/>
      <c r="F126" s="927"/>
      <c r="G126" s="941"/>
      <c r="H126" s="948">
        <f>'1. sz.mell. '!C129</f>
        <v>798660</v>
      </c>
      <c r="I126" s="101"/>
      <c r="J126" s="101"/>
      <c r="K126" s="765"/>
    </row>
    <row r="127" spans="1:11" ht="12" customHeight="1" x14ac:dyDescent="0.25">
      <c r="A127" s="12" t="s">
        <v>141</v>
      </c>
      <c r="B127" s="395" t="s">
        <v>301</v>
      </c>
      <c r="C127" s="976"/>
      <c r="D127" s="946"/>
      <c r="E127" s="927"/>
      <c r="F127" s="927"/>
      <c r="G127" s="941"/>
      <c r="H127" s="948">
        <f>'1. sz.mell. '!C130</f>
        <v>0</v>
      </c>
      <c r="I127" s="101"/>
      <c r="J127" s="101"/>
      <c r="K127" s="765"/>
    </row>
    <row r="128" spans="1:11" ht="12" customHeight="1" x14ac:dyDescent="0.25">
      <c r="A128" s="12" t="s">
        <v>294</v>
      </c>
      <c r="B128" s="395" t="s">
        <v>289</v>
      </c>
      <c r="C128" s="976"/>
      <c r="D128" s="946"/>
      <c r="E128" s="927"/>
      <c r="F128" s="927"/>
      <c r="G128" s="941"/>
      <c r="H128" s="948">
        <f>'1. sz.mell. '!C131</f>
        <v>0</v>
      </c>
      <c r="I128" s="101"/>
      <c r="J128" s="101"/>
      <c r="K128" s="765"/>
    </row>
    <row r="129" spans="1:11" ht="12" customHeight="1" x14ac:dyDescent="0.25">
      <c r="A129" s="12" t="s">
        <v>295</v>
      </c>
      <c r="B129" s="395" t="s">
        <v>300</v>
      </c>
      <c r="C129" s="976"/>
      <c r="D129" s="946"/>
      <c r="E129" s="927"/>
      <c r="F129" s="927"/>
      <c r="G129" s="941"/>
      <c r="H129" s="948">
        <f>'1. sz.mell. '!C132</f>
        <v>0</v>
      </c>
      <c r="I129" s="101"/>
      <c r="J129" s="101"/>
      <c r="K129" s="765"/>
    </row>
    <row r="130" spans="1:11" ht="12" customHeight="1" thickBot="1" x14ac:dyDescent="0.3">
      <c r="A130" s="10" t="s">
        <v>296</v>
      </c>
      <c r="B130" s="395" t="s">
        <v>299</v>
      </c>
      <c r="C130" s="977">
        <v>4066909</v>
      </c>
      <c r="D130" s="938">
        <v>2811811</v>
      </c>
      <c r="E130" s="944"/>
      <c r="F130" s="944"/>
      <c r="G130" s="944"/>
      <c r="H130" s="948">
        <f>'1. sz.mell. '!C133</f>
        <v>2825092</v>
      </c>
      <c r="I130" s="766">
        <f>650000+26269106</f>
        <v>26919106</v>
      </c>
      <c r="J130" s="766"/>
      <c r="K130" s="766"/>
    </row>
    <row r="131" spans="1:11" ht="12" customHeight="1" thickBot="1" x14ac:dyDescent="0.3">
      <c r="A131" s="17" t="s">
        <v>18</v>
      </c>
      <c r="B131" s="372" t="s">
        <v>409</v>
      </c>
      <c r="C131" s="921">
        <f>C117+C96</f>
        <v>2636250942</v>
      </c>
      <c r="D131" s="921">
        <f>D117+D96</f>
        <v>2951104740</v>
      </c>
      <c r="E131" s="919"/>
      <c r="F131" s="926"/>
      <c r="G131" s="926"/>
      <c r="H131" s="942">
        <f>'1. sz.mell. '!C134</f>
        <v>6208640081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21">
        <f>SUM(C133:C135)</f>
        <v>847193674</v>
      </c>
      <c r="D132" s="921">
        <f>SUM(D133:D135)</f>
        <v>1028491534</v>
      </c>
      <c r="E132" s="919"/>
      <c r="F132" s="926"/>
      <c r="G132" s="926"/>
      <c r="H132" s="942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79">
        <v>26038434</v>
      </c>
      <c r="D133" s="928">
        <v>24993747</v>
      </c>
      <c r="E133" s="941"/>
      <c r="F133" s="941"/>
      <c r="G133" s="941"/>
      <c r="H133" s="948">
        <f>'1. sz.mell. '!C136</f>
        <v>22728296</v>
      </c>
      <c r="I133" s="765">
        <f>11674500+5278000</f>
        <v>16952500</v>
      </c>
      <c r="J133" s="765"/>
      <c r="K133" s="765"/>
    </row>
    <row r="134" spans="1:11" ht="12" customHeight="1" x14ac:dyDescent="0.25">
      <c r="A134" s="12" t="s">
        <v>198</v>
      </c>
      <c r="B134" s="388" t="s">
        <v>412</v>
      </c>
      <c r="C134" s="980">
        <v>821155240</v>
      </c>
      <c r="D134" s="929">
        <v>1003497787</v>
      </c>
      <c r="E134" s="927"/>
      <c r="F134" s="927"/>
      <c r="G134" s="927"/>
      <c r="H134" s="948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981"/>
      <c r="D135" s="916"/>
      <c r="E135" s="927"/>
      <c r="F135" s="927"/>
      <c r="G135" s="927"/>
      <c r="H135" s="918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34">
        <f>SUM(C137:C142)</f>
        <v>0</v>
      </c>
      <c r="D136" s="934">
        <f>SUM(D137:D142)</f>
        <v>0</v>
      </c>
      <c r="E136" s="934">
        <f>SUM(E137:E142)</f>
        <v>0</v>
      </c>
      <c r="F136" s="934">
        <f>SUM(F137:F142)</f>
        <v>0</v>
      </c>
      <c r="G136" s="934">
        <f>SUM(G137:G142)</f>
        <v>0</v>
      </c>
      <c r="H136" s="934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79"/>
      <c r="D137" s="928"/>
      <c r="E137" s="927"/>
      <c r="F137" s="927"/>
      <c r="G137" s="927"/>
      <c r="H137" s="948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80"/>
      <c r="D138" s="929"/>
      <c r="E138" s="927"/>
      <c r="F138" s="927"/>
      <c r="G138" s="927"/>
      <c r="H138" s="948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80"/>
      <c r="D139" s="929"/>
      <c r="E139" s="927"/>
      <c r="F139" s="927"/>
      <c r="G139" s="927"/>
      <c r="H139" s="948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80"/>
      <c r="D140" s="929"/>
      <c r="E140" s="927"/>
      <c r="F140" s="927"/>
      <c r="G140" s="927"/>
      <c r="H140" s="948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80"/>
      <c r="D141" s="929"/>
      <c r="E141" s="927"/>
      <c r="F141" s="927"/>
      <c r="G141" s="927"/>
      <c r="H141" s="948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981"/>
      <c r="D142" s="916"/>
      <c r="E142" s="927"/>
      <c r="F142" s="927"/>
      <c r="G142" s="927"/>
      <c r="H142" s="918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21">
        <f>SUM(C144:C147)</f>
        <v>45672254</v>
      </c>
      <c r="D143" s="921">
        <f t="shared" ref="D143:K143" si="1">SUM(D144:D147)</f>
        <v>48966750</v>
      </c>
      <c r="E143" s="921">
        <f t="shared" si="1"/>
        <v>0</v>
      </c>
      <c r="F143" s="921">
        <f t="shared" si="1"/>
        <v>0</v>
      </c>
      <c r="G143" s="921">
        <f t="shared" si="1"/>
        <v>0</v>
      </c>
      <c r="H143" s="921">
        <f>'1. sz.mell. '!C146</f>
        <v>55076107</v>
      </c>
      <c r="I143" s="530">
        <f t="shared" si="1"/>
        <v>41904332</v>
      </c>
      <c r="J143" s="547">
        <f t="shared" si="1"/>
        <v>0</v>
      </c>
      <c r="K143" s="547">
        <f t="shared" si="1"/>
        <v>0</v>
      </c>
    </row>
    <row r="144" spans="1:11" ht="12" customHeight="1" x14ac:dyDescent="0.25">
      <c r="A144" s="12" t="s">
        <v>81</v>
      </c>
      <c r="B144" s="392" t="s">
        <v>304</v>
      </c>
      <c r="C144" s="979"/>
      <c r="D144" s="928"/>
      <c r="E144" s="927"/>
      <c r="F144" s="927"/>
      <c r="G144" s="927"/>
      <c r="H144" s="949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80">
        <v>45672254</v>
      </c>
      <c r="D145" s="929">
        <v>48966750</v>
      </c>
      <c r="E145" s="927"/>
      <c r="F145" s="927"/>
      <c r="G145" s="927"/>
      <c r="H145" s="948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80"/>
      <c r="D146" s="929"/>
      <c r="E146" s="927"/>
      <c r="F146" s="927"/>
      <c r="G146" s="927"/>
      <c r="H146" s="949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981"/>
      <c r="D147" s="916"/>
      <c r="E147" s="927"/>
      <c r="F147" s="927"/>
      <c r="G147" s="927"/>
      <c r="H147" s="950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51">
        <f>SUM(C149:C153)</f>
        <v>0</v>
      </c>
      <c r="D148" s="951">
        <f>SUM(D149:D153)</f>
        <v>0</v>
      </c>
      <c r="E148" s="951">
        <f>SUM(E149:E153)</f>
        <v>0</v>
      </c>
      <c r="F148" s="951">
        <f>SUM(F149:F153)</f>
        <v>0</v>
      </c>
      <c r="G148" s="951">
        <f>SUM(G149:G153)</f>
        <v>0</v>
      </c>
      <c r="H148" s="951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79"/>
      <c r="D149" s="928"/>
      <c r="E149" s="927"/>
      <c r="F149" s="927"/>
      <c r="G149" s="927"/>
      <c r="H149" s="949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80"/>
      <c r="D150" s="929"/>
      <c r="E150" s="927"/>
      <c r="F150" s="927"/>
      <c r="G150" s="927"/>
      <c r="H150" s="949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80"/>
      <c r="D151" s="929"/>
      <c r="E151" s="927"/>
      <c r="F151" s="927"/>
      <c r="G151" s="927"/>
      <c r="H151" s="949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80"/>
      <c r="D152" s="929"/>
      <c r="E152" s="927"/>
      <c r="F152" s="927"/>
      <c r="G152" s="927"/>
      <c r="H152" s="949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981"/>
      <c r="D153" s="916"/>
      <c r="E153" s="952"/>
      <c r="F153" s="952"/>
      <c r="G153" s="927"/>
      <c r="H153" s="950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34"/>
      <c r="D154" s="953"/>
      <c r="E154" s="954"/>
      <c r="F154" s="955"/>
      <c r="G154" s="956"/>
      <c r="H154" s="942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34"/>
      <c r="D155" s="953"/>
      <c r="E155" s="954"/>
      <c r="F155" s="955"/>
      <c r="G155" s="956"/>
      <c r="H155" s="942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21">
        <f>C132+C136+C143+C148+C154+C155</f>
        <v>892865928</v>
      </c>
      <c r="D156" s="921">
        <f>D132+D136+D143+D148+D154+D155</f>
        <v>1077458284</v>
      </c>
      <c r="E156" s="957"/>
      <c r="F156" s="958"/>
      <c r="G156" s="958"/>
      <c r="H156" s="942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21">
        <f>C156+C131</f>
        <v>3529116870</v>
      </c>
      <c r="D157" s="921">
        <f>D156+D131</f>
        <v>4028563024</v>
      </c>
      <c r="E157" s="957"/>
      <c r="F157" s="958"/>
      <c r="G157" s="958"/>
      <c r="H157" s="942">
        <f>'1. sz.mell. '!C160</f>
        <v>7286444484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0" customFormat="1" ht="16.5" customHeight="1" x14ac:dyDescent="0.25">
      <c r="C161" s="718"/>
      <c r="D161" s="718"/>
      <c r="E161" s="718"/>
      <c r="F161" s="718"/>
      <c r="G161" s="718"/>
      <c r="H161" s="718"/>
      <c r="I161" s="709"/>
      <c r="J161" s="709"/>
      <c r="K161" s="709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workbookViewId="0">
      <selection activeCell="N16" sqref="N16"/>
    </sheetView>
  </sheetViews>
  <sheetFormatPr defaultRowHeight="12.75" x14ac:dyDescent="0.2"/>
  <cols>
    <col min="1" max="1" width="6.83203125" style="705" customWidth="1"/>
    <col min="2" max="2" width="49.6640625" style="704" customWidth="1"/>
    <col min="3" max="3" width="12.83203125" style="719" customWidth="1"/>
    <col min="4" max="8" width="12.83203125" style="704" customWidth="1"/>
    <col min="9" max="9" width="13.83203125" style="704" customWidth="1"/>
    <col min="10" max="256" width="9.33203125" style="704"/>
    <col min="257" max="257" width="6.83203125" style="704" customWidth="1"/>
    <col min="258" max="258" width="49.6640625" style="704" customWidth="1"/>
    <col min="259" max="264" width="12.83203125" style="704" customWidth="1"/>
    <col min="265" max="265" width="13.83203125" style="704" customWidth="1"/>
    <col min="266" max="512" width="9.33203125" style="704"/>
    <col min="513" max="513" width="6.83203125" style="704" customWidth="1"/>
    <col min="514" max="514" width="49.6640625" style="704" customWidth="1"/>
    <col min="515" max="520" width="12.83203125" style="704" customWidth="1"/>
    <col min="521" max="521" width="13.83203125" style="704" customWidth="1"/>
    <col min="522" max="768" width="9.33203125" style="704"/>
    <col min="769" max="769" width="6.83203125" style="704" customWidth="1"/>
    <col min="770" max="770" width="49.6640625" style="704" customWidth="1"/>
    <col min="771" max="776" width="12.83203125" style="704" customWidth="1"/>
    <col min="777" max="777" width="13.83203125" style="704" customWidth="1"/>
    <col min="778" max="1024" width="9.33203125" style="704"/>
    <col min="1025" max="1025" width="6.83203125" style="704" customWidth="1"/>
    <col min="1026" max="1026" width="49.6640625" style="704" customWidth="1"/>
    <col min="1027" max="1032" width="12.83203125" style="704" customWidth="1"/>
    <col min="1033" max="1033" width="13.83203125" style="704" customWidth="1"/>
    <col min="1034" max="1280" width="9.33203125" style="704"/>
    <col min="1281" max="1281" width="6.83203125" style="704" customWidth="1"/>
    <col min="1282" max="1282" width="49.6640625" style="704" customWidth="1"/>
    <col min="1283" max="1288" width="12.83203125" style="704" customWidth="1"/>
    <col min="1289" max="1289" width="13.83203125" style="704" customWidth="1"/>
    <col min="1290" max="1536" width="9.33203125" style="704"/>
    <col min="1537" max="1537" width="6.83203125" style="704" customWidth="1"/>
    <col min="1538" max="1538" width="49.6640625" style="704" customWidth="1"/>
    <col min="1539" max="1544" width="12.83203125" style="704" customWidth="1"/>
    <col min="1545" max="1545" width="13.83203125" style="704" customWidth="1"/>
    <col min="1546" max="1792" width="9.33203125" style="704"/>
    <col min="1793" max="1793" width="6.83203125" style="704" customWidth="1"/>
    <col min="1794" max="1794" width="49.6640625" style="704" customWidth="1"/>
    <col min="1795" max="1800" width="12.83203125" style="704" customWidth="1"/>
    <col min="1801" max="1801" width="13.83203125" style="704" customWidth="1"/>
    <col min="1802" max="2048" width="9.33203125" style="704"/>
    <col min="2049" max="2049" width="6.83203125" style="704" customWidth="1"/>
    <col min="2050" max="2050" width="49.6640625" style="704" customWidth="1"/>
    <col min="2051" max="2056" width="12.83203125" style="704" customWidth="1"/>
    <col min="2057" max="2057" width="13.83203125" style="704" customWidth="1"/>
    <col min="2058" max="2304" width="9.33203125" style="704"/>
    <col min="2305" max="2305" width="6.83203125" style="704" customWidth="1"/>
    <col min="2306" max="2306" width="49.6640625" style="704" customWidth="1"/>
    <col min="2307" max="2312" width="12.83203125" style="704" customWidth="1"/>
    <col min="2313" max="2313" width="13.83203125" style="704" customWidth="1"/>
    <col min="2314" max="2560" width="9.33203125" style="704"/>
    <col min="2561" max="2561" width="6.83203125" style="704" customWidth="1"/>
    <col min="2562" max="2562" width="49.6640625" style="704" customWidth="1"/>
    <col min="2563" max="2568" width="12.83203125" style="704" customWidth="1"/>
    <col min="2569" max="2569" width="13.83203125" style="704" customWidth="1"/>
    <col min="2570" max="2816" width="9.33203125" style="704"/>
    <col min="2817" max="2817" width="6.83203125" style="704" customWidth="1"/>
    <col min="2818" max="2818" width="49.6640625" style="704" customWidth="1"/>
    <col min="2819" max="2824" width="12.83203125" style="704" customWidth="1"/>
    <col min="2825" max="2825" width="13.83203125" style="704" customWidth="1"/>
    <col min="2826" max="3072" width="9.33203125" style="704"/>
    <col min="3073" max="3073" width="6.83203125" style="704" customWidth="1"/>
    <col min="3074" max="3074" width="49.6640625" style="704" customWidth="1"/>
    <col min="3075" max="3080" width="12.83203125" style="704" customWidth="1"/>
    <col min="3081" max="3081" width="13.83203125" style="704" customWidth="1"/>
    <col min="3082" max="3328" width="9.33203125" style="704"/>
    <col min="3329" max="3329" width="6.83203125" style="704" customWidth="1"/>
    <col min="3330" max="3330" width="49.6640625" style="704" customWidth="1"/>
    <col min="3331" max="3336" width="12.83203125" style="704" customWidth="1"/>
    <col min="3337" max="3337" width="13.83203125" style="704" customWidth="1"/>
    <col min="3338" max="3584" width="9.33203125" style="704"/>
    <col min="3585" max="3585" width="6.83203125" style="704" customWidth="1"/>
    <col min="3586" max="3586" width="49.6640625" style="704" customWidth="1"/>
    <col min="3587" max="3592" width="12.83203125" style="704" customWidth="1"/>
    <col min="3593" max="3593" width="13.83203125" style="704" customWidth="1"/>
    <col min="3594" max="3840" width="9.33203125" style="704"/>
    <col min="3841" max="3841" width="6.83203125" style="704" customWidth="1"/>
    <col min="3842" max="3842" width="49.6640625" style="704" customWidth="1"/>
    <col min="3843" max="3848" width="12.83203125" style="704" customWidth="1"/>
    <col min="3849" max="3849" width="13.83203125" style="704" customWidth="1"/>
    <col min="3850" max="4096" width="9.33203125" style="704"/>
    <col min="4097" max="4097" width="6.83203125" style="704" customWidth="1"/>
    <col min="4098" max="4098" width="49.6640625" style="704" customWidth="1"/>
    <col min="4099" max="4104" width="12.83203125" style="704" customWidth="1"/>
    <col min="4105" max="4105" width="13.83203125" style="704" customWidth="1"/>
    <col min="4106" max="4352" width="9.33203125" style="704"/>
    <col min="4353" max="4353" width="6.83203125" style="704" customWidth="1"/>
    <col min="4354" max="4354" width="49.6640625" style="704" customWidth="1"/>
    <col min="4355" max="4360" width="12.83203125" style="704" customWidth="1"/>
    <col min="4361" max="4361" width="13.83203125" style="704" customWidth="1"/>
    <col min="4362" max="4608" width="9.33203125" style="704"/>
    <col min="4609" max="4609" width="6.83203125" style="704" customWidth="1"/>
    <col min="4610" max="4610" width="49.6640625" style="704" customWidth="1"/>
    <col min="4611" max="4616" width="12.83203125" style="704" customWidth="1"/>
    <col min="4617" max="4617" width="13.83203125" style="704" customWidth="1"/>
    <col min="4618" max="4864" width="9.33203125" style="704"/>
    <col min="4865" max="4865" width="6.83203125" style="704" customWidth="1"/>
    <col min="4866" max="4866" width="49.6640625" style="704" customWidth="1"/>
    <col min="4867" max="4872" width="12.83203125" style="704" customWidth="1"/>
    <col min="4873" max="4873" width="13.83203125" style="704" customWidth="1"/>
    <col min="4874" max="5120" width="9.33203125" style="704"/>
    <col min="5121" max="5121" width="6.83203125" style="704" customWidth="1"/>
    <col min="5122" max="5122" width="49.6640625" style="704" customWidth="1"/>
    <col min="5123" max="5128" width="12.83203125" style="704" customWidth="1"/>
    <col min="5129" max="5129" width="13.83203125" style="704" customWidth="1"/>
    <col min="5130" max="5376" width="9.33203125" style="704"/>
    <col min="5377" max="5377" width="6.83203125" style="704" customWidth="1"/>
    <col min="5378" max="5378" width="49.6640625" style="704" customWidth="1"/>
    <col min="5379" max="5384" width="12.83203125" style="704" customWidth="1"/>
    <col min="5385" max="5385" width="13.83203125" style="704" customWidth="1"/>
    <col min="5386" max="5632" width="9.33203125" style="704"/>
    <col min="5633" max="5633" width="6.83203125" style="704" customWidth="1"/>
    <col min="5634" max="5634" width="49.6640625" style="704" customWidth="1"/>
    <col min="5635" max="5640" width="12.83203125" style="704" customWidth="1"/>
    <col min="5641" max="5641" width="13.83203125" style="704" customWidth="1"/>
    <col min="5642" max="5888" width="9.33203125" style="704"/>
    <col min="5889" max="5889" width="6.83203125" style="704" customWidth="1"/>
    <col min="5890" max="5890" width="49.6640625" style="704" customWidth="1"/>
    <col min="5891" max="5896" width="12.83203125" style="704" customWidth="1"/>
    <col min="5897" max="5897" width="13.83203125" style="704" customWidth="1"/>
    <col min="5898" max="6144" width="9.33203125" style="704"/>
    <col min="6145" max="6145" width="6.83203125" style="704" customWidth="1"/>
    <col min="6146" max="6146" width="49.6640625" style="704" customWidth="1"/>
    <col min="6147" max="6152" width="12.83203125" style="704" customWidth="1"/>
    <col min="6153" max="6153" width="13.83203125" style="704" customWidth="1"/>
    <col min="6154" max="6400" width="9.33203125" style="704"/>
    <col min="6401" max="6401" width="6.83203125" style="704" customWidth="1"/>
    <col min="6402" max="6402" width="49.6640625" style="704" customWidth="1"/>
    <col min="6403" max="6408" width="12.83203125" style="704" customWidth="1"/>
    <col min="6409" max="6409" width="13.83203125" style="704" customWidth="1"/>
    <col min="6410" max="6656" width="9.33203125" style="704"/>
    <col min="6657" max="6657" width="6.83203125" style="704" customWidth="1"/>
    <col min="6658" max="6658" width="49.6640625" style="704" customWidth="1"/>
    <col min="6659" max="6664" width="12.83203125" style="704" customWidth="1"/>
    <col min="6665" max="6665" width="13.83203125" style="704" customWidth="1"/>
    <col min="6666" max="6912" width="9.33203125" style="704"/>
    <col min="6913" max="6913" width="6.83203125" style="704" customWidth="1"/>
    <col min="6914" max="6914" width="49.6640625" style="704" customWidth="1"/>
    <col min="6915" max="6920" width="12.83203125" style="704" customWidth="1"/>
    <col min="6921" max="6921" width="13.83203125" style="704" customWidth="1"/>
    <col min="6922" max="7168" width="9.33203125" style="704"/>
    <col min="7169" max="7169" width="6.83203125" style="704" customWidth="1"/>
    <col min="7170" max="7170" width="49.6640625" style="704" customWidth="1"/>
    <col min="7171" max="7176" width="12.83203125" style="704" customWidth="1"/>
    <col min="7177" max="7177" width="13.83203125" style="704" customWidth="1"/>
    <col min="7178" max="7424" width="9.33203125" style="704"/>
    <col min="7425" max="7425" width="6.83203125" style="704" customWidth="1"/>
    <col min="7426" max="7426" width="49.6640625" style="704" customWidth="1"/>
    <col min="7427" max="7432" width="12.83203125" style="704" customWidth="1"/>
    <col min="7433" max="7433" width="13.83203125" style="704" customWidth="1"/>
    <col min="7434" max="7680" width="9.33203125" style="704"/>
    <col min="7681" max="7681" width="6.83203125" style="704" customWidth="1"/>
    <col min="7682" max="7682" width="49.6640625" style="704" customWidth="1"/>
    <col min="7683" max="7688" width="12.83203125" style="704" customWidth="1"/>
    <col min="7689" max="7689" width="13.83203125" style="704" customWidth="1"/>
    <col min="7690" max="7936" width="9.33203125" style="704"/>
    <col min="7937" max="7937" width="6.83203125" style="704" customWidth="1"/>
    <col min="7938" max="7938" width="49.6640625" style="704" customWidth="1"/>
    <col min="7939" max="7944" width="12.83203125" style="704" customWidth="1"/>
    <col min="7945" max="7945" width="13.83203125" style="704" customWidth="1"/>
    <col min="7946" max="8192" width="9.33203125" style="704"/>
    <col min="8193" max="8193" width="6.83203125" style="704" customWidth="1"/>
    <col min="8194" max="8194" width="49.6640625" style="704" customWidth="1"/>
    <col min="8195" max="8200" width="12.83203125" style="704" customWidth="1"/>
    <col min="8201" max="8201" width="13.83203125" style="704" customWidth="1"/>
    <col min="8202" max="8448" width="9.33203125" style="704"/>
    <col min="8449" max="8449" width="6.83203125" style="704" customWidth="1"/>
    <col min="8450" max="8450" width="49.6640625" style="704" customWidth="1"/>
    <col min="8451" max="8456" width="12.83203125" style="704" customWidth="1"/>
    <col min="8457" max="8457" width="13.83203125" style="704" customWidth="1"/>
    <col min="8458" max="8704" width="9.33203125" style="704"/>
    <col min="8705" max="8705" width="6.83203125" style="704" customWidth="1"/>
    <col min="8706" max="8706" width="49.6640625" style="704" customWidth="1"/>
    <col min="8707" max="8712" width="12.83203125" style="704" customWidth="1"/>
    <col min="8713" max="8713" width="13.83203125" style="704" customWidth="1"/>
    <col min="8714" max="8960" width="9.33203125" style="704"/>
    <col min="8961" max="8961" width="6.83203125" style="704" customWidth="1"/>
    <col min="8962" max="8962" width="49.6640625" style="704" customWidth="1"/>
    <col min="8963" max="8968" width="12.83203125" style="704" customWidth="1"/>
    <col min="8969" max="8969" width="13.83203125" style="704" customWidth="1"/>
    <col min="8970" max="9216" width="9.33203125" style="704"/>
    <col min="9217" max="9217" width="6.83203125" style="704" customWidth="1"/>
    <col min="9218" max="9218" width="49.6640625" style="704" customWidth="1"/>
    <col min="9219" max="9224" width="12.83203125" style="704" customWidth="1"/>
    <col min="9225" max="9225" width="13.83203125" style="704" customWidth="1"/>
    <col min="9226" max="9472" width="9.33203125" style="704"/>
    <col min="9473" max="9473" width="6.83203125" style="704" customWidth="1"/>
    <col min="9474" max="9474" width="49.6640625" style="704" customWidth="1"/>
    <col min="9475" max="9480" width="12.83203125" style="704" customWidth="1"/>
    <col min="9481" max="9481" width="13.83203125" style="704" customWidth="1"/>
    <col min="9482" max="9728" width="9.33203125" style="704"/>
    <col min="9729" max="9729" width="6.83203125" style="704" customWidth="1"/>
    <col min="9730" max="9730" width="49.6640625" style="704" customWidth="1"/>
    <col min="9731" max="9736" width="12.83203125" style="704" customWidth="1"/>
    <col min="9737" max="9737" width="13.83203125" style="704" customWidth="1"/>
    <col min="9738" max="9984" width="9.33203125" style="704"/>
    <col min="9985" max="9985" width="6.83203125" style="704" customWidth="1"/>
    <col min="9986" max="9986" width="49.6640625" style="704" customWidth="1"/>
    <col min="9987" max="9992" width="12.83203125" style="704" customWidth="1"/>
    <col min="9993" max="9993" width="13.83203125" style="704" customWidth="1"/>
    <col min="9994" max="10240" width="9.33203125" style="704"/>
    <col min="10241" max="10241" width="6.83203125" style="704" customWidth="1"/>
    <col min="10242" max="10242" width="49.6640625" style="704" customWidth="1"/>
    <col min="10243" max="10248" width="12.83203125" style="704" customWidth="1"/>
    <col min="10249" max="10249" width="13.83203125" style="704" customWidth="1"/>
    <col min="10250" max="10496" width="9.33203125" style="704"/>
    <col min="10497" max="10497" width="6.83203125" style="704" customWidth="1"/>
    <col min="10498" max="10498" width="49.6640625" style="704" customWidth="1"/>
    <col min="10499" max="10504" width="12.83203125" style="704" customWidth="1"/>
    <col min="10505" max="10505" width="13.83203125" style="704" customWidth="1"/>
    <col min="10506" max="10752" width="9.33203125" style="704"/>
    <col min="10753" max="10753" width="6.83203125" style="704" customWidth="1"/>
    <col min="10754" max="10754" width="49.6640625" style="704" customWidth="1"/>
    <col min="10755" max="10760" width="12.83203125" style="704" customWidth="1"/>
    <col min="10761" max="10761" width="13.83203125" style="704" customWidth="1"/>
    <col min="10762" max="11008" width="9.33203125" style="704"/>
    <col min="11009" max="11009" width="6.83203125" style="704" customWidth="1"/>
    <col min="11010" max="11010" width="49.6640625" style="704" customWidth="1"/>
    <col min="11011" max="11016" width="12.83203125" style="704" customWidth="1"/>
    <col min="11017" max="11017" width="13.83203125" style="704" customWidth="1"/>
    <col min="11018" max="11264" width="9.33203125" style="704"/>
    <col min="11265" max="11265" width="6.83203125" style="704" customWidth="1"/>
    <col min="11266" max="11266" width="49.6640625" style="704" customWidth="1"/>
    <col min="11267" max="11272" width="12.83203125" style="704" customWidth="1"/>
    <col min="11273" max="11273" width="13.83203125" style="704" customWidth="1"/>
    <col min="11274" max="11520" width="9.33203125" style="704"/>
    <col min="11521" max="11521" width="6.83203125" style="704" customWidth="1"/>
    <col min="11522" max="11522" width="49.6640625" style="704" customWidth="1"/>
    <col min="11523" max="11528" width="12.83203125" style="704" customWidth="1"/>
    <col min="11529" max="11529" width="13.83203125" style="704" customWidth="1"/>
    <col min="11530" max="11776" width="9.33203125" style="704"/>
    <col min="11777" max="11777" width="6.83203125" style="704" customWidth="1"/>
    <col min="11778" max="11778" width="49.6640625" style="704" customWidth="1"/>
    <col min="11779" max="11784" width="12.83203125" style="704" customWidth="1"/>
    <col min="11785" max="11785" width="13.83203125" style="704" customWidth="1"/>
    <col min="11786" max="12032" width="9.33203125" style="704"/>
    <col min="12033" max="12033" width="6.83203125" style="704" customWidth="1"/>
    <col min="12034" max="12034" width="49.6640625" style="704" customWidth="1"/>
    <col min="12035" max="12040" width="12.83203125" style="704" customWidth="1"/>
    <col min="12041" max="12041" width="13.83203125" style="704" customWidth="1"/>
    <col min="12042" max="12288" width="9.33203125" style="704"/>
    <col min="12289" max="12289" width="6.83203125" style="704" customWidth="1"/>
    <col min="12290" max="12290" width="49.6640625" style="704" customWidth="1"/>
    <col min="12291" max="12296" width="12.83203125" style="704" customWidth="1"/>
    <col min="12297" max="12297" width="13.83203125" style="704" customWidth="1"/>
    <col min="12298" max="12544" width="9.33203125" style="704"/>
    <col min="12545" max="12545" width="6.83203125" style="704" customWidth="1"/>
    <col min="12546" max="12546" width="49.6640625" style="704" customWidth="1"/>
    <col min="12547" max="12552" width="12.83203125" style="704" customWidth="1"/>
    <col min="12553" max="12553" width="13.83203125" style="704" customWidth="1"/>
    <col min="12554" max="12800" width="9.33203125" style="704"/>
    <col min="12801" max="12801" width="6.83203125" style="704" customWidth="1"/>
    <col min="12802" max="12802" width="49.6640625" style="704" customWidth="1"/>
    <col min="12803" max="12808" width="12.83203125" style="704" customWidth="1"/>
    <col min="12809" max="12809" width="13.83203125" style="704" customWidth="1"/>
    <col min="12810" max="13056" width="9.33203125" style="704"/>
    <col min="13057" max="13057" width="6.83203125" style="704" customWidth="1"/>
    <col min="13058" max="13058" width="49.6640625" style="704" customWidth="1"/>
    <col min="13059" max="13064" width="12.83203125" style="704" customWidth="1"/>
    <col min="13065" max="13065" width="13.83203125" style="704" customWidth="1"/>
    <col min="13066" max="13312" width="9.33203125" style="704"/>
    <col min="13313" max="13313" width="6.83203125" style="704" customWidth="1"/>
    <col min="13314" max="13314" width="49.6640625" style="704" customWidth="1"/>
    <col min="13315" max="13320" width="12.83203125" style="704" customWidth="1"/>
    <col min="13321" max="13321" width="13.83203125" style="704" customWidth="1"/>
    <col min="13322" max="13568" width="9.33203125" style="704"/>
    <col min="13569" max="13569" width="6.83203125" style="704" customWidth="1"/>
    <col min="13570" max="13570" width="49.6640625" style="704" customWidth="1"/>
    <col min="13571" max="13576" width="12.83203125" style="704" customWidth="1"/>
    <col min="13577" max="13577" width="13.83203125" style="704" customWidth="1"/>
    <col min="13578" max="13824" width="9.33203125" style="704"/>
    <col min="13825" max="13825" width="6.83203125" style="704" customWidth="1"/>
    <col min="13826" max="13826" width="49.6640625" style="704" customWidth="1"/>
    <col min="13827" max="13832" width="12.83203125" style="704" customWidth="1"/>
    <col min="13833" max="13833" width="13.83203125" style="704" customWidth="1"/>
    <col min="13834" max="14080" width="9.33203125" style="704"/>
    <col min="14081" max="14081" width="6.83203125" style="704" customWidth="1"/>
    <col min="14082" max="14082" width="49.6640625" style="704" customWidth="1"/>
    <col min="14083" max="14088" width="12.83203125" style="704" customWidth="1"/>
    <col min="14089" max="14089" width="13.83203125" style="704" customWidth="1"/>
    <col min="14090" max="14336" width="9.33203125" style="704"/>
    <col min="14337" max="14337" width="6.83203125" style="704" customWidth="1"/>
    <col min="14338" max="14338" width="49.6640625" style="704" customWidth="1"/>
    <col min="14339" max="14344" width="12.83203125" style="704" customWidth="1"/>
    <col min="14345" max="14345" width="13.83203125" style="704" customWidth="1"/>
    <col min="14346" max="14592" width="9.33203125" style="704"/>
    <col min="14593" max="14593" width="6.83203125" style="704" customWidth="1"/>
    <col min="14594" max="14594" width="49.6640625" style="704" customWidth="1"/>
    <col min="14595" max="14600" width="12.83203125" style="704" customWidth="1"/>
    <col min="14601" max="14601" width="13.83203125" style="704" customWidth="1"/>
    <col min="14602" max="14848" width="9.33203125" style="704"/>
    <col min="14849" max="14849" width="6.83203125" style="704" customWidth="1"/>
    <col min="14850" max="14850" width="49.6640625" style="704" customWidth="1"/>
    <col min="14851" max="14856" width="12.83203125" style="704" customWidth="1"/>
    <col min="14857" max="14857" width="13.83203125" style="704" customWidth="1"/>
    <col min="14858" max="15104" width="9.33203125" style="704"/>
    <col min="15105" max="15105" width="6.83203125" style="704" customWidth="1"/>
    <col min="15106" max="15106" width="49.6640625" style="704" customWidth="1"/>
    <col min="15107" max="15112" width="12.83203125" style="704" customWidth="1"/>
    <col min="15113" max="15113" width="13.83203125" style="704" customWidth="1"/>
    <col min="15114" max="15360" width="9.33203125" style="704"/>
    <col min="15361" max="15361" width="6.83203125" style="704" customWidth="1"/>
    <col min="15362" max="15362" width="49.6640625" style="704" customWidth="1"/>
    <col min="15363" max="15368" width="12.83203125" style="704" customWidth="1"/>
    <col min="15369" max="15369" width="13.83203125" style="704" customWidth="1"/>
    <col min="15370" max="15616" width="9.33203125" style="704"/>
    <col min="15617" max="15617" width="6.83203125" style="704" customWidth="1"/>
    <col min="15618" max="15618" width="49.6640625" style="704" customWidth="1"/>
    <col min="15619" max="15624" width="12.83203125" style="704" customWidth="1"/>
    <col min="15625" max="15625" width="13.83203125" style="704" customWidth="1"/>
    <col min="15626" max="15872" width="9.33203125" style="704"/>
    <col min="15873" max="15873" width="6.83203125" style="704" customWidth="1"/>
    <col min="15874" max="15874" width="49.6640625" style="704" customWidth="1"/>
    <col min="15875" max="15880" width="12.83203125" style="704" customWidth="1"/>
    <col min="15881" max="15881" width="13.83203125" style="704" customWidth="1"/>
    <col min="15882" max="16128" width="9.33203125" style="704"/>
    <col min="16129" max="16129" width="6.83203125" style="704" customWidth="1"/>
    <col min="16130" max="16130" width="49.6640625" style="704" customWidth="1"/>
    <col min="16131" max="16136" width="12.83203125" style="704" customWidth="1"/>
    <col min="16137" max="16137" width="13.83203125" style="704" customWidth="1"/>
    <col min="16138" max="16384" width="9.33203125" style="704"/>
  </cols>
  <sheetData>
    <row r="1" spans="1:9" x14ac:dyDescent="0.2">
      <c r="A1" s="1514" t="str">
        <f>CONCATENATE("37. melléklet ",ALAPADATOK!A7," ",ALAPADATOK!B7," ",ALAPADATOK!C7," ",ALAPADATOK!D7," ",ALAPADATOK!E7," ",ALAPADATOK!F7," ",ALAPADATOK!G7," ",ALAPADATOK!H7)</f>
        <v>37. melléklet a .. / 2022. ( …... ) önkormányzati rendelethez</v>
      </c>
      <c r="B1" s="1514"/>
      <c r="C1" s="1514"/>
      <c r="D1" s="1514"/>
      <c r="E1" s="1514"/>
      <c r="F1" s="1514"/>
      <c r="G1" s="1514"/>
      <c r="H1" s="1514"/>
      <c r="I1" s="1514"/>
    </row>
    <row r="2" spans="1:9" x14ac:dyDescent="0.2">
      <c r="G2" s="1523" t="s">
        <v>1025</v>
      </c>
      <c r="H2" s="1523"/>
      <c r="I2" s="1523"/>
    </row>
    <row r="3" spans="1:9" ht="27.75" customHeight="1" x14ac:dyDescent="0.2">
      <c r="A3" s="1515" t="s">
        <v>7</v>
      </c>
      <c r="B3" s="1515"/>
      <c r="C3" s="1515"/>
      <c r="D3" s="1515"/>
      <c r="E3" s="1515"/>
      <c r="F3" s="1515"/>
      <c r="G3" s="1515"/>
      <c r="H3" s="1515"/>
      <c r="I3" s="1515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16" t="s">
        <v>63</v>
      </c>
      <c r="B5" s="1518" t="s">
        <v>71</v>
      </c>
      <c r="C5" s="1516" t="s">
        <v>72</v>
      </c>
      <c r="D5" s="1516" t="s">
        <v>999</v>
      </c>
      <c r="E5" s="1520" t="s">
        <v>62</v>
      </c>
      <c r="F5" s="1521"/>
      <c r="G5" s="1521"/>
      <c r="H5" s="1522"/>
      <c r="I5" s="1518" t="s">
        <v>48</v>
      </c>
    </row>
    <row r="6" spans="1:9" s="229" customFormat="1" ht="17.25" customHeight="1" thickBot="1" x14ac:dyDescent="0.25">
      <c r="A6" s="1517"/>
      <c r="B6" s="1519"/>
      <c r="C6" s="1519"/>
      <c r="D6" s="1517"/>
      <c r="E6" s="785">
        <v>2022</v>
      </c>
      <c r="F6" s="785">
        <v>2023</v>
      </c>
      <c r="G6" s="785">
        <v>2024</v>
      </c>
      <c r="H6" s="786" t="s">
        <v>1000</v>
      </c>
      <c r="I6" s="1519"/>
    </row>
    <row r="7" spans="1:9" s="230" customFormat="1" ht="18" customHeight="1" thickBot="1" x14ac:dyDescent="0.25">
      <c r="A7" s="787">
        <v>1</v>
      </c>
      <c r="B7" s="788">
        <v>2</v>
      </c>
      <c r="C7" s="789">
        <v>3</v>
      </c>
      <c r="D7" s="790">
        <v>4</v>
      </c>
      <c r="E7" s="787">
        <v>5</v>
      </c>
      <c r="F7" s="791">
        <v>6</v>
      </c>
      <c r="G7" s="791">
        <v>7</v>
      </c>
      <c r="H7" s="792">
        <v>8</v>
      </c>
      <c r="I7" s="793" t="s">
        <v>73</v>
      </c>
    </row>
    <row r="8" spans="1:9" ht="24.75" customHeight="1" thickBot="1" x14ac:dyDescent="0.25">
      <c r="A8" s="794" t="s">
        <v>16</v>
      </c>
      <c r="B8" s="795" t="s">
        <v>707</v>
      </c>
      <c r="C8" s="1314">
        <v>0</v>
      </c>
      <c r="D8" s="796">
        <v>0</v>
      </c>
      <c r="E8" s="796">
        <v>0</v>
      </c>
      <c r="F8" s="796">
        <v>0</v>
      </c>
      <c r="G8" s="796">
        <v>0</v>
      </c>
      <c r="H8" s="796">
        <v>0</v>
      </c>
      <c r="I8" s="797">
        <v>0</v>
      </c>
    </row>
    <row r="9" spans="1:9" ht="24.75" customHeight="1" thickBot="1" x14ac:dyDescent="0.25">
      <c r="A9" s="798" t="s">
        <v>17</v>
      </c>
      <c r="B9" s="799" t="s">
        <v>1001</v>
      </c>
      <c r="C9" s="800">
        <v>2022</v>
      </c>
      <c r="D9" s="801">
        <v>0</v>
      </c>
      <c r="E9" s="801">
        <v>0</v>
      </c>
      <c r="F9" s="801">
        <v>0</v>
      </c>
      <c r="G9" s="801">
        <v>0</v>
      </c>
      <c r="H9" s="801">
        <v>0</v>
      </c>
      <c r="I9" s="797">
        <v>0</v>
      </c>
    </row>
    <row r="10" spans="1:9" ht="24" customHeight="1" thickBot="1" x14ac:dyDescent="0.25">
      <c r="A10" s="802" t="s">
        <v>18</v>
      </c>
      <c r="B10" s="803" t="s">
        <v>8</v>
      </c>
      <c r="C10" s="804"/>
      <c r="D10" s="805"/>
      <c r="E10" s="805"/>
      <c r="F10" s="805"/>
      <c r="G10" s="805"/>
      <c r="H10" s="806"/>
      <c r="I10" s="807"/>
    </row>
    <row r="11" spans="1:9" ht="22.5" x14ac:dyDescent="0.2">
      <c r="A11" s="808" t="s">
        <v>19</v>
      </c>
      <c r="B11" s="723" t="s">
        <v>497</v>
      </c>
      <c r="C11" s="809">
        <v>2016</v>
      </c>
      <c r="D11" s="810">
        <v>5888000</v>
      </c>
      <c r="E11" s="811">
        <v>1472000</v>
      </c>
      <c r="F11" s="811">
        <v>1472000</v>
      </c>
      <c r="G11" s="811">
        <v>1471000</v>
      </c>
      <c r="H11" s="812">
        <v>0</v>
      </c>
      <c r="I11" s="813">
        <f t="shared" ref="I11:I21" si="0">SUM(D11:H11)</f>
        <v>10303000</v>
      </c>
    </row>
    <row r="12" spans="1:9" x14ac:dyDescent="0.2">
      <c r="A12" s="808" t="s">
        <v>20</v>
      </c>
      <c r="B12" s="723" t="s">
        <v>708</v>
      </c>
      <c r="C12" s="809">
        <v>2017</v>
      </c>
      <c r="D12" s="810">
        <f>14820000</f>
        <v>14820000</v>
      </c>
      <c r="E12" s="810">
        <v>4940000</v>
      </c>
      <c r="F12" s="810">
        <v>4940000</v>
      </c>
      <c r="G12" s="810">
        <v>4940000</v>
      </c>
      <c r="H12" s="810">
        <v>11461155</v>
      </c>
      <c r="I12" s="813">
        <f t="shared" si="0"/>
        <v>41101155</v>
      </c>
    </row>
    <row r="13" spans="1:9" ht="22.5" x14ac:dyDescent="0.2">
      <c r="A13" s="808" t="s">
        <v>21</v>
      </c>
      <c r="B13" s="723" t="s">
        <v>501</v>
      </c>
      <c r="C13" s="809">
        <v>2017</v>
      </c>
      <c r="D13" s="810">
        <v>4392000</v>
      </c>
      <c r="E13" s="810">
        <v>1108000</v>
      </c>
      <c r="F13" s="810">
        <v>0</v>
      </c>
      <c r="G13" s="810">
        <v>0</v>
      </c>
      <c r="H13" s="810">
        <v>0</v>
      </c>
      <c r="I13" s="813">
        <f t="shared" si="0"/>
        <v>5500000</v>
      </c>
    </row>
    <row r="14" spans="1:9" s="1223" customFormat="1" x14ac:dyDescent="0.2">
      <c r="A14" s="808" t="s">
        <v>22</v>
      </c>
      <c r="B14" s="723" t="s">
        <v>508</v>
      </c>
      <c r="C14" s="809">
        <v>2018</v>
      </c>
      <c r="D14" s="810">
        <v>3669008</v>
      </c>
      <c r="E14" s="810">
        <v>1834504</v>
      </c>
      <c r="F14" s="810">
        <v>1834504</v>
      </c>
      <c r="G14" s="811">
        <v>1704746</v>
      </c>
      <c r="H14" s="810">
        <v>0</v>
      </c>
      <c r="I14" s="813">
        <f>SUM(D14:H14)</f>
        <v>9042762</v>
      </c>
    </row>
    <row r="15" spans="1:9" x14ac:dyDescent="0.2">
      <c r="A15" s="808" t="s">
        <v>23</v>
      </c>
      <c r="B15" s="723" t="s">
        <v>506</v>
      </c>
      <c r="C15" s="809">
        <v>2018</v>
      </c>
      <c r="D15" s="724">
        <v>2460000</v>
      </c>
      <c r="E15" s="811">
        <v>741452</v>
      </c>
      <c r="F15" s="811">
        <v>0</v>
      </c>
      <c r="G15" s="811">
        <v>0</v>
      </c>
      <c r="H15" s="810">
        <v>0</v>
      </c>
      <c r="I15" s="813">
        <f t="shared" si="0"/>
        <v>3201452</v>
      </c>
    </row>
    <row r="16" spans="1:9" x14ac:dyDescent="0.2">
      <c r="A16" s="808" t="s">
        <v>24</v>
      </c>
      <c r="B16" s="723" t="s">
        <v>505</v>
      </c>
      <c r="C16" s="809">
        <v>2018</v>
      </c>
      <c r="D16" s="724">
        <v>2857500</v>
      </c>
      <c r="E16" s="811">
        <v>1270000</v>
      </c>
      <c r="F16" s="811">
        <v>741242</v>
      </c>
      <c r="G16" s="811">
        <v>0</v>
      </c>
      <c r="H16" s="810">
        <v>0</v>
      </c>
      <c r="I16" s="813">
        <f t="shared" si="0"/>
        <v>4868742</v>
      </c>
    </row>
    <row r="17" spans="1:10" ht="22.5" x14ac:dyDescent="0.2">
      <c r="A17" s="808" t="s">
        <v>25</v>
      </c>
      <c r="B17" s="723" t="s">
        <v>507</v>
      </c>
      <c r="C17" s="809">
        <v>2018</v>
      </c>
      <c r="D17" s="724">
        <v>4170000</v>
      </c>
      <c r="E17" s="811">
        <v>1668000</v>
      </c>
      <c r="F17" s="811">
        <v>1668000</v>
      </c>
      <c r="G17" s="811">
        <v>1668000</v>
      </c>
      <c r="H17" s="810">
        <v>721526</v>
      </c>
      <c r="I17" s="813">
        <f t="shared" si="0"/>
        <v>9895526</v>
      </c>
    </row>
    <row r="18" spans="1:10" x14ac:dyDescent="0.2">
      <c r="A18" s="808" t="s">
        <v>26</v>
      </c>
      <c r="B18" s="723" t="s">
        <v>508</v>
      </c>
      <c r="C18" s="809">
        <v>2018</v>
      </c>
      <c r="D18" s="810">
        <v>1834504</v>
      </c>
      <c r="E18" s="810">
        <v>1834504</v>
      </c>
      <c r="F18" s="810">
        <v>1834504</v>
      </c>
      <c r="G18" s="811">
        <v>1834504</v>
      </c>
      <c r="H18" s="810">
        <v>1704746</v>
      </c>
      <c r="I18" s="813">
        <f t="shared" si="0"/>
        <v>9042762</v>
      </c>
    </row>
    <row r="19" spans="1:10" x14ac:dyDescent="0.2">
      <c r="A19" s="808" t="s">
        <v>27</v>
      </c>
      <c r="B19" s="814" t="s">
        <v>584</v>
      </c>
      <c r="C19" s="815">
        <v>2018</v>
      </c>
      <c r="D19" s="816">
        <v>5555200</v>
      </c>
      <c r="E19" s="816">
        <v>2777600</v>
      </c>
      <c r="F19" s="816">
        <v>2777600</v>
      </c>
      <c r="G19" s="816">
        <v>2777600</v>
      </c>
      <c r="H19" s="816">
        <v>11112000</v>
      </c>
      <c r="I19" s="813">
        <f t="shared" si="0"/>
        <v>25000000</v>
      </c>
    </row>
    <row r="20" spans="1:10" s="1223" customFormat="1" ht="22.5" x14ac:dyDescent="0.2">
      <c r="A20" s="808" t="s">
        <v>28</v>
      </c>
      <c r="B20" s="820" t="s">
        <v>586</v>
      </c>
      <c r="C20" s="809">
        <v>2019</v>
      </c>
      <c r="D20" s="810">
        <v>4500000</v>
      </c>
      <c r="E20" s="810">
        <v>3600000</v>
      </c>
      <c r="F20" s="810">
        <v>3600000</v>
      </c>
      <c r="G20" s="810">
        <v>3600000</v>
      </c>
      <c r="H20" s="810">
        <v>2009597</v>
      </c>
      <c r="I20" s="821">
        <f>SUM(D20:H20)</f>
        <v>17309597</v>
      </c>
    </row>
    <row r="21" spans="1:10" x14ac:dyDescent="0.2">
      <c r="A21" s="808" t="s">
        <v>29</v>
      </c>
      <c r="B21" s="817" t="s">
        <v>585</v>
      </c>
      <c r="C21" s="818">
        <v>2019</v>
      </c>
      <c r="D21" s="819">
        <v>1524000</v>
      </c>
      <c r="E21" s="819">
        <v>1016000</v>
      </c>
      <c r="F21" s="819">
        <v>1016000</v>
      </c>
      <c r="G21" s="819">
        <v>453644</v>
      </c>
      <c r="H21" s="819">
        <v>0</v>
      </c>
      <c r="I21" s="813">
        <f t="shared" si="0"/>
        <v>4009644</v>
      </c>
    </row>
    <row r="22" spans="1:10" x14ac:dyDescent="0.2">
      <c r="A22" s="808" t="s">
        <v>30</v>
      </c>
      <c r="B22" s="982" t="s">
        <v>847</v>
      </c>
      <c r="C22" s="809">
        <v>2020</v>
      </c>
      <c r="D22" s="810">
        <v>0</v>
      </c>
      <c r="E22" s="810">
        <v>2300740</v>
      </c>
      <c r="F22" s="810">
        <v>2300740</v>
      </c>
      <c r="G22" s="810">
        <v>2300740</v>
      </c>
      <c r="H22" s="810">
        <v>4600561</v>
      </c>
      <c r="I22" s="821">
        <f>SUM(D22:H22)</f>
        <v>11502781</v>
      </c>
      <c r="J22" s="231"/>
    </row>
    <row r="23" spans="1:10" x14ac:dyDescent="0.2">
      <c r="A23" s="808" t="s">
        <v>31</v>
      </c>
      <c r="B23" s="982" t="s">
        <v>861</v>
      </c>
      <c r="C23" s="809">
        <v>2021</v>
      </c>
      <c r="D23" s="810">
        <v>0</v>
      </c>
      <c r="E23" s="810">
        <v>0</v>
      </c>
      <c r="F23" s="810">
        <v>1568620</v>
      </c>
      <c r="G23" s="810">
        <v>1568620</v>
      </c>
      <c r="H23" s="810">
        <v>3921584</v>
      </c>
      <c r="I23" s="821">
        <f>SUM(D23:H23)</f>
        <v>7058824</v>
      </c>
    </row>
    <row r="24" spans="1:10" s="1223" customFormat="1" ht="22.5" x14ac:dyDescent="0.2">
      <c r="A24" s="1316" t="s">
        <v>32</v>
      </c>
      <c r="B24" s="1313" t="s">
        <v>934</v>
      </c>
      <c r="C24" s="818">
        <v>2021</v>
      </c>
      <c r="D24" s="819">
        <v>0</v>
      </c>
      <c r="E24" s="819">
        <v>0</v>
      </c>
      <c r="F24" s="819">
        <v>13750000</v>
      </c>
      <c r="G24" s="819">
        <v>13750000</v>
      </c>
      <c r="H24" s="819">
        <v>139500000</v>
      </c>
      <c r="I24" s="1312">
        <f>SUM(D24:H24)</f>
        <v>167000000</v>
      </c>
    </row>
    <row r="25" spans="1:10" s="1223" customFormat="1" ht="13.5" thickBot="1" x14ac:dyDescent="0.25">
      <c r="A25" s="1315" t="s">
        <v>33</v>
      </c>
      <c r="B25" s="982" t="s">
        <v>1002</v>
      </c>
      <c r="C25" s="809">
        <v>2022</v>
      </c>
      <c r="D25" s="810">
        <v>0</v>
      </c>
      <c r="E25" s="810">
        <v>0</v>
      </c>
      <c r="F25" s="810">
        <v>0</v>
      </c>
      <c r="G25" s="810">
        <v>2280000</v>
      </c>
      <c r="H25" s="810">
        <v>11394426</v>
      </c>
      <c r="I25" s="821">
        <f>SUM(D25:H25)</f>
        <v>13674426</v>
      </c>
    </row>
    <row r="26" spans="1:10" ht="13.5" thickBot="1" x14ac:dyDescent="0.25">
      <c r="A26" s="1512" t="s">
        <v>49</v>
      </c>
      <c r="B26" s="1513"/>
      <c r="C26" s="822"/>
      <c r="D26" s="807">
        <f t="shared" ref="D26:I26" si="1">SUM(D11:D25)</f>
        <v>51670212</v>
      </c>
      <c r="E26" s="807">
        <f t="shared" si="1"/>
        <v>24562800</v>
      </c>
      <c r="F26" s="807">
        <f t="shared" si="1"/>
        <v>37503210</v>
      </c>
      <c r="G26" s="807">
        <f t="shared" si="1"/>
        <v>38348854</v>
      </c>
      <c r="H26" s="807">
        <f t="shared" si="1"/>
        <v>186425595</v>
      </c>
      <c r="I26" s="807">
        <f t="shared" si="1"/>
        <v>338510671</v>
      </c>
    </row>
    <row r="27" spans="1:10" ht="15" x14ac:dyDescent="0.25">
      <c r="B27" s="665" t="s">
        <v>848</v>
      </c>
      <c r="C27" s="583"/>
      <c r="D27" s="665"/>
      <c r="E27" s="665"/>
      <c r="F27" s="665"/>
      <c r="G27" s="665"/>
      <c r="H27" s="665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5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5"/>
    </row>
    <row r="44" spans="2:4" x14ac:dyDescent="0.2">
      <c r="C44" s="585"/>
      <c r="D44" s="705"/>
    </row>
    <row r="45" spans="2:4" x14ac:dyDescent="0.2">
      <c r="C45" s="585"/>
      <c r="D45" s="705"/>
    </row>
    <row r="47" spans="2:4" x14ac:dyDescent="0.2">
      <c r="B47" s="234"/>
      <c r="C47" s="586"/>
    </row>
    <row r="48" spans="2:4" x14ac:dyDescent="0.2">
      <c r="D48" s="705"/>
    </row>
    <row r="49" spans="4:4" x14ac:dyDescent="0.2">
      <c r="D49" s="705"/>
    </row>
    <row r="50" spans="4:4" x14ac:dyDescent="0.2">
      <c r="D50" s="705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15" zoomScaleNormal="115" zoomScaleSheetLayoutView="100" workbookViewId="0">
      <selection activeCell="D1" sqref="D1:J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8" hidden="1" customWidth="1"/>
    <col min="9" max="9" width="15.33203125" style="181" hidden="1" customWidth="1"/>
    <col min="10" max="10" width="9.33203125" style="181" hidden="1" customWidth="1"/>
    <col min="11" max="12" width="9.33203125" style="181" customWidth="1"/>
    <col min="13" max="16384" width="9.33203125" style="181"/>
  </cols>
  <sheetData>
    <row r="1" spans="1:9" s="650" customFormat="1" x14ac:dyDescent="0.25">
      <c r="A1" s="1417" t="str">
        <f>CONCATENATE("3. melléklet"," ",ALAPADATOK!A7," ",ALAPADATOK!B7," ",ALAPADATOK!C7," ",ALAPADATOK!D7," ",ALAPADATOK!E7," ",ALAPADATOK!F7," ",ALAPADATOK!G7," ",ALAPADATOK!H7)</f>
        <v>3. melléklet a .. / 2022. ( …... ) önkormányzati rendelethez</v>
      </c>
      <c r="B1" s="1417"/>
      <c r="C1" s="1417"/>
      <c r="F1" s="738"/>
      <c r="G1" s="738"/>
      <c r="H1" s="738"/>
    </row>
    <row r="2" spans="1:9" s="738" customFormat="1" x14ac:dyDescent="0.25">
      <c r="A2" s="664"/>
      <c r="B2" s="664"/>
      <c r="C2" s="664"/>
    </row>
    <row r="3" spans="1:9" s="650" customFormat="1" x14ac:dyDescent="0.25">
      <c r="A3" s="1422" t="str">
        <f>CONCATENATE(ALAPADATOK!A3)</f>
        <v>Tiszavasvári Város Önkormányzat</v>
      </c>
      <c r="B3" s="1422"/>
      <c r="C3" s="1422"/>
      <c r="F3" s="738"/>
      <c r="G3" s="738"/>
      <c r="H3" s="738"/>
    </row>
    <row r="4" spans="1:9" s="650" customFormat="1" x14ac:dyDescent="0.25">
      <c r="A4" s="1421" t="str">
        <f>CONCATENATE(ALAPADATOK!D7," ÉVI KÖLTSÉGVETÉS")</f>
        <v>2022. ÉVI KÖLTSÉGVETÉS</v>
      </c>
      <c r="B4" s="1421"/>
      <c r="C4" s="1421"/>
      <c r="F4" s="738"/>
      <c r="G4" s="738"/>
      <c r="H4" s="738"/>
    </row>
    <row r="5" spans="1:9" s="650" customFormat="1" x14ac:dyDescent="0.25">
      <c r="A5" s="1421" t="s">
        <v>679</v>
      </c>
      <c r="B5" s="1421"/>
      <c r="C5" s="1421"/>
      <c r="F5" s="738"/>
      <c r="G5" s="738"/>
      <c r="H5" s="738"/>
    </row>
    <row r="6" spans="1:9" s="650" customFormat="1" x14ac:dyDescent="0.25">
      <c r="A6" s="649"/>
      <c r="B6" s="649"/>
      <c r="C6" s="292"/>
      <c r="F6" s="738"/>
      <c r="G6" s="738"/>
      <c r="H6" s="738"/>
    </row>
    <row r="7" spans="1:9" ht="15.95" customHeight="1" x14ac:dyDescent="0.25">
      <c r="A7" s="1419" t="s">
        <v>13</v>
      </c>
      <c r="B7" s="1419"/>
      <c r="C7" s="1419"/>
      <c r="D7" s="170"/>
      <c r="E7" s="170"/>
      <c r="F7" s="736"/>
      <c r="G7" s="736"/>
      <c r="H7" s="736"/>
      <c r="I7" s="170"/>
    </row>
    <row r="8" spans="1:9" ht="15.95" customHeight="1" thickBot="1" x14ac:dyDescent="0.3">
      <c r="A8" s="1423"/>
      <c r="B8" s="1423"/>
      <c r="C8" s="121" t="s">
        <v>487</v>
      </c>
      <c r="D8" s="170"/>
      <c r="E8" s="170"/>
      <c r="F8" s="736"/>
      <c r="G8" s="736"/>
      <c r="H8" s="736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947</v>
      </c>
      <c r="D9" s="736" t="s">
        <v>492</v>
      </c>
      <c r="E9" s="736" t="s">
        <v>493</v>
      </c>
      <c r="F9" s="736" t="s">
        <v>943</v>
      </c>
      <c r="G9" s="736" t="s">
        <v>944</v>
      </c>
      <c r="H9" s="736" t="s">
        <v>945</v>
      </c>
      <c r="I9" s="736" t="s">
        <v>946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388159129</v>
      </c>
      <c r="D11" s="266">
        <f t="shared" ref="D11:I11" si="1">+D12+D13+D14+D17+D18+D19</f>
        <v>388159129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60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61"/>
      <c r="E13" s="764"/>
      <c r="F13" s="764"/>
      <c r="G13" s="764"/>
      <c r="H13" s="764"/>
      <c r="I13" s="764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388159129</v>
      </c>
      <c r="D14" s="1161">
        <f t="shared" ref="D14:I14" si="2">SUM(D15:D16)</f>
        <v>388159129</v>
      </c>
      <c r="E14" s="764">
        <f t="shared" si="2"/>
        <v>0</v>
      </c>
      <c r="F14" s="764">
        <f t="shared" si="2"/>
        <v>0</v>
      </c>
      <c r="G14" s="764">
        <f t="shared" si="2"/>
        <v>0</v>
      </c>
      <c r="H14" s="764">
        <f t="shared" si="2"/>
        <v>0</v>
      </c>
      <c r="I14" s="764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749">
        <f t="shared" si="0"/>
        <v>388159129</v>
      </c>
      <c r="D15" s="1161">
        <f>372765129+15394000</f>
        <v>388159129</v>
      </c>
      <c r="E15" s="764"/>
      <c r="F15" s="764"/>
      <c r="G15" s="764"/>
      <c r="H15" s="764"/>
      <c r="I15" s="764"/>
    </row>
    <row r="16" spans="1:9" s="183" customFormat="1" ht="12" customHeight="1" x14ac:dyDescent="0.2">
      <c r="A16" s="11" t="s">
        <v>719</v>
      </c>
      <c r="B16" s="185" t="s">
        <v>722</v>
      </c>
      <c r="C16" s="289">
        <f t="shared" si="0"/>
        <v>0</v>
      </c>
      <c r="D16" s="1161"/>
      <c r="E16" s="764"/>
      <c r="F16" s="764"/>
      <c r="G16" s="764"/>
      <c r="H16" s="764"/>
      <c r="I16" s="764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61"/>
      <c r="E17" s="764"/>
      <c r="F17" s="764"/>
      <c r="G17" s="764"/>
      <c r="H17" s="764"/>
      <c r="I17" s="764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61"/>
      <c r="E18" s="764"/>
      <c r="F18" s="764"/>
      <c r="G18" s="764"/>
      <c r="H18" s="764"/>
      <c r="I18" s="764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228841233</v>
      </c>
      <c r="D20" s="266">
        <f t="shared" ref="D20:I20" si="3">+D21+D22+D23+D24+D25</f>
        <v>177738453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749">
        <f t="shared" si="0"/>
        <v>228841233</v>
      </c>
      <c r="D25" s="1154">
        <f>126028453+5000000+46710000</f>
        <v>177738453</v>
      </c>
      <c r="E25" s="764"/>
      <c r="F25" s="764"/>
      <c r="G25" s="1161"/>
      <c r="H25" s="764"/>
      <c r="I25" s="764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3">
        <f t="shared" si="0"/>
        <v>0</v>
      </c>
      <c r="D26" s="766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23150990</v>
      </c>
      <c r="D27" s="266">
        <f t="shared" ref="D27:I27" si="4">+D28+D29+D30+D31+D32</f>
        <v>4290000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56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5"/>
      <c r="E29" s="764"/>
      <c r="F29" s="764"/>
      <c r="G29" s="764"/>
      <c r="H29" s="764"/>
      <c r="I29" s="764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5"/>
      <c r="E30" s="764"/>
      <c r="F30" s="764"/>
      <c r="G30" s="764"/>
      <c r="H30" s="764"/>
      <c r="I30" s="764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5"/>
      <c r="E31" s="764"/>
      <c r="F31" s="764"/>
      <c r="G31" s="764"/>
      <c r="H31" s="764"/>
      <c r="I31" s="764"/>
    </row>
    <row r="32" spans="1:9" s="183" customFormat="1" ht="12" customHeight="1" x14ac:dyDescent="0.2">
      <c r="A32" s="11" t="s">
        <v>122</v>
      </c>
      <c r="B32" s="185" t="s">
        <v>192</v>
      </c>
      <c r="C32" s="749">
        <f t="shared" si="0"/>
        <v>23150990</v>
      </c>
      <c r="D32" s="1154">
        <v>4290000</v>
      </c>
      <c r="E32" s="764"/>
      <c r="F32" s="764"/>
      <c r="G32" s="764"/>
      <c r="H32" s="764"/>
      <c r="I32" s="764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3">
        <f t="shared" si="0"/>
        <v>0</v>
      </c>
      <c r="D33" s="766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6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59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59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5"/>
      <c r="E38" s="764"/>
      <c r="F38" s="764"/>
      <c r="G38" s="764"/>
      <c r="H38" s="764"/>
      <c r="I38" s="764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55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203120027</v>
      </c>
      <c r="D41" s="266">
        <f t="shared" ref="D41:I41" si="7">SUM(D42:D52)</f>
        <v>22339177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7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749">
        <f t="shared" si="0"/>
        <v>5003463</v>
      </c>
      <c r="D43" s="1154">
        <f>1781102+192926</f>
        <v>1974028</v>
      </c>
      <c r="E43" s="1161"/>
      <c r="F43" s="1160"/>
      <c r="G43" s="1160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54"/>
      <c r="E44" s="1161"/>
      <c r="F44" s="1160"/>
      <c r="G44" s="1160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54"/>
      <c r="E45" s="764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5"/>
      <c r="E46" s="1161"/>
      <c r="F46" s="1160"/>
      <c r="G46" s="1160"/>
      <c r="H46" s="1160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749">
        <f t="shared" si="0"/>
        <v>1707673</v>
      </c>
      <c r="D47" s="1154">
        <f>480898+52090</f>
        <v>532988</v>
      </c>
      <c r="E47" s="1161"/>
      <c r="F47" s="1160"/>
      <c r="G47" s="1160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54">
        <v>19458900</v>
      </c>
      <c r="E48" s="1161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5"/>
      <c r="E49" s="764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5"/>
      <c r="E50" s="764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6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1394">
        <f t="shared" si="0"/>
        <v>3585159</v>
      </c>
      <c r="D52" s="1155">
        <f>100000+273261</f>
        <v>373261</v>
      </c>
      <c r="E52" s="1163"/>
      <c r="F52" s="1160"/>
      <c r="G52" s="1160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7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54"/>
      <c r="E55" s="764"/>
      <c r="F55" s="764"/>
      <c r="G55" s="764"/>
      <c r="H55" s="764"/>
      <c r="I55" s="764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5"/>
      <c r="E56" s="764"/>
      <c r="F56" s="764"/>
      <c r="G56" s="764"/>
      <c r="H56" s="764"/>
      <c r="I56" s="764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5"/>
      <c r="E57" s="764"/>
      <c r="F57" s="764"/>
      <c r="G57" s="764"/>
      <c r="H57" s="764"/>
      <c r="I57" s="764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6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656096</v>
      </c>
      <c r="D59" s="266">
        <f t="shared" ref="D59:I59" si="9">SUM(D60:D62)</f>
        <v>656096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62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54">
        <v>200000</v>
      </c>
      <c r="E61" s="764"/>
      <c r="F61" s="764"/>
      <c r="G61" s="764"/>
      <c r="H61" s="764"/>
      <c r="I61" s="764"/>
    </row>
    <row r="62" spans="1:9" s="183" customFormat="1" ht="12" customHeight="1" x14ac:dyDescent="0.2">
      <c r="A62" s="11" t="s">
        <v>230</v>
      </c>
      <c r="B62" s="185" t="s">
        <v>228</v>
      </c>
      <c r="C62" s="749">
        <f t="shared" si="0"/>
        <v>456096</v>
      </c>
      <c r="D62" s="765">
        <v>456096</v>
      </c>
      <c r="E62" s="764"/>
      <c r="F62" s="764"/>
      <c r="G62" s="764"/>
      <c r="H62" s="764"/>
      <c r="I62" s="764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5"/>
      <c r="E65" s="764"/>
      <c r="F65" s="764"/>
      <c r="G65" s="764"/>
      <c r="H65" s="764"/>
      <c r="I65" s="764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5"/>
      <c r="E66" s="764"/>
      <c r="F66" s="764"/>
      <c r="G66" s="764"/>
      <c r="H66" s="764"/>
      <c r="I66" s="764"/>
    </row>
    <row r="67" spans="1:9" s="183" customFormat="1" ht="12" customHeight="1" x14ac:dyDescent="0.2">
      <c r="A67" s="11" t="s">
        <v>158</v>
      </c>
      <c r="B67" s="185" t="s">
        <v>235</v>
      </c>
      <c r="C67" s="749">
        <f t="shared" si="0"/>
        <v>0</v>
      </c>
      <c r="D67" s="765"/>
      <c r="E67" s="764"/>
      <c r="F67" s="764"/>
      <c r="G67" s="764"/>
      <c r="H67" s="764"/>
      <c r="I67" s="764"/>
    </row>
    <row r="68" spans="1:9" s="183" customFormat="1" ht="12" customHeight="1" thickBot="1" x14ac:dyDescent="0.25">
      <c r="A68" s="13" t="s">
        <v>233</v>
      </c>
      <c r="B68" s="109" t="s">
        <v>236</v>
      </c>
      <c r="C68" s="753">
        <f t="shared" si="0"/>
        <v>0</v>
      </c>
      <c r="D68" s="765"/>
      <c r="E68" s="764"/>
      <c r="F68" s="764"/>
      <c r="G68" s="764"/>
      <c r="H68" s="764"/>
      <c r="I68" s="764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843927475</v>
      </c>
      <c r="D69" s="269">
        <f t="shared" ref="D69:I69" si="11">+D11+D20+D27+D34+D41+D53+D59+D64</f>
        <v>593182855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54"/>
      <c r="E71" s="764"/>
      <c r="F71" s="764"/>
      <c r="G71" s="764"/>
      <c r="H71" s="764"/>
      <c r="I71" s="764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54"/>
      <c r="E72" s="764"/>
      <c r="F72" s="764"/>
      <c r="G72" s="764"/>
      <c r="H72" s="764"/>
      <c r="I72" s="764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5"/>
      <c r="E73" s="764"/>
      <c r="F73" s="764"/>
      <c r="G73" s="764"/>
      <c r="H73" s="764"/>
      <c r="I73" s="764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5"/>
      <c r="E75" s="764"/>
      <c r="F75" s="764"/>
      <c r="G75" s="764"/>
      <c r="H75" s="764"/>
      <c r="I75" s="764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5"/>
      <c r="E76" s="764"/>
      <c r="F76" s="764"/>
      <c r="G76" s="764"/>
      <c r="H76" s="764"/>
      <c r="I76" s="764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5"/>
      <c r="E77" s="764"/>
      <c r="F77" s="764"/>
      <c r="G77" s="764"/>
      <c r="H77" s="764"/>
      <c r="I77" s="764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5"/>
      <c r="E78" s="764"/>
      <c r="F78" s="764"/>
      <c r="G78" s="764"/>
      <c r="H78" s="764"/>
      <c r="I78" s="764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54"/>
      <c r="E80" s="1161"/>
      <c r="F80" s="1161"/>
      <c r="G80" s="1161"/>
      <c r="H80" s="764"/>
      <c r="I80" s="764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5"/>
      <c r="E81" s="764"/>
      <c r="F81" s="764"/>
      <c r="G81" s="764"/>
      <c r="H81" s="764"/>
      <c r="I81" s="764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54"/>
      <c r="E83" s="764"/>
      <c r="F83" s="764"/>
      <c r="G83" s="764"/>
      <c r="H83" s="764"/>
      <c r="I83" s="764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5"/>
      <c r="E84" s="764"/>
      <c r="F84" s="764"/>
      <c r="G84" s="764"/>
      <c r="H84" s="764"/>
      <c r="I84" s="764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5"/>
      <c r="E85" s="764"/>
      <c r="F85" s="764"/>
      <c r="G85" s="764"/>
      <c r="H85" s="764"/>
      <c r="I85" s="764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5"/>
      <c r="E87" s="764"/>
      <c r="F87" s="764"/>
      <c r="G87" s="764"/>
      <c r="H87" s="764"/>
      <c r="I87" s="764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5"/>
      <c r="E88" s="764"/>
      <c r="F88" s="764"/>
      <c r="G88" s="764"/>
      <c r="H88" s="764"/>
      <c r="I88" s="764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5"/>
      <c r="E89" s="764"/>
      <c r="F89" s="764"/>
      <c r="G89" s="764"/>
      <c r="H89" s="764"/>
      <c r="I89" s="764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5"/>
      <c r="E90" s="764"/>
      <c r="F90" s="764"/>
      <c r="G90" s="764"/>
      <c r="H90" s="764"/>
      <c r="I90" s="764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891108639</v>
      </c>
      <c r="D94" s="269">
        <f t="shared" ref="D94:I94" si="19">+D69+D93</f>
        <v>593182855</v>
      </c>
      <c r="E94" s="1164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19" t="s">
        <v>44</v>
      </c>
      <c r="B95" s="1419"/>
      <c r="C95" s="1419"/>
      <c r="D95" s="556"/>
      <c r="E95" s="736"/>
      <c r="F95" s="736"/>
      <c r="G95" s="736"/>
      <c r="H95" s="736"/>
      <c r="I95" s="736"/>
    </row>
    <row r="96" spans="1:9" s="193" customFormat="1" ht="16.5" customHeight="1" thickBot="1" x14ac:dyDescent="0.3">
      <c r="A96" s="1420" t="s">
        <v>115</v>
      </c>
      <c r="B96" s="1420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6" t="str">
        <f t="shared" ref="D97:I97" si="20">D9</f>
        <v>Önk</v>
      </c>
      <c r="E97" s="736" t="str">
        <f t="shared" si="20"/>
        <v>PH</v>
      </c>
      <c r="F97" s="736" t="str">
        <f t="shared" si="20"/>
        <v>Óvoda</v>
      </c>
      <c r="G97" s="736" t="str">
        <f t="shared" si="20"/>
        <v>EKIK</v>
      </c>
      <c r="H97" s="736" t="str">
        <f t="shared" si="20"/>
        <v>Bölcsőde</v>
      </c>
      <c r="I97" s="736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1081701608</v>
      </c>
      <c r="D99" s="273">
        <f>+D100+D101+D102+D103+D104+D117</f>
        <v>220124516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1345">
        <f t="shared" si="21"/>
        <v>572727552</v>
      </c>
      <c r="D100" s="1153">
        <f>3472852-6255123+29664224</f>
        <v>26881953</v>
      </c>
      <c r="E100" s="1165"/>
      <c r="F100" s="1165"/>
      <c r="G100" s="1165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749">
        <f t="shared" si="21"/>
        <v>81850886</v>
      </c>
      <c r="D101" s="1154">
        <f>1482606-782058+3385159</f>
        <v>4085707</v>
      </c>
      <c r="E101" s="1161">
        <f>7314</f>
        <v>7314</v>
      </c>
      <c r="F101" s="1161"/>
      <c r="G101" s="1161">
        <v>66080</v>
      </c>
      <c r="H101" s="764"/>
      <c r="I101" s="764">
        <v>77691785</v>
      </c>
      <c r="K101" s="736"/>
    </row>
    <row r="102" spans="1:11" ht="12" customHeight="1" x14ac:dyDescent="0.25">
      <c r="A102" s="11" t="s">
        <v>87</v>
      </c>
      <c r="B102" s="5" t="s">
        <v>110</v>
      </c>
      <c r="C102" s="749">
        <f t="shared" si="21"/>
        <v>404600649</v>
      </c>
      <c r="D102" s="1155">
        <f>112474577+412504+39761031+2+13986221</f>
        <v>166634335</v>
      </c>
      <c r="E102" s="1163">
        <f>80000+21600</f>
        <v>101600</v>
      </c>
      <c r="F102" s="1161"/>
      <c r="G102" s="764">
        <v>1197504</v>
      </c>
      <c r="H102" s="764"/>
      <c r="I102" s="764">
        <v>236667210</v>
      </c>
    </row>
    <row r="103" spans="1:11" ht="12" customHeight="1" x14ac:dyDescent="0.25">
      <c r="A103" s="11" t="s">
        <v>88</v>
      </c>
      <c r="B103" s="5" t="s">
        <v>135</v>
      </c>
      <c r="C103" s="1214">
        <f t="shared" si="21"/>
        <v>0</v>
      </c>
      <c r="D103" s="1155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14">
        <f t="shared" si="21"/>
        <v>22522521</v>
      </c>
      <c r="D104" s="766">
        <f>SUM(D105:D116)</f>
        <v>22522521</v>
      </c>
      <c r="E104" s="766">
        <f>SUM(E105:E116)</f>
        <v>0</v>
      </c>
      <c r="F104" s="766">
        <f>SUM(F105:F116)</f>
        <v>0</v>
      </c>
      <c r="G104" s="766">
        <f>SUM(G105:G116)</f>
        <v>0</v>
      </c>
      <c r="H104" s="766">
        <f>SUM(H105:H116)</f>
        <v>0</v>
      </c>
      <c r="I104" s="766"/>
    </row>
    <row r="105" spans="1:11" ht="12" customHeight="1" x14ac:dyDescent="0.25">
      <c r="A105" s="11" t="s">
        <v>89</v>
      </c>
      <c r="B105" s="5" t="s">
        <v>399</v>
      </c>
      <c r="C105" s="1214">
        <f t="shared" si="21"/>
        <v>387163</v>
      </c>
      <c r="D105" s="766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14">
        <f t="shared" si="21"/>
        <v>0</v>
      </c>
      <c r="D106" s="1155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6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6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6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6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749">
        <f t="shared" si="21"/>
        <v>457970</v>
      </c>
      <c r="D111" s="1155">
        <f>457259+711</f>
        <v>457970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6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6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6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6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749">
        <f t="shared" si="21"/>
        <v>21677388</v>
      </c>
      <c r="D116" s="1154">
        <f>20497388-150000+1330000</f>
        <v>21677388</v>
      </c>
      <c r="E116" s="764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5">
        <f t="shared" ref="D117:I117" si="22">SUM(D118:D119)</f>
        <v>0</v>
      </c>
      <c r="E117" s="765">
        <f t="shared" si="22"/>
        <v>0</v>
      </c>
      <c r="F117" s="765">
        <f t="shared" si="22"/>
        <v>0</v>
      </c>
      <c r="G117" s="765">
        <f t="shared" si="22"/>
        <v>0</v>
      </c>
      <c r="H117" s="765">
        <f t="shared" si="22"/>
        <v>0</v>
      </c>
      <c r="I117" s="765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55"/>
      <c r="E118" s="173"/>
      <c r="F118" s="764"/>
      <c r="G118" s="764"/>
      <c r="H118" s="764"/>
      <c r="I118" s="764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58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136372555</v>
      </c>
      <c r="D120" s="266">
        <f t="shared" ref="D120:I120" si="23">+D121+D123+D125</f>
        <v>110893914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345">
        <f t="shared" si="21"/>
        <v>85970740</v>
      </c>
      <c r="D121" s="1156">
        <f>47592654+8776150-457258+5064553</f>
        <v>60976099</v>
      </c>
      <c r="E121" s="1160"/>
      <c r="F121" s="1160"/>
      <c r="G121" s="222"/>
      <c r="H121" s="1160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14">
        <f t="shared" si="21"/>
        <v>1053800</v>
      </c>
      <c r="D122" s="1157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14">
        <f t="shared" si="21"/>
        <v>49000000</v>
      </c>
      <c r="D123" s="1154">
        <v>49000000</v>
      </c>
      <c r="E123" s="764"/>
      <c r="F123" s="1161"/>
      <c r="G123" s="764"/>
      <c r="H123" s="764"/>
      <c r="I123" s="764"/>
    </row>
    <row r="124" spans="1:9" ht="12" customHeight="1" x14ac:dyDescent="0.25">
      <c r="A124" s="12" t="s">
        <v>94</v>
      </c>
      <c r="B124" s="9" t="s">
        <v>298</v>
      </c>
      <c r="C124" s="749">
        <f t="shared" si="21"/>
        <v>0</v>
      </c>
      <c r="D124" s="765"/>
      <c r="E124" s="497"/>
      <c r="F124" s="765"/>
      <c r="G124" s="765"/>
      <c r="H124" s="765"/>
      <c r="I124" s="765"/>
    </row>
    <row r="125" spans="1:9" ht="12" customHeight="1" x14ac:dyDescent="0.25">
      <c r="A125" s="12" t="s">
        <v>95</v>
      </c>
      <c r="B125" s="109" t="s">
        <v>159</v>
      </c>
      <c r="C125" s="1238">
        <f>SUM(C126:C133)</f>
        <v>1401815</v>
      </c>
      <c r="D125" s="1238">
        <f t="shared" ref="D125:I125" si="24">SUM(D126:D133)</f>
        <v>917815</v>
      </c>
      <c r="E125" s="1238">
        <f t="shared" si="24"/>
        <v>0</v>
      </c>
      <c r="F125" s="1238">
        <f t="shared" si="24"/>
        <v>0</v>
      </c>
      <c r="G125" s="1238">
        <f t="shared" si="24"/>
        <v>484000</v>
      </c>
      <c r="H125" s="1238">
        <f t="shared" si="24"/>
        <v>0</v>
      </c>
      <c r="I125" s="123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5"/>
      <c r="G126" s="765"/>
      <c r="H126" s="765"/>
      <c r="I126" s="765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5"/>
      <c r="G127" s="765"/>
      <c r="H127" s="765"/>
      <c r="I127" s="765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5"/>
      <c r="G128" s="765"/>
      <c r="H128" s="765"/>
      <c r="I128" s="765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5"/>
      <c r="G129" s="765"/>
      <c r="H129" s="765"/>
      <c r="I129" s="765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5"/>
      <c r="G130" s="765"/>
      <c r="H130" s="765"/>
      <c r="I130" s="765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5"/>
      <c r="G131" s="765"/>
      <c r="H131" s="765"/>
      <c r="I131" s="765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5"/>
      <c r="G132" s="765"/>
      <c r="H132" s="765"/>
      <c r="I132" s="765"/>
    </row>
    <row r="133" spans="1:9" ht="16.5" thickBot="1" x14ac:dyDescent="0.3">
      <c r="A133" s="10" t="s">
        <v>296</v>
      </c>
      <c r="B133" s="59" t="s">
        <v>299</v>
      </c>
      <c r="C133" s="1394">
        <f t="shared" si="21"/>
        <v>1401815</v>
      </c>
      <c r="D133" s="1155">
        <f>150000+767815</f>
        <v>917815</v>
      </c>
      <c r="E133" s="766"/>
      <c r="F133" s="766"/>
      <c r="G133" s="1155">
        <v>484000</v>
      </c>
      <c r="H133" s="766"/>
      <c r="I133" s="766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1218074163</v>
      </c>
      <c r="D134" s="266">
        <f t="shared" ref="D134:I134" si="25">+D99+D120</f>
        <v>331018430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54">
        <v>1668000</v>
      </c>
      <c r="E136" s="765"/>
      <c r="F136" s="765"/>
      <c r="G136" s="765"/>
      <c r="H136" s="765"/>
      <c r="I136" s="765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54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59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987">
        <f>SUM(F152:F156)</f>
        <v>0</v>
      </c>
      <c r="G151" s="987">
        <f>SUM(G152:G156)</f>
        <v>0</v>
      </c>
      <c r="H151" s="987">
        <f>SUM(H152:H156)</f>
        <v>0</v>
      </c>
      <c r="I151" s="987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8"/>
      <c r="G157" s="988"/>
      <c r="H157" s="988"/>
      <c r="I157" s="988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988"/>
      <c r="G158" s="988"/>
      <c r="H158" s="988"/>
      <c r="I158" s="988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989">
        <f t="shared" si="28"/>
        <v>0</v>
      </c>
      <c r="G159" s="989">
        <f t="shared" si="28"/>
        <v>0</v>
      </c>
      <c r="H159" s="989">
        <f t="shared" si="28"/>
        <v>0</v>
      </c>
      <c r="I159" s="989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1219742163</v>
      </c>
      <c r="D160" s="275">
        <f t="shared" ref="D160:I160" si="29">+D134+D159</f>
        <v>332686430</v>
      </c>
      <c r="E160" s="194">
        <f t="shared" si="29"/>
        <v>108914</v>
      </c>
      <c r="F160" s="989">
        <f t="shared" si="29"/>
        <v>0</v>
      </c>
      <c r="G160" s="989">
        <f t="shared" si="29"/>
        <v>1905064</v>
      </c>
      <c r="H160" s="989">
        <f t="shared" si="29"/>
        <v>0</v>
      </c>
      <c r="I160" s="989">
        <f t="shared" si="29"/>
        <v>885041755</v>
      </c>
    </row>
    <row r="161" spans="1:4" x14ac:dyDescent="0.25">
      <c r="A161" s="1421" t="s">
        <v>306</v>
      </c>
      <c r="B161" s="1421"/>
      <c r="C161" s="1421"/>
    </row>
    <row r="162" spans="1:4" ht="15" customHeight="1" thickBot="1" x14ac:dyDescent="0.3">
      <c r="A162" s="1418" t="s">
        <v>116</v>
      </c>
      <c r="B162" s="1418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-374146688</v>
      </c>
    </row>
    <row r="164" spans="1:4" ht="21.75" thickBot="1" x14ac:dyDescent="0.3">
      <c r="A164" s="17" t="s">
        <v>17</v>
      </c>
      <c r="B164" s="22" t="s">
        <v>717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A2" sqref="A2:D2"/>
    </sheetView>
  </sheetViews>
  <sheetFormatPr defaultRowHeight="12.75" x14ac:dyDescent="0.2"/>
  <cols>
    <col min="1" max="1" width="5.83203125" style="716" customWidth="1"/>
    <col min="2" max="2" width="54.83203125" style="702" customWidth="1"/>
    <col min="3" max="4" width="17.6640625" style="702" customWidth="1"/>
    <col min="5" max="16384" width="9.33203125" style="702"/>
  </cols>
  <sheetData>
    <row r="1" spans="1:9" ht="12.75" customHeight="1" x14ac:dyDescent="0.2">
      <c r="A1" s="1514" t="str">
        <f>CONCATENATE("27. melléklet ",ALAPADATOK!A7," ",ALAPADATOK!B7," ",ALAPADATOK!C7," ",ALAPADATOK!D7," ",ALAPADATOK!E7," ",ALAPADATOK!F7," ",ALAPADATOK!G7," ",ALAPADATOK!H7)</f>
        <v>27. melléklet a .. / 2022. ( …... ) önkormányzati rendelethez</v>
      </c>
      <c r="B1" s="1514"/>
      <c r="C1" s="1514"/>
      <c r="D1" s="1514"/>
      <c r="E1" s="613"/>
      <c r="F1" s="613"/>
      <c r="G1" s="613"/>
      <c r="H1" s="613"/>
      <c r="I1" s="613"/>
    </row>
    <row r="2" spans="1:9" ht="12.75" customHeight="1" x14ac:dyDescent="0.2">
      <c r="A2" s="1523" t="s">
        <v>1027</v>
      </c>
      <c r="B2" s="1523"/>
      <c r="C2" s="1523"/>
      <c r="D2" s="1523"/>
      <c r="E2" s="1223"/>
      <c r="F2" s="1223"/>
      <c r="G2" s="613"/>
      <c r="H2" s="613"/>
      <c r="I2" s="613"/>
    </row>
    <row r="4" spans="1:9" ht="15.75" x14ac:dyDescent="0.25">
      <c r="B4" s="1524" t="s">
        <v>1035</v>
      </c>
      <c r="C4" s="1524"/>
      <c r="D4" s="1524"/>
    </row>
    <row r="5" spans="1:9" s="33" customFormat="1" ht="15.75" thickBot="1" x14ac:dyDescent="0.25">
      <c r="A5" s="442"/>
      <c r="B5" s="1344"/>
      <c r="D5" s="443" t="s">
        <v>489</v>
      </c>
    </row>
    <row r="6" spans="1:9" s="715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5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6"/>
    </row>
    <row r="10" spans="1:9" ht="18" customHeight="1" x14ac:dyDescent="0.2">
      <c r="A10" s="450" t="s">
        <v>18</v>
      </c>
      <c r="B10" s="451" t="s">
        <v>535</v>
      </c>
      <c r="C10" s="452"/>
      <c r="D10" s="756"/>
    </row>
    <row r="11" spans="1:9" ht="18" customHeight="1" x14ac:dyDescent="0.2">
      <c r="A11" s="450" t="s">
        <v>19</v>
      </c>
      <c r="B11" s="451" t="s">
        <v>536</v>
      </c>
      <c r="C11" s="452"/>
      <c r="D11" s="756"/>
    </row>
    <row r="12" spans="1:9" ht="18" customHeight="1" x14ac:dyDescent="0.2">
      <c r="A12" s="450" t="s">
        <v>20</v>
      </c>
      <c r="B12" s="451" t="s">
        <v>537</v>
      </c>
      <c r="C12" s="453">
        <f>SUM(C13:C18)</f>
        <v>34788000</v>
      </c>
      <c r="D12" s="454">
        <f>SUM(D13:D18)</f>
        <v>29288000</v>
      </c>
    </row>
    <row r="13" spans="1:9" ht="18" customHeight="1" x14ac:dyDescent="0.2">
      <c r="A13" s="450" t="s">
        <v>21</v>
      </c>
      <c r="B13" s="451" t="s">
        <v>538</v>
      </c>
      <c r="C13" s="452"/>
      <c r="D13" s="756"/>
    </row>
    <row r="14" spans="1:9" ht="18" customHeight="1" x14ac:dyDescent="0.2">
      <c r="A14" s="450" t="s">
        <v>22</v>
      </c>
      <c r="B14" s="455" t="s">
        <v>539</v>
      </c>
      <c r="C14" s="452"/>
      <c r="D14" s="756"/>
    </row>
    <row r="15" spans="1:9" ht="18" customHeight="1" x14ac:dyDescent="0.2">
      <c r="A15" s="450" t="s">
        <v>24</v>
      </c>
      <c r="B15" s="455" t="s">
        <v>540</v>
      </c>
      <c r="C15" s="452">
        <v>34788000</v>
      </c>
      <c r="D15" s="456">
        <v>29288000</v>
      </c>
    </row>
    <row r="16" spans="1:9" ht="18" customHeight="1" x14ac:dyDescent="0.2">
      <c r="A16" s="450" t="s">
        <v>25</v>
      </c>
      <c r="B16" s="455" t="s">
        <v>541</v>
      </c>
      <c r="C16" s="452"/>
      <c r="D16" s="756"/>
    </row>
    <row r="17" spans="1:4" ht="18" customHeight="1" x14ac:dyDescent="0.2">
      <c r="A17" s="450" t="s">
        <v>26</v>
      </c>
      <c r="B17" s="455" t="s">
        <v>542</v>
      </c>
      <c r="C17" s="452"/>
      <c r="D17" s="756"/>
    </row>
    <row r="18" spans="1:4" ht="22.5" customHeight="1" x14ac:dyDescent="0.2">
      <c r="A18" s="450" t="s">
        <v>27</v>
      </c>
      <c r="B18" s="455" t="s">
        <v>543</v>
      </c>
      <c r="C18" s="452"/>
      <c r="D18" s="756"/>
    </row>
    <row r="19" spans="1:4" ht="18" customHeight="1" x14ac:dyDescent="0.2">
      <c r="A19" s="450" t="s">
        <v>28</v>
      </c>
      <c r="B19" s="451" t="s">
        <v>544</v>
      </c>
      <c r="C19" s="452"/>
      <c r="D19" s="756"/>
    </row>
    <row r="20" spans="1:4" ht="18" customHeight="1" x14ac:dyDescent="0.2">
      <c r="A20" s="450" t="s">
        <v>29</v>
      </c>
      <c r="B20" s="451" t="s">
        <v>545</v>
      </c>
      <c r="C20" s="452"/>
      <c r="D20" s="756"/>
    </row>
    <row r="21" spans="1:4" ht="18" customHeight="1" x14ac:dyDescent="0.2">
      <c r="A21" s="450" t="s">
        <v>30</v>
      </c>
      <c r="B21" s="451" t="s">
        <v>546</v>
      </c>
      <c r="C21" s="452"/>
      <c r="D21" s="756"/>
    </row>
    <row r="22" spans="1:4" ht="18" customHeight="1" x14ac:dyDescent="0.2">
      <c r="A22" s="450" t="s">
        <v>31</v>
      </c>
      <c r="B22" s="451" t="s">
        <v>547</v>
      </c>
      <c r="C22" s="452"/>
      <c r="D22" s="756"/>
    </row>
    <row r="23" spans="1:4" ht="18" customHeight="1" x14ac:dyDescent="0.2">
      <c r="A23" s="450" t="s">
        <v>32</v>
      </c>
      <c r="B23" s="451" t="s">
        <v>548</v>
      </c>
      <c r="C23" s="452"/>
      <c r="D23" s="756"/>
    </row>
    <row r="24" spans="1:4" ht="18" customHeight="1" x14ac:dyDescent="0.2">
      <c r="A24" s="450" t="s">
        <v>33</v>
      </c>
      <c r="B24" s="457"/>
      <c r="C24" s="35"/>
      <c r="D24" s="756"/>
    </row>
    <row r="25" spans="1:4" ht="18" customHeight="1" x14ac:dyDescent="0.2">
      <c r="A25" s="450" t="s">
        <v>34</v>
      </c>
      <c r="B25" s="458"/>
      <c r="C25" s="35"/>
      <c r="D25" s="756"/>
    </row>
    <row r="26" spans="1:4" ht="18" customHeight="1" x14ac:dyDescent="0.2">
      <c r="A26" s="450" t="s">
        <v>35</v>
      </c>
      <c r="B26" s="458"/>
      <c r="C26" s="35"/>
      <c r="D26" s="756"/>
    </row>
    <row r="27" spans="1:4" ht="18" customHeight="1" x14ac:dyDescent="0.2">
      <c r="A27" s="450" t="s">
        <v>36</v>
      </c>
      <c r="B27" s="458"/>
      <c r="C27" s="35"/>
      <c r="D27" s="756"/>
    </row>
    <row r="28" spans="1:4" ht="18" customHeight="1" x14ac:dyDescent="0.2">
      <c r="A28" s="450" t="s">
        <v>37</v>
      </c>
      <c r="B28" s="458"/>
      <c r="C28" s="35"/>
      <c r="D28" s="756"/>
    </row>
    <row r="29" spans="1:4" ht="18" customHeight="1" x14ac:dyDescent="0.2">
      <c r="A29" s="450" t="s">
        <v>38</v>
      </c>
      <c r="B29" s="458"/>
      <c r="C29" s="35"/>
      <c r="D29" s="756"/>
    </row>
    <row r="30" spans="1:4" ht="18" customHeight="1" x14ac:dyDescent="0.2">
      <c r="A30" s="450" t="s">
        <v>39</v>
      </c>
      <c r="B30" s="458"/>
      <c r="C30" s="35"/>
      <c r="D30" s="756"/>
    </row>
    <row r="31" spans="1:4" ht="18" customHeight="1" x14ac:dyDescent="0.2">
      <c r="A31" s="450" t="s">
        <v>40</v>
      </c>
      <c r="B31" s="458"/>
      <c r="C31" s="35"/>
      <c r="D31" s="756"/>
    </row>
    <row r="32" spans="1:4" ht="18" customHeight="1" thickBot="1" x14ac:dyDescent="0.25">
      <c r="A32" s="459" t="s">
        <v>41</v>
      </c>
      <c r="B32" s="460"/>
      <c r="C32" s="461"/>
      <c r="D32" s="757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34788000</v>
      </c>
      <c r="D33" s="465">
        <f>+D8+D9+D10+D11+D12+D19+D20+D21+D22+D23+D24+D25+D26+D27+D28+D29+D30+D31+D32</f>
        <v>29288000</v>
      </c>
    </row>
    <row r="34" spans="1:4" ht="8.25" customHeight="1" x14ac:dyDescent="0.2">
      <c r="A34" s="774"/>
      <c r="B34" s="1525"/>
      <c r="C34" s="1525"/>
      <c r="D34" s="1525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85" zoomScaleNormal="85" zoomScalePageLayoutView="85" workbookViewId="0">
      <selection activeCell="A2" sqref="A2"/>
    </sheetView>
  </sheetViews>
  <sheetFormatPr defaultRowHeight="15.75" x14ac:dyDescent="0.25"/>
  <cols>
    <col min="1" max="1" width="7.83203125" style="40" customWidth="1"/>
    <col min="2" max="2" width="31.1640625" style="707" customWidth="1"/>
    <col min="3" max="13" width="12.5" style="707" customWidth="1"/>
    <col min="14" max="14" width="13.5" style="707" bestFit="1" customWidth="1"/>
    <col min="15" max="15" width="12.5" style="415" customWidth="1"/>
    <col min="16" max="16" width="14.6640625" style="714" hidden="1" customWidth="1"/>
    <col min="17" max="17" width="16.6640625" style="714" hidden="1" customWidth="1"/>
    <col min="18" max="18" width="9.33203125" style="707" customWidth="1"/>
    <col min="19" max="19" width="11" style="707" bestFit="1" customWidth="1"/>
    <col min="20" max="16384" width="9.33203125" style="707"/>
  </cols>
  <sheetData>
    <row r="1" spans="1:17" x14ac:dyDescent="0.25">
      <c r="A1" s="1526" t="str">
        <f>CONCATENATE("28. melléklet ",ALAPADATOK!A7," ",ALAPADATOK!B7," ",ALAPADATOK!C7," ",ALAPADATOK!D7," ",ALAPADATOK!E7," ",ALAPADATOK!F7," ",ALAPADATOK!G7," ",ALAPADATOK!H7)</f>
        <v>28. melléklet a .. / 2022. ( …... ) önkormányzati rendelethez</v>
      </c>
      <c r="B1" s="1526"/>
      <c r="C1" s="1526"/>
      <c r="D1" s="1526"/>
      <c r="E1" s="1526"/>
      <c r="F1" s="1526"/>
      <c r="G1" s="1526"/>
      <c r="H1" s="1526"/>
      <c r="I1" s="1526"/>
      <c r="J1" s="1526"/>
      <c r="K1" s="1526"/>
      <c r="L1" s="1526"/>
      <c r="M1" s="1526"/>
      <c r="N1" s="1526"/>
      <c r="O1" s="1526"/>
    </row>
    <row r="2" spans="1:17" x14ac:dyDescent="0.25">
      <c r="A2" s="775"/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1339" t="s">
        <v>1028</v>
      </c>
    </row>
    <row r="3" spans="1:17" ht="18.75" x14ac:dyDescent="0.3">
      <c r="A3" s="1527" t="s">
        <v>1003</v>
      </c>
      <c r="B3" s="1528"/>
      <c r="C3" s="1528"/>
      <c r="D3" s="1528"/>
      <c r="E3" s="1528"/>
      <c r="F3" s="1528"/>
      <c r="G3" s="1528"/>
      <c r="H3" s="1528"/>
      <c r="I3" s="1528"/>
      <c r="J3" s="1528"/>
      <c r="K3" s="1528"/>
      <c r="L3" s="1528"/>
      <c r="M3" s="1528"/>
      <c r="N3" s="1528"/>
      <c r="O3" s="1528"/>
    </row>
    <row r="4" spans="1:17" ht="36" customHeight="1" thickBot="1" x14ac:dyDescent="0.35">
      <c r="A4" s="1527"/>
      <c r="B4" s="1527"/>
      <c r="C4" s="1527"/>
      <c r="D4" s="1527"/>
      <c r="E4" s="1527"/>
      <c r="F4" s="1527"/>
      <c r="G4" s="1527"/>
      <c r="H4" s="1527"/>
      <c r="I4" s="1527"/>
      <c r="J4" s="1527"/>
      <c r="K4" s="1527"/>
      <c r="L4" s="1527"/>
      <c r="M4" s="1527"/>
      <c r="N4" s="1527"/>
      <c r="O4" s="1527"/>
    </row>
    <row r="5" spans="1:17" ht="24.75" thickBot="1" x14ac:dyDescent="0.3">
      <c r="A5" s="318" t="s">
        <v>715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918</v>
      </c>
      <c r="K5" s="319" t="s">
        <v>919</v>
      </c>
      <c r="L5" s="319" t="s">
        <v>920</v>
      </c>
      <c r="M5" s="319" t="s">
        <v>921</v>
      </c>
      <c r="N5" s="319" t="s">
        <v>922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29" t="s">
        <v>923</v>
      </c>
      <c r="C6" s="1530"/>
      <c r="D6" s="1530"/>
      <c r="E6" s="1530"/>
      <c r="F6" s="1530"/>
      <c r="G6" s="1530"/>
      <c r="H6" s="1530"/>
      <c r="I6" s="1530"/>
      <c r="J6" s="1530"/>
      <c r="K6" s="1530"/>
      <c r="L6" s="1530"/>
      <c r="M6" s="1530"/>
      <c r="N6" s="1530"/>
      <c r="O6" s="1531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</f>
        <v>188277335</v>
      </c>
      <c r="I7" s="258">
        <f>137500000-277665+1568677</f>
        <v>138791012</v>
      </c>
      <c r="J7" s="258">
        <f>137500000-277665+1568677</f>
        <v>138791012</v>
      </c>
      <c r="K7" s="258">
        <f>137500000-277665+1568677</f>
        <v>138791012</v>
      </c>
      <c r="L7" s="258">
        <f>137500000+26223000-277665+1568677</f>
        <v>165014012</v>
      </c>
      <c r="M7" s="258">
        <f>137500000-277665+1568677</f>
        <v>138791012</v>
      </c>
      <c r="N7" s="258">
        <f>137500000+232489258-277665+1568675</f>
        <v>371280268</v>
      </c>
      <c r="O7" s="357">
        <f t="shared" ref="O7:O15" si="0">SUM(C7:N7)</f>
        <v>1992070340</v>
      </c>
      <c r="P7" s="355">
        <f>'1. sz.mell. '!C11</f>
        <v>1992070340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1080000+2900000+8562710+5000000+9000000+115749</f>
        <v>26658459</v>
      </c>
      <c r="G8" s="240">
        <f>126028453+2900000+8562710+43710000</f>
        <v>181201163</v>
      </c>
      <c r="H8" s="240">
        <f>2900000+8562710+800000</f>
        <v>12262710</v>
      </c>
      <c r="I8" s="240">
        <f>1080000+2900000+1200000</f>
        <v>5180000</v>
      </c>
      <c r="J8" s="240">
        <f>2550000+3000000+37562787</f>
        <v>43112787</v>
      </c>
      <c r="K8" s="240">
        <f>2550000+8562710+1500000+1800000</f>
        <v>14412710</v>
      </c>
      <c r="L8" s="240">
        <f>1080000+2550000+8562710+1500000</f>
        <v>13692710</v>
      </c>
      <c r="M8" s="240">
        <f>2550000+1500000</f>
        <v>4050000</v>
      </c>
      <c r="N8" s="240">
        <f>2550000+3307646+1500000</f>
        <v>7357646</v>
      </c>
      <c r="O8" s="357">
        <f t="shared" si="0"/>
        <v>400184172</v>
      </c>
      <c r="P8" s="358">
        <f>'1. sz.mell. '!C20</f>
        <v>400184172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>
        <v>4290000</v>
      </c>
      <c r="H9" s="241"/>
      <c r="I9" s="241"/>
      <c r="J9" s="241">
        <v>137436248</v>
      </c>
      <c r="K9" s="241">
        <v>57000000</v>
      </c>
      <c r="L9" s="241">
        <v>57000000</v>
      </c>
      <c r="M9" s="241"/>
      <c r="N9" s="241">
        <v>61488871</v>
      </c>
      <c r="O9" s="357">
        <f t="shared" si="0"/>
        <v>431409880</v>
      </c>
      <c r="P9" s="358">
        <f>'1. sz.mell. '!C27</f>
        <v>431409880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f>3000000</f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>28210946+34568+1851777</f>
        <v>30097291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340797944</v>
      </c>
      <c r="P11" s="358">
        <f>'1. sz.mell. '!C41</f>
        <v>340797944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f>100000+456096</f>
        <v>556096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1656096</v>
      </c>
      <c r="P13" s="358">
        <f>'1. sz.mell. '!C59</f>
        <v>1656096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3680971052</v>
      </c>
      <c r="P15" s="360">
        <f>'1. sz.mell. '!C93</f>
        <v>3680971052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303782641</v>
      </c>
      <c r="G16" s="47">
        <f t="shared" si="4"/>
        <v>459392345</v>
      </c>
      <c r="H16" s="47">
        <f t="shared" si="4"/>
        <v>319218892</v>
      </c>
      <c r="I16" s="47">
        <f t="shared" si="4"/>
        <v>274349859</v>
      </c>
      <c r="J16" s="47">
        <f t="shared" si="4"/>
        <v>436326767</v>
      </c>
      <c r="K16" s="47">
        <f t="shared" si="4"/>
        <v>521482569</v>
      </c>
      <c r="L16" s="47">
        <f t="shared" si="4"/>
        <v>351140569</v>
      </c>
      <c r="M16" s="47">
        <f t="shared" si="4"/>
        <v>296019859</v>
      </c>
      <c r="N16" s="47">
        <f t="shared" si="4"/>
        <v>743714992</v>
      </c>
      <c r="O16" s="1015">
        <f>SUM(C16:N16)</f>
        <v>7286444484</v>
      </c>
      <c r="P16" s="362">
        <f>SUM(P7:P15)</f>
        <v>7286444484</v>
      </c>
      <c r="Q16" s="363">
        <f t="shared" si="1"/>
        <v>0</v>
      </c>
    </row>
    <row r="17" spans="1:17" s="42" customFormat="1" ht="15" customHeight="1" thickBot="1" x14ac:dyDescent="0.25">
      <c r="A17" s="41"/>
      <c r="B17" s="1529" t="s">
        <v>924</v>
      </c>
      <c r="C17" s="1530"/>
      <c r="D17" s="1530"/>
      <c r="E17" s="1530"/>
      <c r="F17" s="1530"/>
      <c r="G17" s="1530"/>
      <c r="H17" s="1530"/>
      <c r="I17" s="1530"/>
      <c r="J17" s="1530"/>
      <c r="K17" s="1530"/>
      <c r="L17" s="1530"/>
      <c r="M17" s="1530"/>
      <c r="N17" s="1530"/>
      <c r="O17" s="1531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f>117579391+1200000+87500</f>
        <v>118866891</v>
      </c>
      <c r="J18" s="367">
        <f>117579391+1800000+87500+8339191</f>
        <v>127806082</v>
      </c>
      <c r="K18" s="367">
        <f>117579391+87500+8339191</f>
        <v>126006082</v>
      </c>
      <c r="L18" s="367">
        <f>117579391+87500+8339191</f>
        <v>126006082</v>
      </c>
      <c r="M18" s="367">
        <f>117579391+87500+8339191</f>
        <v>126006082</v>
      </c>
      <c r="N18" s="367">
        <f>117579395+87500+8339189</f>
        <v>126006084</v>
      </c>
      <c r="O18" s="357">
        <f t="shared" ref="O18:O28" si="5">SUM(C18:N18)</f>
        <v>1452916598</v>
      </c>
      <c r="P18" s="417">
        <f>'1. sz.mell. '!C100</f>
        <v>1452916598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f>16899326+815191</f>
        <v>17714517</v>
      </c>
      <c r="K19" s="240">
        <f>16899326+815191</f>
        <v>17714517</v>
      </c>
      <c r="L19" s="240">
        <f>16899326+1195000+815191</f>
        <v>18909517</v>
      </c>
      <c r="M19" s="240">
        <f>16899326+1339995+815191</f>
        <v>19054512</v>
      </c>
      <c r="N19" s="240">
        <f>16899326+815189</f>
        <v>17714515</v>
      </c>
      <c r="O19" s="357">
        <f t="shared" si="5"/>
        <v>212332307</v>
      </c>
      <c r="P19" s="417">
        <f>'1. sz.mell. '!C101</f>
        <v>212332307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105594731+2477881+4628988+9958435</f>
        <v>122660035</v>
      </c>
      <c r="J20" s="240">
        <f>105594731+2477881+9958435</f>
        <v>118031047</v>
      </c>
      <c r="K20" s="240">
        <f>105594731+2477881+9958435</f>
        <v>118031047</v>
      </c>
      <c r="L20" s="240">
        <f>105594731+2477881+9958435</f>
        <v>118031047</v>
      </c>
      <c r="M20" s="240">
        <f>105594731+2477881+9958435</f>
        <v>118031047</v>
      </c>
      <c r="N20" s="240">
        <f>105594736+2477880+9958437</f>
        <v>118031053</v>
      </c>
      <c r="O20" s="357">
        <f t="shared" si="5"/>
        <v>1352840203</v>
      </c>
      <c r="P20" s="417">
        <f>'1. sz.mell. '!C102</f>
        <v>1352884293</v>
      </c>
      <c r="Q20" s="359">
        <f t="shared" si="1"/>
        <v>-44090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f>16360962+874023</f>
        <v>17234985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203074359</v>
      </c>
      <c r="P22" s="358">
        <f>'1. sz.mell. '!C104</f>
        <v>203074359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f>20000000+567168</f>
        <v>20567168</v>
      </c>
      <c r="M23" s="240">
        <f>37500000+20000000+4290000+137436248</f>
        <v>199226248</v>
      </c>
      <c r="N23" s="240">
        <f>36100004+392545056+809906</f>
        <v>429454966</v>
      </c>
      <c r="O23" s="357">
        <f t="shared" si="5"/>
        <v>897382015</v>
      </c>
      <c r="P23" s="358">
        <f>'1. sz.mell. '!C121</f>
        <v>897382015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120000000-19331097+394703</f>
        <v>101063606</v>
      </c>
      <c r="J24" s="240">
        <f>120000000+400000</f>
        <v>120400000</v>
      </c>
      <c r="K24" s="240">
        <v>120000000</v>
      </c>
      <c r="L24" s="240">
        <v>120000000</v>
      </c>
      <c r="M24" s="240">
        <v>120000000</v>
      </c>
      <c r="N24" s="240">
        <f>834815497+588237</f>
        <v>835403734</v>
      </c>
      <c r="O24" s="357">
        <f t="shared" si="5"/>
        <v>1908397067</v>
      </c>
      <c r="P24" s="358">
        <f>'1. sz.mell. '!C123</f>
        <v>1908352977</v>
      </c>
      <c r="Q24" s="359">
        <f t="shared" si="1"/>
        <v>44090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f>150000+798660</f>
        <v>948660</v>
      </c>
      <c r="I25" s="240">
        <v>190000</v>
      </c>
      <c r="J25" s="240"/>
      <c r="K25" s="240">
        <v>577815</v>
      </c>
      <c r="L25" s="240"/>
      <c r="M25" s="240"/>
      <c r="N25" s="240"/>
      <c r="O25" s="357">
        <f t="shared" si="5"/>
        <v>3623752</v>
      </c>
      <c r="P25" s="358">
        <f>'1. sz.mell. '!C125</f>
        <v>3623752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130420513+2653479-1647918-1769228+3366934</f>
        <v>133023780</v>
      </c>
      <c r="O26" s="357">
        <f t="shared" si="5"/>
        <v>133023780</v>
      </c>
      <c r="P26" s="358">
        <f>'1. sz.mell. '!C117</f>
        <v>133023780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506199728</v>
      </c>
      <c r="K28" s="47">
        <f t="shared" si="6"/>
        <v>547759617</v>
      </c>
      <c r="L28" s="47">
        <f t="shared" si="6"/>
        <v>505761896</v>
      </c>
      <c r="M28" s="47">
        <f t="shared" si="6"/>
        <v>684565971</v>
      </c>
      <c r="N28" s="47">
        <f t="shared" si="6"/>
        <v>1783218844</v>
      </c>
      <c r="O28" s="1015">
        <f t="shared" si="5"/>
        <v>7286444484</v>
      </c>
      <c r="P28" s="362">
        <f>SUM(P18:P27)</f>
        <v>7286444484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-179336252</v>
      </c>
      <c r="G29" s="49">
        <f t="shared" si="7"/>
        <v>-46720520</v>
      </c>
      <c r="H29" s="49">
        <f t="shared" si="7"/>
        <v>-167498567</v>
      </c>
      <c r="I29" s="49">
        <f t="shared" si="7"/>
        <v>-241111182</v>
      </c>
      <c r="J29" s="49">
        <f t="shared" si="7"/>
        <v>-69872961</v>
      </c>
      <c r="K29" s="49">
        <f t="shared" si="7"/>
        <v>-26277048</v>
      </c>
      <c r="L29" s="49">
        <f t="shared" si="7"/>
        <v>-154621327</v>
      </c>
      <c r="M29" s="49">
        <f t="shared" si="7"/>
        <v>-388546112</v>
      </c>
      <c r="N29" s="49">
        <f t="shared" si="7"/>
        <v>-1039503852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7" zoomScaleSheetLayoutView="85" workbookViewId="0">
      <selection activeCell="G17" sqref="G17"/>
    </sheetView>
  </sheetViews>
  <sheetFormatPr defaultColWidth="10.6640625" defaultRowHeight="15.75" x14ac:dyDescent="0.25"/>
  <cols>
    <col min="1" max="1" width="10.6640625" style="739"/>
    <col min="2" max="2" width="16" style="739" customWidth="1"/>
    <col min="3" max="3" width="97.33203125" style="739" customWidth="1"/>
    <col min="4" max="4" width="27.5" style="895" customWidth="1"/>
    <col min="5" max="5" width="16.5" style="739" bestFit="1" customWidth="1"/>
    <col min="6" max="6" width="18.6640625" style="739" bestFit="1" customWidth="1"/>
    <col min="7" max="258" width="10.6640625" style="739"/>
    <col min="259" max="259" width="60.1640625" style="739" customWidth="1"/>
    <col min="260" max="260" width="48.83203125" style="739" customWidth="1"/>
    <col min="261" max="261" width="16.5" style="739" bestFit="1" customWidth="1"/>
    <col min="262" max="262" width="15" style="739" customWidth="1"/>
    <col min="263" max="514" width="10.6640625" style="739"/>
    <col min="515" max="515" width="60.1640625" style="739" customWidth="1"/>
    <col min="516" max="516" width="48.83203125" style="739" customWidth="1"/>
    <col min="517" max="517" width="16.5" style="739" bestFit="1" customWidth="1"/>
    <col min="518" max="518" width="15" style="739" customWidth="1"/>
    <col min="519" max="770" width="10.6640625" style="739"/>
    <col min="771" max="771" width="60.1640625" style="739" customWidth="1"/>
    <col min="772" max="772" width="48.83203125" style="739" customWidth="1"/>
    <col min="773" max="773" width="16.5" style="739" bestFit="1" customWidth="1"/>
    <col min="774" max="774" width="15" style="739" customWidth="1"/>
    <col min="775" max="1026" width="10.6640625" style="739"/>
    <col min="1027" max="1027" width="60.1640625" style="739" customWidth="1"/>
    <col min="1028" max="1028" width="48.83203125" style="739" customWidth="1"/>
    <col min="1029" max="1029" width="16.5" style="739" bestFit="1" customWidth="1"/>
    <col min="1030" max="1030" width="15" style="739" customWidth="1"/>
    <col min="1031" max="1282" width="10.6640625" style="739"/>
    <col min="1283" max="1283" width="60.1640625" style="739" customWidth="1"/>
    <col min="1284" max="1284" width="48.83203125" style="739" customWidth="1"/>
    <col min="1285" max="1285" width="16.5" style="739" bestFit="1" customWidth="1"/>
    <col min="1286" max="1286" width="15" style="739" customWidth="1"/>
    <col min="1287" max="1538" width="10.6640625" style="739"/>
    <col min="1539" max="1539" width="60.1640625" style="739" customWidth="1"/>
    <col min="1540" max="1540" width="48.83203125" style="739" customWidth="1"/>
    <col min="1541" max="1541" width="16.5" style="739" bestFit="1" customWidth="1"/>
    <col min="1542" max="1542" width="15" style="739" customWidth="1"/>
    <col min="1543" max="1794" width="10.6640625" style="739"/>
    <col min="1795" max="1795" width="60.1640625" style="739" customWidth="1"/>
    <col min="1796" max="1796" width="48.83203125" style="739" customWidth="1"/>
    <col min="1797" max="1797" width="16.5" style="739" bestFit="1" customWidth="1"/>
    <col min="1798" max="1798" width="15" style="739" customWidth="1"/>
    <col min="1799" max="2050" width="10.6640625" style="739"/>
    <col min="2051" max="2051" width="60.1640625" style="739" customWidth="1"/>
    <col min="2052" max="2052" width="48.83203125" style="739" customWidth="1"/>
    <col min="2053" max="2053" width="16.5" style="739" bestFit="1" customWidth="1"/>
    <col min="2054" max="2054" width="15" style="739" customWidth="1"/>
    <col min="2055" max="2306" width="10.6640625" style="739"/>
    <col min="2307" max="2307" width="60.1640625" style="739" customWidth="1"/>
    <col min="2308" max="2308" width="48.83203125" style="739" customWidth="1"/>
    <col min="2309" max="2309" width="16.5" style="739" bestFit="1" customWidth="1"/>
    <col min="2310" max="2310" width="15" style="739" customWidth="1"/>
    <col min="2311" max="2562" width="10.6640625" style="739"/>
    <col min="2563" max="2563" width="60.1640625" style="739" customWidth="1"/>
    <col min="2564" max="2564" width="48.83203125" style="739" customWidth="1"/>
    <col min="2565" max="2565" width="16.5" style="739" bestFit="1" customWidth="1"/>
    <col min="2566" max="2566" width="15" style="739" customWidth="1"/>
    <col min="2567" max="2818" width="10.6640625" style="739"/>
    <col min="2819" max="2819" width="60.1640625" style="739" customWidth="1"/>
    <col min="2820" max="2820" width="48.83203125" style="739" customWidth="1"/>
    <col min="2821" max="2821" width="16.5" style="739" bestFit="1" customWidth="1"/>
    <col min="2822" max="2822" width="15" style="739" customWidth="1"/>
    <col min="2823" max="3074" width="10.6640625" style="739"/>
    <col min="3075" max="3075" width="60.1640625" style="739" customWidth="1"/>
    <col min="3076" max="3076" width="48.83203125" style="739" customWidth="1"/>
    <col min="3077" max="3077" width="16.5" style="739" bestFit="1" customWidth="1"/>
    <col min="3078" max="3078" width="15" style="739" customWidth="1"/>
    <col min="3079" max="3330" width="10.6640625" style="739"/>
    <col min="3331" max="3331" width="60.1640625" style="739" customWidth="1"/>
    <col min="3332" max="3332" width="48.83203125" style="739" customWidth="1"/>
    <col min="3333" max="3333" width="16.5" style="739" bestFit="1" customWidth="1"/>
    <col min="3334" max="3334" width="15" style="739" customWidth="1"/>
    <col min="3335" max="3586" width="10.6640625" style="739"/>
    <col min="3587" max="3587" width="60.1640625" style="739" customWidth="1"/>
    <col min="3588" max="3588" width="48.83203125" style="739" customWidth="1"/>
    <col min="3589" max="3589" width="16.5" style="739" bestFit="1" customWidth="1"/>
    <col min="3590" max="3590" width="15" style="739" customWidth="1"/>
    <col min="3591" max="3842" width="10.6640625" style="739"/>
    <col min="3843" max="3843" width="60.1640625" style="739" customWidth="1"/>
    <col min="3844" max="3844" width="48.83203125" style="739" customWidth="1"/>
    <col min="3845" max="3845" width="16.5" style="739" bestFit="1" customWidth="1"/>
    <col min="3846" max="3846" width="15" style="739" customWidth="1"/>
    <col min="3847" max="4098" width="10.6640625" style="739"/>
    <col min="4099" max="4099" width="60.1640625" style="739" customWidth="1"/>
    <col min="4100" max="4100" width="48.83203125" style="739" customWidth="1"/>
    <col min="4101" max="4101" width="16.5" style="739" bestFit="1" customWidth="1"/>
    <col min="4102" max="4102" width="15" style="739" customWidth="1"/>
    <col min="4103" max="4354" width="10.6640625" style="739"/>
    <col min="4355" max="4355" width="60.1640625" style="739" customWidth="1"/>
    <col min="4356" max="4356" width="48.83203125" style="739" customWidth="1"/>
    <col min="4357" max="4357" width="16.5" style="739" bestFit="1" customWidth="1"/>
    <col min="4358" max="4358" width="15" style="739" customWidth="1"/>
    <col min="4359" max="4610" width="10.6640625" style="739"/>
    <col min="4611" max="4611" width="60.1640625" style="739" customWidth="1"/>
    <col min="4612" max="4612" width="48.83203125" style="739" customWidth="1"/>
    <col min="4613" max="4613" width="16.5" style="739" bestFit="1" customWidth="1"/>
    <col min="4614" max="4614" width="15" style="739" customWidth="1"/>
    <col min="4615" max="4866" width="10.6640625" style="739"/>
    <col min="4867" max="4867" width="60.1640625" style="739" customWidth="1"/>
    <col min="4868" max="4868" width="48.83203125" style="739" customWidth="1"/>
    <col min="4869" max="4869" width="16.5" style="739" bestFit="1" customWidth="1"/>
    <col min="4870" max="4870" width="15" style="739" customWidth="1"/>
    <col min="4871" max="5122" width="10.6640625" style="739"/>
    <col min="5123" max="5123" width="60.1640625" style="739" customWidth="1"/>
    <col min="5124" max="5124" width="48.83203125" style="739" customWidth="1"/>
    <col min="5125" max="5125" width="16.5" style="739" bestFit="1" customWidth="1"/>
    <col min="5126" max="5126" width="15" style="739" customWidth="1"/>
    <col min="5127" max="5378" width="10.6640625" style="739"/>
    <col min="5379" max="5379" width="60.1640625" style="739" customWidth="1"/>
    <col min="5380" max="5380" width="48.83203125" style="739" customWidth="1"/>
    <col min="5381" max="5381" width="16.5" style="739" bestFit="1" customWidth="1"/>
    <col min="5382" max="5382" width="15" style="739" customWidth="1"/>
    <col min="5383" max="5634" width="10.6640625" style="739"/>
    <col min="5635" max="5635" width="60.1640625" style="739" customWidth="1"/>
    <col min="5636" max="5636" width="48.83203125" style="739" customWidth="1"/>
    <col min="5637" max="5637" width="16.5" style="739" bestFit="1" customWidth="1"/>
    <col min="5638" max="5638" width="15" style="739" customWidth="1"/>
    <col min="5639" max="5890" width="10.6640625" style="739"/>
    <col min="5891" max="5891" width="60.1640625" style="739" customWidth="1"/>
    <col min="5892" max="5892" width="48.83203125" style="739" customWidth="1"/>
    <col min="5893" max="5893" width="16.5" style="739" bestFit="1" customWidth="1"/>
    <col min="5894" max="5894" width="15" style="739" customWidth="1"/>
    <col min="5895" max="6146" width="10.6640625" style="739"/>
    <col min="6147" max="6147" width="60.1640625" style="739" customWidth="1"/>
    <col min="6148" max="6148" width="48.83203125" style="739" customWidth="1"/>
    <col min="6149" max="6149" width="16.5" style="739" bestFit="1" customWidth="1"/>
    <col min="6150" max="6150" width="15" style="739" customWidth="1"/>
    <col min="6151" max="6402" width="10.6640625" style="739"/>
    <col min="6403" max="6403" width="60.1640625" style="739" customWidth="1"/>
    <col min="6404" max="6404" width="48.83203125" style="739" customWidth="1"/>
    <col min="6405" max="6405" width="16.5" style="739" bestFit="1" customWidth="1"/>
    <col min="6406" max="6406" width="15" style="739" customWidth="1"/>
    <col min="6407" max="6658" width="10.6640625" style="739"/>
    <col min="6659" max="6659" width="60.1640625" style="739" customWidth="1"/>
    <col min="6660" max="6660" width="48.83203125" style="739" customWidth="1"/>
    <col min="6661" max="6661" width="16.5" style="739" bestFit="1" customWidth="1"/>
    <col min="6662" max="6662" width="15" style="739" customWidth="1"/>
    <col min="6663" max="6914" width="10.6640625" style="739"/>
    <col min="6915" max="6915" width="60.1640625" style="739" customWidth="1"/>
    <col min="6916" max="6916" width="48.83203125" style="739" customWidth="1"/>
    <col min="6917" max="6917" width="16.5" style="739" bestFit="1" customWidth="1"/>
    <col min="6918" max="6918" width="15" style="739" customWidth="1"/>
    <col min="6919" max="7170" width="10.6640625" style="739"/>
    <col min="7171" max="7171" width="60.1640625" style="739" customWidth="1"/>
    <col min="7172" max="7172" width="48.83203125" style="739" customWidth="1"/>
    <col min="7173" max="7173" width="16.5" style="739" bestFit="1" customWidth="1"/>
    <col min="7174" max="7174" width="15" style="739" customWidth="1"/>
    <col min="7175" max="7426" width="10.6640625" style="739"/>
    <col min="7427" max="7427" width="60.1640625" style="739" customWidth="1"/>
    <col min="7428" max="7428" width="48.83203125" style="739" customWidth="1"/>
    <col min="7429" max="7429" width="16.5" style="739" bestFit="1" customWidth="1"/>
    <col min="7430" max="7430" width="15" style="739" customWidth="1"/>
    <col min="7431" max="7682" width="10.6640625" style="739"/>
    <col min="7683" max="7683" width="60.1640625" style="739" customWidth="1"/>
    <col min="7684" max="7684" width="48.83203125" style="739" customWidth="1"/>
    <col min="7685" max="7685" width="16.5" style="739" bestFit="1" customWidth="1"/>
    <col min="7686" max="7686" width="15" style="739" customWidth="1"/>
    <col min="7687" max="7938" width="10.6640625" style="739"/>
    <col min="7939" max="7939" width="60.1640625" style="739" customWidth="1"/>
    <col min="7940" max="7940" width="48.83203125" style="739" customWidth="1"/>
    <col min="7941" max="7941" width="16.5" style="739" bestFit="1" customWidth="1"/>
    <col min="7942" max="7942" width="15" style="739" customWidth="1"/>
    <col min="7943" max="8194" width="10.6640625" style="739"/>
    <col min="8195" max="8195" width="60.1640625" style="739" customWidth="1"/>
    <col min="8196" max="8196" width="48.83203125" style="739" customWidth="1"/>
    <col min="8197" max="8197" width="16.5" style="739" bestFit="1" customWidth="1"/>
    <col min="8198" max="8198" width="15" style="739" customWidth="1"/>
    <col min="8199" max="8450" width="10.6640625" style="739"/>
    <col min="8451" max="8451" width="60.1640625" style="739" customWidth="1"/>
    <col min="8452" max="8452" width="48.83203125" style="739" customWidth="1"/>
    <col min="8453" max="8453" width="16.5" style="739" bestFit="1" customWidth="1"/>
    <col min="8454" max="8454" width="15" style="739" customWidth="1"/>
    <col min="8455" max="8706" width="10.6640625" style="739"/>
    <col min="8707" max="8707" width="60.1640625" style="739" customWidth="1"/>
    <col min="8708" max="8708" width="48.83203125" style="739" customWidth="1"/>
    <col min="8709" max="8709" width="16.5" style="739" bestFit="1" customWidth="1"/>
    <col min="8710" max="8710" width="15" style="739" customWidth="1"/>
    <col min="8711" max="8962" width="10.6640625" style="739"/>
    <col min="8963" max="8963" width="60.1640625" style="739" customWidth="1"/>
    <col min="8964" max="8964" width="48.83203125" style="739" customWidth="1"/>
    <col min="8965" max="8965" width="16.5" style="739" bestFit="1" customWidth="1"/>
    <col min="8966" max="8966" width="15" style="739" customWidth="1"/>
    <col min="8967" max="9218" width="10.6640625" style="739"/>
    <col min="9219" max="9219" width="60.1640625" style="739" customWidth="1"/>
    <col min="9220" max="9220" width="48.83203125" style="739" customWidth="1"/>
    <col min="9221" max="9221" width="16.5" style="739" bestFit="1" customWidth="1"/>
    <col min="9222" max="9222" width="15" style="739" customWidth="1"/>
    <col min="9223" max="9474" width="10.6640625" style="739"/>
    <col min="9475" max="9475" width="60.1640625" style="739" customWidth="1"/>
    <col min="9476" max="9476" width="48.83203125" style="739" customWidth="1"/>
    <col min="9477" max="9477" width="16.5" style="739" bestFit="1" customWidth="1"/>
    <col min="9478" max="9478" width="15" style="739" customWidth="1"/>
    <col min="9479" max="9730" width="10.6640625" style="739"/>
    <col min="9731" max="9731" width="60.1640625" style="739" customWidth="1"/>
    <col min="9732" max="9732" width="48.83203125" style="739" customWidth="1"/>
    <col min="9733" max="9733" width="16.5" style="739" bestFit="1" customWidth="1"/>
    <col min="9734" max="9734" width="15" style="739" customWidth="1"/>
    <col min="9735" max="9986" width="10.6640625" style="739"/>
    <col min="9987" max="9987" width="60.1640625" style="739" customWidth="1"/>
    <col min="9988" max="9988" width="48.83203125" style="739" customWidth="1"/>
    <col min="9989" max="9989" width="16.5" style="739" bestFit="1" customWidth="1"/>
    <col min="9990" max="9990" width="15" style="739" customWidth="1"/>
    <col min="9991" max="10242" width="10.6640625" style="739"/>
    <col min="10243" max="10243" width="60.1640625" style="739" customWidth="1"/>
    <col min="10244" max="10244" width="48.83203125" style="739" customWidth="1"/>
    <col min="10245" max="10245" width="16.5" style="739" bestFit="1" customWidth="1"/>
    <col min="10246" max="10246" width="15" style="739" customWidth="1"/>
    <col min="10247" max="10498" width="10.6640625" style="739"/>
    <col min="10499" max="10499" width="60.1640625" style="739" customWidth="1"/>
    <col min="10500" max="10500" width="48.83203125" style="739" customWidth="1"/>
    <col min="10501" max="10501" width="16.5" style="739" bestFit="1" customWidth="1"/>
    <col min="10502" max="10502" width="15" style="739" customWidth="1"/>
    <col min="10503" max="10754" width="10.6640625" style="739"/>
    <col min="10755" max="10755" width="60.1640625" style="739" customWidth="1"/>
    <col min="10756" max="10756" width="48.83203125" style="739" customWidth="1"/>
    <col min="10757" max="10757" width="16.5" style="739" bestFit="1" customWidth="1"/>
    <col min="10758" max="10758" width="15" style="739" customWidth="1"/>
    <col min="10759" max="11010" width="10.6640625" style="739"/>
    <col min="11011" max="11011" width="60.1640625" style="739" customWidth="1"/>
    <col min="11012" max="11012" width="48.83203125" style="739" customWidth="1"/>
    <col min="11013" max="11013" width="16.5" style="739" bestFit="1" customWidth="1"/>
    <col min="11014" max="11014" width="15" style="739" customWidth="1"/>
    <col min="11015" max="11266" width="10.6640625" style="739"/>
    <col min="11267" max="11267" width="60.1640625" style="739" customWidth="1"/>
    <col min="11268" max="11268" width="48.83203125" style="739" customWidth="1"/>
    <col min="11269" max="11269" width="16.5" style="739" bestFit="1" customWidth="1"/>
    <col min="11270" max="11270" width="15" style="739" customWidth="1"/>
    <col min="11271" max="11522" width="10.6640625" style="739"/>
    <col min="11523" max="11523" width="60.1640625" style="739" customWidth="1"/>
    <col min="11524" max="11524" width="48.83203125" style="739" customWidth="1"/>
    <col min="11525" max="11525" width="16.5" style="739" bestFit="1" customWidth="1"/>
    <col min="11526" max="11526" width="15" style="739" customWidth="1"/>
    <col min="11527" max="11778" width="10.6640625" style="739"/>
    <col min="11779" max="11779" width="60.1640625" style="739" customWidth="1"/>
    <col min="11780" max="11780" width="48.83203125" style="739" customWidth="1"/>
    <col min="11781" max="11781" width="16.5" style="739" bestFit="1" customWidth="1"/>
    <col min="11782" max="11782" width="15" style="739" customWidth="1"/>
    <col min="11783" max="12034" width="10.6640625" style="739"/>
    <col min="12035" max="12035" width="60.1640625" style="739" customWidth="1"/>
    <col min="12036" max="12036" width="48.83203125" style="739" customWidth="1"/>
    <col min="12037" max="12037" width="16.5" style="739" bestFit="1" customWidth="1"/>
    <col min="12038" max="12038" width="15" style="739" customWidth="1"/>
    <col min="12039" max="12290" width="10.6640625" style="739"/>
    <col min="12291" max="12291" width="60.1640625" style="739" customWidth="1"/>
    <col min="12292" max="12292" width="48.83203125" style="739" customWidth="1"/>
    <col min="12293" max="12293" width="16.5" style="739" bestFit="1" customWidth="1"/>
    <col min="12294" max="12294" width="15" style="739" customWidth="1"/>
    <col min="12295" max="12546" width="10.6640625" style="739"/>
    <col min="12547" max="12547" width="60.1640625" style="739" customWidth="1"/>
    <col min="12548" max="12548" width="48.83203125" style="739" customWidth="1"/>
    <col min="12549" max="12549" width="16.5" style="739" bestFit="1" customWidth="1"/>
    <col min="12550" max="12550" width="15" style="739" customWidth="1"/>
    <col min="12551" max="12802" width="10.6640625" style="739"/>
    <col min="12803" max="12803" width="60.1640625" style="739" customWidth="1"/>
    <col min="12804" max="12804" width="48.83203125" style="739" customWidth="1"/>
    <col min="12805" max="12805" width="16.5" style="739" bestFit="1" customWidth="1"/>
    <col min="12806" max="12806" width="15" style="739" customWidth="1"/>
    <col min="12807" max="13058" width="10.6640625" style="739"/>
    <col min="13059" max="13059" width="60.1640625" style="739" customWidth="1"/>
    <col min="13060" max="13060" width="48.83203125" style="739" customWidth="1"/>
    <col min="13061" max="13061" width="16.5" style="739" bestFit="1" customWidth="1"/>
    <col min="13062" max="13062" width="15" style="739" customWidth="1"/>
    <col min="13063" max="13314" width="10.6640625" style="739"/>
    <col min="13315" max="13315" width="60.1640625" style="739" customWidth="1"/>
    <col min="13316" max="13316" width="48.83203125" style="739" customWidth="1"/>
    <col min="13317" max="13317" width="16.5" style="739" bestFit="1" customWidth="1"/>
    <col min="13318" max="13318" width="15" style="739" customWidth="1"/>
    <col min="13319" max="13570" width="10.6640625" style="739"/>
    <col min="13571" max="13571" width="60.1640625" style="739" customWidth="1"/>
    <col min="13572" max="13572" width="48.83203125" style="739" customWidth="1"/>
    <col min="13573" max="13573" width="16.5" style="739" bestFit="1" customWidth="1"/>
    <col min="13574" max="13574" width="15" style="739" customWidth="1"/>
    <col min="13575" max="13826" width="10.6640625" style="739"/>
    <col min="13827" max="13827" width="60.1640625" style="739" customWidth="1"/>
    <col min="13828" max="13828" width="48.83203125" style="739" customWidth="1"/>
    <col min="13829" max="13829" width="16.5" style="739" bestFit="1" customWidth="1"/>
    <col min="13830" max="13830" width="15" style="739" customWidth="1"/>
    <col min="13831" max="14082" width="10.6640625" style="739"/>
    <col min="14083" max="14083" width="60.1640625" style="739" customWidth="1"/>
    <col min="14084" max="14084" width="48.83203125" style="739" customWidth="1"/>
    <col min="14085" max="14085" width="16.5" style="739" bestFit="1" customWidth="1"/>
    <col min="14086" max="14086" width="15" style="739" customWidth="1"/>
    <col min="14087" max="14338" width="10.6640625" style="739"/>
    <col min="14339" max="14339" width="60.1640625" style="739" customWidth="1"/>
    <col min="14340" max="14340" width="48.83203125" style="739" customWidth="1"/>
    <col min="14341" max="14341" width="16.5" style="739" bestFit="1" customWidth="1"/>
    <col min="14342" max="14342" width="15" style="739" customWidth="1"/>
    <col min="14343" max="14594" width="10.6640625" style="739"/>
    <col min="14595" max="14595" width="60.1640625" style="739" customWidth="1"/>
    <col min="14596" max="14596" width="48.83203125" style="739" customWidth="1"/>
    <col min="14597" max="14597" width="16.5" style="739" bestFit="1" customWidth="1"/>
    <col min="14598" max="14598" width="15" style="739" customWidth="1"/>
    <col min="14599" max="14850" width="10.6640625" style="739"/>
    <col min="14851" max="14851" width="60.1640625" style="739" customWidth="1"/>
    <col min="14852" max="14852" width="48.83203125" style="739" customWidth="1"/>
    <col min="14853" max="14853" width="16.5" style="739" bestFit="1" customWidth="1"/>
    <col min="14854" max="14854" width="15" style="739" customWidth="1"/>
    <col min="14855" max="15106" width="10.6640625" style="739"/>
    <col min="15107" max="15107" width="60.1640625" style="739" customWidth="1"/>
    <col min="15108" max="15108" width="48.83203125" style="739" customWidth="1"/>
    <col min="15109" max="15109" width="16.5" style="739" bestFit="1" customWidth="1"/>
    <col min="15110" max="15110" width="15" style="739" customWidth="1"/>
    <col min="15111" max="15362" width="10.6640625" style="739"/>
    <col min="15363" max="15363" width="60.1640625" style="739" customWidth="1"/>
    <col min="15364" max="15364" width="48.83203125" style="739" customWidth="1"/>
    <col min="15365" max="15365" width="16.5" style="739" bestFit="1" customWidth="1"/>
    <col min="15366" max="15366" width="15" style="739" customWidth="1"/>
    <col min="15367" max="15618" width="10.6640625" style="739"/>
    <col min="15619" max="15619" width="60.1640625" style="739" customWidth="1"/>
    <col min="15620" max="15620" width="48.83203125" style="739" customWidth="1"/>
    <col min="15621" max="15621" width="16.5" style="739" bestFit="1" customWidth="1"/>
    <col min="15622" max="15622" width="15" style="739" customWidth="1"/>
    <col min="15623" max="15874" width="10.6640625" style="739"/>
    <col min="15875" max="15875" width="60.1640625" style="739" customWidth="1"/>
    <col min="15876" max="15876" width="48.83203125" style="739" customWidth="1"/>
    <col min="15877" max="15877" width="16.5" style="739" bestFit="1" customWidth="1"/>
    <col min="15878" max="15878" width="15" style="739" customWidth="1"/>
    <col min="15879" max="16130" width="10.6640625" style="739"/>
    <col min="16131" max="16131" width="60.1640625" style="739" customWidth="1"/>
    <col min="16132" max="16132" width="48.83203125" style="739" customWidth="1"/>
    <col min="16133" max="16133" width="16.5" style="739" bestFit="1" customWidth="1"/>
    <col min="16134" max="16134" width="15" style="739" customWidth="1"/>
    <col min="16135" max="16384" width="10.6640625" style="739"/>
  </cols>
  <sheetData>
    <row r="1" spans="1:4" ht="12.75" x14ac:dyDescent="0.2">
      <c r="A1" s="1533" t="str">
        <f>CONCATENATE("29. melléklet ",ALAPADATOK!A7," ",ALAPADATOK!B7," ",ALAPADATOK!C7," ",ALAPADATOK!D7," ",ALAPADATOK!E7," ",ALAPADATOK!F7," ",ALAPADATOK!G7," ",ALAPADATOK!H7)</f>
        <v>29. melléklet a .. / 2022. ( …... ) önkormányzati rendelethez</v>
      </c>
      <c r="B1" s="1533"/>
      <c r="C1" s="1533"/>
      <c r="D1" s="1533"/>
    </row>
    <row r="2" spans="1:4" ht="17.25" customHeight="1" x14ac:dyDescent="0.2">
      <c r="C2" s="235"/>
      <c r="D2" s="1339" t="s">
        <v>1029</v>
      </c>
    </row>
    <row r="3" spans="1:4" ht="42" customHeight="1" x14ac:dyDescent="0.2">
      <c r="A3" s="1534" t="s">
        <v>1004</v>
      </c>
      <c r="B3" s="1534"/>
      <c r="C3" s="1534"/>
      <c r="D3" s="1534"/>
    </row>
    <row r="4" spans="1:4" ht="33" customHeight="1" thickBot="1" x14ac:dyDescent="0.3">
      <c r="C4" s="236"/>
      <c r="D4" s="823"/>
    </row>
    <row r="5" spans="1:4" ht="45" customHeight="1" thickBot="1" x14ac:dyDescent="0.25">
      <c r="A5" s="1589" t="s">
        <v>715</v>
      </c>
      <c r="B5" s="1581" t="s">
        <v>752</v>
      </c>
      <c r="C5" s="1130" t="s">
        <v>703</v>
      </c>
      <c r="D5" s="1131" t="s">
        <v>1005</v>
      </c>
    </row>
    <row r="6" spans="1:4" x14ac:dyDescent="0.2">
      <c r="A6" s="1590" t="s">
        <v>16</v>
      </c>
      <c r="B6" s="863" t="s">
        <v>753</v>
      </c>
      <c r="C6" s="856" t="s">
        <v>364</v>
      </c>
      <c r="D6" s="1030">
        <f>176680325+1334225</f>
        <v>178014550</v>
      </c>
    </row>
    <row r="7" spans="1:4" x14ac:dyDescent="0.2">
      <c r="A7" s="1591" t="s">
        <v>17</v>
      </c>
      <c r="B7" s="864" t="s">
        <v>754</v>
      </c>
      <c r="C7" s="862" t="s">
        <v>755</v>
      </c>
      <c r="D7" s="890">
        <f>19945800+633200</f>
        <v>20579000</v>
      </c>
    </row>
    <row r="8" spans="1:4" x14ac:dyDescent="0.2">
      <c r="A8" s="1591" t="s">
        <v>18</v>
      </c>
      <c r="B8" s="864" t="s">
        <v>764</v>
      </c>
      <c r="C8" s="862" t="s">
        <v>756</v>
      </c>
      <c r="D8" s="890">
        <f>35440000+974600</f>
        <v>36414600</v>
      </c>
    </row>
    <row r="9" spans="1:4" ht="15" customHeight="1" x14ac:dyDescent="0.2">
      <c r="A9" s="1591" t="s">
        <v>19</v>
      </c>
      <c r="B9" s="864" t="s">
        <v>763</v>
      </c>
      <c r="C9" s="862" t="s">
        <v>757</v>
      </c>
      <c r="D9" s="890">
        <f>7111416+752169</f>
        <v>7863585</v>
      </c>
    </row>
    <row r="10" spans="1:4" x14ac:dyDescent="0.2">
      <c r="A10" s="1591" t="s">
        <v>20</v>
      </c>
      <c r="B10" s="864" t="s">
        <v>760</v>
      </c>
      <c r="C10" s="862" t="s">
        <v>758</v>
      </c>
      <c r="D10" s="890">
        <f>21392481+527775</f>
        <v>21920256</v>
      </c>
    </row>
    <row r="11" spans="1:4" x14ac:dyDescent="0.2">
      <c r="A11" s="1591" t="s">
        <v>21</v>
      </c>
      <c r="B11" s="864" t="s">
        <v>761</v>
      </c>
      <c r="C11" s="862" t="s">
        <v>759</v>
      </c>
      <c r="D11" s="890">
        <f>35000100+1296300</f>
        <v>36296400</v>
      </c>
    </row>
    <row r="12" spans="1:4" ht="17.25" customHeight="1" x14ac:dyDescent="0.2">
      <c r="A12" s="1591" t="s">
        <v>22</v>
      </c>
      <c r="B12" s="864" t="s">
        <v>762</v>
      </c>
      <c r="C12" s="862" t="s">
        <v>365</v>
      </c>
      <c r="D12" s="890">
        <f>140250+8250</f>
        <v>148500</v>
      </c>
    </row>
    <row r="13" spans="1:4" ht="17.25" customHeight="1" thickBot="1" x14ac:dyDescent="0.25">
      <c r="A13" s="1592" t="s">
        <v>23</v>
      </c>
      <c r="B13" s="867"/>
      <c r="C13" s="869" t="s">
        <v>832</v>
      </c>
      <c r="D13" s="891"/>
    </row>
    <row r="14" spans="1:4" ht="32.25" thickBot="1" x14ac:dyDescent="0.25">
      <c r="A14" s="1593" t="s">
        <v>24</v>
      </c>
      <c r="B14" s="865" t="s">
        <v>85</v>
      </c>
      <c r="C14" s="854" t="s">
        <v>889</v>
      </c>
      <c r="D14" s="859">
        <f>SUM(D6:D13)</f>
        <v>301236891</v>
      </c>
    </row>
    <row r="15" spans="1:4" x14ac:dyDescent="0.2">
      <c r="A15" s="1594" t="s">
        <v>25</v>
      </c>
      <c r="B15" s="1582" t="s">
        <v>765</v>
      </c>
      <c r="C15" s="872" t="s">
        <v>766</v>
      </c>
      <c r="D15" s="1575">
        <f>37257000+6774000-440000</f>
        <v>43591000</v>
      </c>
    </row>
    <row r="16" spans="1:4" x14ac:dyDescent="0.2">
      <c r="A16" s="1595" t="s">
        <v>26</v>
      </c>
      <c r="B16" s="1583" t="s">
        <v>767</v>
      </c>
      <c r="C16" s="873" t="s">
        <v>768</v>
      </c>
      <c r="D16" s="1576">
        <f>142441950+11761020-972300</f>
        <v>153230670</v>
      </c>
    </row>
    <row r="17" spans="1:5" ht="31.5" x14ac:dyDescent="0.2">
      <c r="A17" s="1595" t="s">
        <v>27</v>
      </c>
      <c r="B17" s="1583" t="s">
        <v>882</v>
      </c>
      <c r="C17" s="1027" t="s">
        <v>769</v>
      </c>
      <c r="D17" s="1576">
        <f>7344000+606730-1296000+792000</f>
        <v>7446730</v>
      </c>
    </row>
    <row r="18" spans="1:5" ht="31.5" x14ac:dyDescent="0.2">
      <c r="A18" s="1595" t="s">
        <v>28</v>
      </c>
      <c r="B18" s="1583" t="s">
        <v>883</v>
      </c>
      <c r="C18" s="1027" t="s">
        <v>770</v>
      </c>
      <c r="D18" s="1576">
        <f>8055000+664850-1611000</f>
        <v>7108850</v>
      </c>
    </row>
    <row r="19" spans="1:5" x14ac:dyDescent="0.2">
      <c r="A19" s="1595" t="s">
        <v>29</v>
      </c>
      <c r="B19" s="878" t="s">
        <v>772</v>
      </c>
      <c r="C19" s="873" t="s">
        <v>771</v>
      </c>
      <c r="D19" s="890">
        <f>70119000+11319000</f>
        <v>81438000</v>
      </c>
    </row>
    <row r="20" spans="1:5" ht="16.5" thickBot="1" x14ac:dyDescent="0.25">
      <c r="A20" s="1596" t="s">
        <v>30</v>
      </c>
      <c r="B20" s="1577" t="s">
        <v>1050</v>
      </c>
      <c r="C20" s="870" t="s">
        <v>1049</v>
      </c>
      <c r="D20" s="1578">
        <v>240000</v>
      </c>
    </row>
    <row r="21" spans="1:5" ht="32.25" thickBot="1" x14ac:dyDescent="0.25">
      <c r="A21" s="1593" t="s">
        <v>31</v>
      </c>
      <c r="B21" s="865" t="s">
        <v>86</v>
      </c>
      <c r="C21" s="854" t="s">
        <v>1051</v>
      </c>
      <c r="D21" s="859">
        <f>SUM(D15:D20)</f>
        <v>293055250</v>
      </c>
    </row>
    <row r="22" spans="1:5" ht="31.5" customHeight="1" thickBot="1" x14ac:dyDescent="0.25">
      <c r="A22" s="1597" t="s">
        <v>32</v>
      </c>
      <c r="B22" s="855" t="s">
        <v>774</v>
      </c>
      <c r="C22" s="871" t="s">
        <v>773</v>
      </c>
      <c r="D22" s="892">
        <v>114133484</v>
      </c>
    </row>
    <row r="23" spans="1:5" x14ac:dyDescent="0.2">
      <c r="A23" s="1594" t="s">
        <v>33</v>
      </c>
      <c r="B23" s="1584" t="s">
        <v>777</v>
      </c>
      <c r="C23" s="872" t="s">
        <v>775</v>
      </c>
      <c r="D23" s="861">
        <f>6859904+1346400</f>
        <v>8206304</v>
      </c>
    </row>
    <row r="24" spans="1:5" x14ac:dyDescent="0.2">
      <c r="A24" s="1595" t="s">
        <v>34</v>
      </c>
      <c r="B24" s="878" t="s">
        <v>778</v>
      </c>
      <c r="C24" s="873" t="s">
        <v>776</v>
      </c>
      <c r="D24" s="890">
        <f>23958474+6074140</f>
        <v>30032614</v>
      </c>
      <c r="E24" s="237"/>
    </row>
    <row r="25" spans="1:5" x14ac:dyDescent="0.2">
      <c r="A25" s="1595" t="s">
        <v>35</v>
      </c>
      <c r="B25" s="878" t="s">
        <v>780</v>
      </c>
      <c r="C25" s="873" t="s">
        <v>779</v>
      </c>
      <c r="D25" s="890">
        <f>4068600+360000</f>
        <v>4428600</v>
      </c>
    </row>
    <row r="26" spans="1:5" x14ac:dyDescent="0.2">
      <c r="A26" s="1595" t="s">
        <v>36</v>
      </c>
      <c r="B26" s="878" t="s">
        <v>783</v>
      </c>
      <c r="C26" s="873" t="s">
        <v>781</v>
      </c>
      <c r="D26" s="1576">
        <f>25000-25000</f>
        <v>0</v>
      </c>
    </row>
    <row r="27" spans="1:5" x14ac:dyDescent="0.2">
      <c r="A27" s="1595" t="s">
        <v>37</v>
      </c>
      <c r="B27" s="878" t="s">
        <v>784</v>
      </c>
      <c r="C27" s="873" t="s">
        <v>782</v>
      </c>
      <c r="D27" s="1576">
        <f>25535710+5494000+762260</f>
        <v>31791970</v>
      </c>
    </row>
    <row r="28" spans="1:5" x14ac:dyDescent="0.2">
      <c r="A28" s="1595" t="s">
        <v>38</v>
      </c>
      <c r="B28" s="878" t="s">
        <v>884</v>
      </c>
      <c r="C28" s="873" t="s">
        <v>885</v>
      </c>
      <c r="D28" s="890">
        <f>4590600+551700</f>
        <v>5142300</v>
      </c>
    </row>
    <row r="29" spans="1:5" x14ac:dyDescent="0.2">
      <c r="A29" s="1595" t="s">
        <v>39</v>
      </c>
      <c r="B29" s="878" t="s">
        <v>786</v>
      </c>
      <c r="C29" s="873" t="s">
        <v>785</v>
      </c>
      <c r="D29" s="1576">
        <f>3610080+912000+451260</f>
        <v>4973340</v>
      </c>
    </row>
    <row r="30" spans="1:5" x14ac:dyDescent="0.2">
      <c r="A30" s="1595" t="s">
        <v>40</v>
      </c>
      <c r="B30" s="878" t="s">
        <v>787</v>
      </c>
      <c r="C30" s="873" t="s">
        <v>797</v>
      </c>
      <c r="D30" s="890">
        <v>3000000</v>
      </c>
    </row>
    <row r="31" spans="1:5" x14ac:dyDescent="0.2">
      <c r="A31" s="1595" t="s">
        <v>41</v>
      </c>
      <c r="B31" s="878" t="s">
        <v>788</v>
      </c>
      <c r="C31" s="873" t="s">
        <v>798</v>
      </c>
      <c r="D31" s="890">
        <f>20308890+3489500</f>
        <v>23798390</v>
      </c>
    </row>
    <row r="32" spans="1:5" x14ac:dyDescent="0.2">
      <c r="A32" s="1595" t="s">
        <v>42</v>
      </c>
      <c r="B32" s="878" t="s">
        <v>827</v>
      </c>
      <c r="C32" s="873" t="s">
        <v>826</v>
      </c>
      <c r="D32" s="890">
        <v>153930858</v>
      </c>
    </row>
    <row r="33" spans="1:5" ht="16.5" thickBot="1" x14ac:dyDescent="0.25">
      <c r="A33" s="1598" t="s">
        <v>43</v>
      </c>
      <c r="B33" s="887" t="s">
        <v>830</v>
      </c>
      <c r="C33" s="883" t="s">
        <v>831</v>
      </c>
      <c r="D33" s="893">
        <v>15968312</v>
      </c>
    </row>
    <row r="34" spans="1:5" ht="32.25" thickBot="1" x14ac:dyDescent="0.25">
      <c r="A34" s="1599" t="s">
        <v>733</v>
      </c>
      <c r="B34" s="866" t="s">
        <v>887</v>
      </c>
      <c r="C34" s="854" t="s">
        <v>1053</v>
      </c>
      <c r="D34" s="857">
        <f>SUM(D23:D33)</f>
        <v>281272688</v>
      </c>
    </row>
    <row r="35" spans="1:5" x14ac:dyDescent="0.2">
      <c r="A35" s="1600" t="s">
        <v>806</v>
      </c>
      <c r="B35" s="1585" t="s">
        <v>792</v>
      </c>
      <c r="C35" s="879" t="s">
        <v>789</v>
      </c>
      <c r="D35" s="1606">
        <f>35700000+13234900-5100000</f>
        <v>43834900</v>
      </c>
    </row>
    <row r="36" spans="1:5" ht="31.5" x14ac:dyDescent="0.2">
      <c r="A36" s="1600" t="s">
        <v>807</v>
      </c>
      <c r="B36" s="1585" t="s">
        <v>793</v>
      </c>
      <c r="C36" s="879" t="s">
        <v>790</v>
      </c>
      <c r="D36" s="1607">
        <f>34080000+9544000+17040000</f>
        <v>60664000</v>
      </c>
    </row>
    <row r="37" spans="1:5" ht="16.5" thickBot="1" x14ac:dyDescent="0.25">
      <c r="A37" s="1601" t="s">
        <v>808</v>
      </c>
      <c r="B37" s="1586" t="s">
        <v>794</v>
      </c>
      <c r="C37" s="880" t="s">
        <v>791</v>
      </c>
      <c r="D37" s="1607">
        <f>12275000-12275000</f>
        <v>0</v>
      </c>
    </row>
    <row r="38" spans="1:5" ht="16.5" thickBot="1" x14ac:dyDescent="0.25">
      <c r="A38" s="1599" t="s">
        <v>815</v>
      </c>
      <c r="B38" s="866" t="s">
        <v>795</v>
      </c>
      <c r="C38" s="881" t="s">
        <v>796</v>
      </c>
      <c r="D38" s="857">
        <f>SUM(D35:D37)</f>
        <v>104498900</v>
      </c>
      <c r="E38" s="255"/>
    </row>
    <row r="39" spans="1:5" x14ac:dyDescent="0.2">
      <c r="A39" s="1590" t="s">
        <v>816</v>
      </c>
      <c r="B39" s="863" t="s">
        <v>799</v>
      </c>
      <c r="C39" s="882" t="s">
        <v>803</v>
      </c>
      <c r="D39" s="1030">
        <f>157500000+32896500</f>
        <v>190396500</v>
      </c>
    </row>
    <row r="40" spans="1:5" ht="16.5" thickBot="1" x14ac:dyDescent="0.25">
      <c r="A40" s="1592" t="s">
        <v>817</v>
      </c>
      <c r="B40" s="867" t="s">
        <v>800</v>
      </c>
      <c r="C40" s="883" t="s">
        <v>802</v>
      </c>
      <c r="D40" s="1608">
        <f>50534000+15394000</f>
        <v>65928000</v>
      </c>
    </row>
    <row r="41" spans="1:5" ht="30" customHeight="1" thickBot="1" x14ac:dyDescent="0.25">
      <c r="A41" s="1602" t="s">
        <v>818</v>
      </c>
      <c r="B41" s="868" t="s">
        <v>801</v>
      </c>
      <c r="C41" s="884" t="s">
        <v>805</v>
      </c>
      <c r="D41" s="892">
        <f>SUM(D39:D40)</f>
        <v>256324500</v>
      </c>
    </row>
    <row r="42" spans="1:5" ht="32.25" thickBot="1" x14ac:dyDescent="0.25">
      <c r="A42" s="1593" t="s">
        <v>820</v>
      </c>
      <c r="B42" s="865" t="s">
        <v>804</v>
      </c>
      <c r="C42" s="858" t="s">
        <v>1054</v>
      </c>
      <c r="D42" s="859">
        <f>D22+D34+D38+D41</f>
        <v>756229572</v>
      </c>
    </row>
    <row r="43" spans="1:5" x14ac:dyDescent="0.2">
      <c r="A43" s="1603" t="s">
        <v>821</v>
      </c>
      <c r="B43" s="886" t="s">
        <v>809</v>
      </c>
      <c r="C43" s="860" t="s">
        <v>814</v>
      </c>
      <c r="D43" s="1575">
        <f>80024340+8464491-927960</f>
        <v>87560871</v>
      </c>
    </row>
    <row r="44" spans="1:5" x14ac:dyDescent="0.2">
      <c r="A44" s="1600" t="s">
        <v>823</v>
      </c>
      <c r="B44" s="1585" t="s">
        <v>810</v>
      </c>
      <c r="C44" s="879" t="s">
        <v>813</v>
      </c>
      <c r="D44" s="1576">
        <f>130235998+9943669-2524782</f>
        <v>137654885</v>
      </c>
    </row>
    <row r="45" spans="1:5" ht="16.5" thickBot="1" x14ac:dyDescent="0.25">
      <c r="A45" s="1604" t="s">
        <v>833</v>
      </c>
      <c r="B45" s="1587" t="s">
        <v>811</v>
      </c>
      <c r="C45" s="880" t="s">
        <v>812</v>
      </c>
      <c r="D45" s="1609">
        <f>52279830-95418</f>
        <v>52184412</v>
      </c>
    </row>
    <row r="46" spans="1:5" ht="32.25" thickBot="1" x14ac:dyDescent="0.25">
      <c r="A46" s="1593" t="s">
        <v>834</v>
      </c>
      <c r="B46" s="865" t="s">
        <v>88</v>
      </c>
      <c r="C46" s="885" t="s">
        <v>1055</v>
      </c>
      <c r="D46" s="859">
        <f>SUM(D43:D45)</f>
        <v>277400168</v>
      </c>
    </row>
    <row r="47" spans="1:5" ht="31.5" x14ac:dyDescent="0.2">
      <c r="A47" s="1590" t="s">
        <v>888</v>
      </c>
      <c r="B47" s="863" t="s">
        <v>819</v>
      </c>
      <c r="C47" s="888" t="s">
        <v>822</v>
      </c>
      <c r="D47" s="1031">
        <v>28687119</v>
      </c>
    </row>
    <row r="48" spans="1:5" x14ac:dyDescent="0.2">
      <c r="A48" s="1605" t="s">
        <v>835</v>
      </c>
      <c r="B48" s="1588" t="s">
        <v>828</v>
      </c>
      <c r="C48" s="1024" t="s">
        <v>829</v>
      </c>
      <c r="D48" s="1025">
        <v>12600000</v>
      </c>
    </row>
    <row r="49" spans="1:6" ht="16.5" thickBot="1" x14ac:dyDescent="0.25">
      <c r="A49" s="1592" t="s">
        <v>836</v>
      </c>
      <c r="B49" s="867" t="s">
        <v>871</v>
      </c>
      <c r="C49" s="1026" t="s">
        <v>872</v>
      </c>
      <c r="D49" s="891">
        <v>1055000</v>
      </c>
    </row>
    <row r="50" spans="1:6" ht="32.25" thickBot="1" x14ac:dyDescent="0.25">
      <c r="A50" s="1593" t="s">
        <v>870</v>
      </c>
      <c r="B50" s="865" t="s">
        <v>111</v>
      </c>
      <c r="C50" s="885" t="s">
        <v>1056</v>
      </c>
      <c r="D50" s="859">
        <f>SUM(D47:D49)</f>
        <v>42342119</v>
      </c>
    </row>
    <row r="51" spans="1:6" ht="20.25" customHeight="1" thickBot="1" x14ac:dyDescent="0.25">
      <c r="A51" s="1593" t="s">
        <v>886</v>
      </c>
      <c r="B51" s="865" t="s">
        <v>824</v>
      </c>
      <c r="C51" s="889" t="s">
        <v>825</v>
      </c>
      <c r="D51" s="859">
        <v>-5091319</v>
      </c>
    </row>
    <row r="52" spans="1:6" ht="16.5" thickBot="1" x14ac:dyDescent="0.25">
      <c r="A52" s="1580" t="s">
        <v>1052</v>
      </c>
      <c r="B52" s="1579" t="s">
        <v>1057</v>
      </c>
      <c r="C52" s="1532"/>
      <c r="D52" s="894">
        <f>D14+D21+D42+D46+D50+D51</f>
        <v>1665172681</v>
      </c>
      <c r="F52" s="587"/>
    </row>
    <row r="54" spans="1:6" x14ac:dyDescent="0.25">
      <c r="B54" s="875"/>
      <c r="C54" s="874"/>
    </row>
    <row r="55" spans="1:6" x14ac:dyDescent="0.25">
      <c r="B55" s="875"/>
      <c r="C55" s="874"/>
    </row>
    <row r="56" spans="1:6" x14ac:dyDescent="0.25">
      <c r="B56" s="876"/>
      <c r="C56" s="877"/>
    </row>
    <row r="57" spans="1:6" x14ac:dyDescent="0.25">
      <c r="B57" s="875"/>
      <c r="C57" s="874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5"/>
  <sheetViews>
    <sheetView topLeftCell="A7" zoomScale="130" zoomScaleNormal="130" zoomScaleSheetLayoutView="130" workbookViewId="0">
      <selection activeCell="A2" sqref="A2"/>
    </sheetView>
  </sheetViews>
  <sheetFormatPr defaultRowHeight="12.75" x14ac:dyDescent="0.2"/>
  <cols>
    <col min="1" max="1" width="6.6640625" style="701" customWidth="1"/>
    <col min="2" max="2" width="43.33203125" style="701" customWidth="1"/>
    <col min="3" max="3" width="31.1640625" style="701" customWidth="1"/>
    <col min="4" max="4" width="17.5" style="720" bestFit="1" customWidth="1"/>
    <col min="5" max="16384" width="9.33203125" style="701"/>
  </cols>
  <sheetData>
    <row r="1" spans="1:6" x14ac:dyDescent="0.2">
      <c r="A1" s="1447" t="str">
        <f>CONCATENATE("30. melléklet ",ALAPADATOK!A7," ",ALAPADATOK!B7," ",ALAPADATOK!C7," ",ALAPADATOK!D7," ",ALAPADATOK!E7," ",ALAPADATOK!F7," ",ALAPADATOK!G7," ",ALAPADATOK!H7)</f>
        <v>30. melléklet a .. / 2022. ( …... ) önkormányzati rendelethez</v>
      </c>
      <c r="B1" s="1447"/>
      <c r="C1" s="1447"/>
      <c r="D1" s="1447"/>
    </row>
    <row r="2" spans="1:6" x14ac:dyDescent="0.2">
      <c r="D2" s="1339" t="s">
        <v>1030</v>
      </c>
    </row>
    <row r="3" spans="1:6" ht="45" customHeight="1" x14ac:dyDescent="0.25">
      <c r="A3" s="1535" t="s">
        <v>1006</v>
      </c>
      <c r="B3" s="1535"/>
      <c r="C3" s="1535"/>
      <c r="D3" s="1535"/>
    </row>
    <row r="4" spans="1:6" ht="17.25" customHeight="1" x14ac:dyDescent="0.25">
      <c r="A4" s="776"/>
      <c r="B4" s="776"/>
      <c r="C4" s="776"/>
      <c r="D4" s="588"/>
    </row>
    <row r="5" spans="1:6" ht="13.5" thickBot="1" x14ac:dyDescent="0.25">
      <c r="A5" s="75"/>
      <c r="B5" s="75"/>
      <c r="C5" s="1536"/>
      <c r="D5" s="1536"/>
    </row>
    <row r="6" spans="1:6" ht="42.75" customHeight="1" thickBot="1" x14ac:dyDescent="0.25">
      <c r="A6" s="1317" t="s">
        <v>715</v>
      </c>
      <c r="B6" s="589" t="s">
        <v>107</v>
      </c>
      <c r="C6" s="589" t="s">
        <v>108</v>
      </c>
      <c r="D6" s="1132" t="s">
        <v>933</v>
      </c>
    </row>
    <row r="7" spans="1:6" ht="15.95" customHeight="1" x14ac:dyDescent="0.2">
      <c r="A7" s="1320" t="s">
        <v>16</v>
      </c>
      <c r="B7" s="1318" t="s">
        <v>366</v>
      </c>
      <c r="C7" s="1122" t="s">
        <v>367</v>
      </c>
      <c r="D7" s="1123">
        <v>6000000</v>
      </c>
      <c r="E7" s="748"/>
      <c r="F7" s="748"/>
    </row>
    <row r="8" spans="1:6" ht="15.95" customHeight="1" x14ac:dyDescent="0.2">
      <c r="A8" s="1321" t="s">
        <v>17</v>
      </c>
      <c r="B8" s="1319" t="s">
        <v>368</v>
      </c>
      <c r="C8" s="24" t="s">
        <v>367</v>
      </c>
      <c r="D8" s="1034">
        <v>2500000</v>
      </c>
      <c r="E8" s="748"/>
      <c r="F8" s="748"/>
    </row>
    <row r="9" spans="1:6" ht="15.95" customHeight="1" x14ac:dyDescent="0.2">
      <c r="A9" s="1321" t="s">
        <v>18</v>
      </c>
      <c r="B9" s="1319" t="s">
        <v>369</v>
      </c>
      <c r="C9" s="24" t="s">
        <v>367</v>
      </c>
      <c r="D9" s="1034">
        <v>1000000</v>
      </c>
      <c r="E9" s="748"/>
      <c r="F9" s="748"/>
    </row>
    <row r="10" spans="1:6" ht="15.95" customHeight="1" x14ac:dyDescent="0.2">
      <c r="A10" s="1321" t="s">
        <v>19</v>
      </c>
      <c r="B10" s="1319" t="s">
        <v>370</v>
      </c>
      <c r="C10" s="703" t="s">
        <v>367</v>
      </c>
      <c r="D10" s="1034">
        <v>7500000</v>
      </c>
      <c r="E10" s="748"/>
      <c r="F10" s="748"/>
    </row>
    <row r="11" spans="1:6" ht="15.95" customHeight="1" x14ac:dyDescent="0.2">
      <c r="A11" s="1321" t="s">
        <v>20</v>
      </c>
      <c r="B11" s="1319" t="s">
        <v>371</v>
      </c>
      <c r="C11" s="239" t="s">
        <v>367</v>
      </c>
      <c r="D11" s="1034">
        <v>300000</v>
      </c>
      <c r="E11" s="748"/>
      <c r="F11" s="748"/>
    </row>
    <row r="12" spans="1:6" ht="15.95" customHeight="1" x14ac:dyDescent="0.2">
      <c r="A12" s="1321" t="s">
        <v>21</v>
      </c>
      <c r="B12" s="1319" t="s">
        <v>372</v>
      </c>
      <c r="C12" s="703" t="s">
        <v>367</v>
      </c>
      <c r="D12" s="1034">
        <f>1000000-150000</f>
        <v>850000</v>
      </c>
      <c r="E12" s="748"/>
      <c r="F12" s="748"/>
    </row>
    <row r="13" spans="1:6" s="1233" customFormat="1" ht="15.95" customHeight="1" x14ac:dyDescent="0.2">
      <c r="A13" s="1321" t="s">
        <v>22</v>
      </c>
      <c r="B13" s="1319" t="s">
        <v>372</v>
      </c>
      <c r="C13" s="703" t="s">
        <v>373</v>
      </c>
      <c r="D13" s="1034">
        <v>150000</v>
      </c>
      <c r="E13" s="748"/>
      <c r="F13" s="748"/>
    </row>
    <row r="14" spans="1:6" ht="15.95" customHeight="1" x14ac:dyDescent="0.2">
      <c r="A14" s="1321" t="s">
        <v>23</v>
      </c>
      <c r="B14" s="1319" t="s">
        <v>738</v>
      </c>
      <c r="C14" s="238" t="s">
        <v>367</v>
      </c>
      <c r="D14" s="1034">
        <v>1000000</v>
      </c>
      <c r="E14" s="748"/>
      <c r="F14" s="748"/>
    </row>
    <row r="15" spans="1:6" ht="15.95" customHeight="1" x14ac:dyDescent="0.2">
      <c r="A15" s="1321" t="s">
        <v>24</v>
      </c>
      <c r="B15" s="1319" t="s">
        <v>1007</v>
      </c>
      <c r="C15" s="703" t="s">
        <v>367</v>
      </c>
      <c r="D15" s="1034">
        <v>2090159</v>
      </c>
      <c r="E15" s="748"/>
      <c r="F15" s="748"/>
    </row>
    <row r="16" spans="1:6" ht="15.95" customHeight="1" x14ac:dyDescent="0.2">
      <c r="A16" s="1321" t="s">
        <v>25</v>
      </c>
      <c r="B16" s="1359" t="s">
        <v>1007</v>
      </c>
      <c r="C16" s="1360" t="s">
        <v>373</v>
      </c>
      <c r="D16" s="1361">
        <f>1423277+577815</f>
        <v>2001092</v>
      </c>
      <c r="E16" s="748"/>
      <c r="F16" s="748"/>
    </row>
    <row r="17" spans="1:4" ht="15.95" customHeight="1" x14ac:dyDescent="0.2">
      <c r="A17" s="1321" t="s">
        <v>26</v>
      </c>
      <c r="B17" s="1319" t="s">
        <v>490</v>
      </c>
      <c r="C17" s="703" t="s">
        <v>367</v>
      </c>
      <c r="D17" s="1034">
        <v>200000</v>
      </c>
    </row>
    <row r="18" spans="1:4" ht="15.95" customHeight="1" x14ac:dyDescent="0.2">
      <c r="A18" s="1321" t="s">
        <v>27</v>
      </c>
      <c r="B18" s="1319" t="s">
        <v>509</v>
      </c>
      <c r="C18" s="703" t="s">
        <v>367</v>
      </c>
      <c r="D18" s="1034">
        <v>136000000</v>
      </c>
    </row>
    <row r="19" spans="1:4" ht="15.95" customHeight="1" x14ac:dyDescent="0.2">
      <c r="A19" s="1321" t="s">
        <v>28</v>
      </c>
      <c r="B19" s="1319" t="s">
        <v>511</v>
      </c>
      <c r="C19" s="703" t="s">
        <v>367</v>
      </c>
      <c r="D19" s="1034">
        <v>500000</v>
      </c>
    </row>
    <row r="20" spans="1:4" ht="15.95" customHeight="1" x14ac:dyDescent="0.2">
      <c r="A20" s="1321" t="s">
        <v>29</v>
      </c>
      <c r="B20" s="1319" t="s">
        <v>589</v>
      </c>
      <c r="C20" s="703" t="s">
        <v>367</v>
      </c>
      <c r="D20" s="1034">
        <v>31762000</v>
      </c>
    </row>
    <row r="21" spans="1:4" s="1233" customFormat="1" ht="15.95" customHeight="1" x14ac:dyDescent="0.2">
      <c r="A21" s="1321" t="s">
        <v>30</v>
      </c>
      <c r="B21" s="1319" t="s">
        <v>940</v>
      </c>
      <c r="C21" s="703" t="s">
        <v>367</v>
      </c>
      <c r="D21" s="1034">
        <v>752070</v>
      </c>
    </row>
    <row r="22" spans="1:4" s="1233" customFormat="1" ht="15.95" customHeight="1" x14ac:dyDescent="0.2">
      <c r="A22" s="1321" t="s">
        <v>31</v>
      </c>
      <c r="B22" s="1359" t="s">
        <v>378</v>
      </c>
      <c r="C22" s="1360" t="s">
        <v>367</v>
      </c>
      <c r="D22" s="1361">
        <v>1330000</v>
      </c>
    </row>
    <row r="23" spans="1:4" s="1233" customFormat="1" ht="15.95" customHeight="1" x14ac:dyDescent="0.2">
      <c r="A23" s="1321" t="s">
        <v>32</v>
      </c>
      <c r="B23" s="1359" t="s">
        <v>1059</v>
      </c>
      <c r="C23" s="1360" t="s">
        <v>373</v>
      </c>
      <c r="D23" s="1361">
        <v>190000</v>
      </c>
    </row>
    <row r="24" spans="1:4" ht="15.95" customHeight="1" thickBot="1" x14ac:dyDescent="0.25">
      <c r="A24" s="1369" t="s">
        <v>33</v>
      </c>
      <c r="B24" s="1359" t="s">
        <v>1058</v>
      </c>
      <c r="C24" s="1360" t="s">
        <v>367</v>
      </c>
      <c r="D24" s="1361">
        <f>234570+341802</f>
        <v>576372</v>
      </c>
    </row>
    <row r="25" spans="1:4" ht="15.95" customHeight="1" thickBot="1" x14ac:dyDescent="0.25">
      <c r="A25" s="1362" t="s">
        <v>34</v>
      </c>
      <c r="B25" s="1537" t="s">
        <v>1060</v>
      </c>
      <c r="C25" s="1538"/>
      <c r="D25" s="103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="85" zoomScaleNormal="85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740" customWidth="1"/>
    <col min="2" max="2" width="42.33203125" style="740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0" bestFit="1" customWidth="1"/>
    <col min="11" max="11" width="15.33203125" style="740" bestFit="1" customWidth="1"/>
    <col min="12" max="12" width="15.1640625" style="740" bestFit="1" customWidth="1"/>
    <col min="13" max="13" width="13.6640625" style="740" bestFit="1" customWidth="1"/>
    <col min="14" max="14" width="15.6640625" style="300" bestFit="1" customWidth="1"/>
    <col min="15" max="15" width="15.1640625" style="740" customWidth="1"/>
    <col min="16" max="16384" width="10.6640625" style="740"/>
  </cols>
  <sheetData>
    <row r="1" spans="1:193" x14ac:dyDescent="0.2">
      <c r="A1" s="1560" t="str">
        <f>CONCATENATE("31. melléklet ",ALAPADATOK!A7," ",ALAPADATOK!B7," ",ALAPADATOK!C7," ",ALAPADATOK!D7," ",ALAPADATOK!E7," ",ALAPADATOK!F7," ",ALAPADATOK!G7," ",ALAPADATOK!H7)</f>
        <v>31. melléklet a .. / 2022. ( …... ) önkormányzati rendelethez</v>
      </c>
      <c r="B1" s="1560"/>
      <c r="C1" s="1560"/>
      <c r="D1" s="1560"/>
      <c r="E1" s="1560"/>
      <c r="F1" s="1560"/>
      <c r="G1" s="1560"/>
      <c r="H1" s="1560"/>
      <c r="I1" s="1560"/>
      <c r="J1" s="1560"/>
      <c r="K1" s="1560"/>
      <c r="L1" s="1560"/>
      <c r="M1" s="1560"/>
      <c r="N1" s="1560"/>
    </row>
    <row r="2" spans="1:193" ht="12.75" customHeight="1" x14ac:dyDescent="0.2">
      <c r="B2" s="301"/>
      <c r="F2" s="302"/>
      <c r="I2" s="301"/>
      <c r="J2" s="1561" t="s">
        <v>1031</v>
      </c>
      <c r="K2" s="1562"/>
      <c r="L2" s="1562"/>
      <c r="M2" s="1562"/>
      <c r="N2" s="1562"/>
    </row>
    <row r="3" spans="1:193" ht="17.25" customHeight="1" x14ac:dyDescent="0.35">
      <c r="A3" s="1563" t="s">
        <v>1018</v>
      </c>
      <c r="B3" s="1563"/>
      <c r="C3" s="1563"/>
      <c r="D3" s="1563"/>
      <c r="E3" s="1563"/>
      <c r="F3" s="1563"/>
      <c r="G3" s="1563"/>
      <c r="H3" s="1563"/>
      <c r="I3" s="1563"/>
      <c r="J3" s="1563"/>
      <c r="K3" s="1563"/>
      <c r="L3" s="1563"/>
      <c r="M3" s="1563"/>
      <c r="N3" s="1563"/>
      <c r="O3" s="742"/>
    </row>
    <row r="4" spans="1:193" ht="19.5" x14ac:dyDescent="0.35">
      <c r="A4" s="1564" t="s">
        <v>374</v>
      </c>
      <c r="B4" s="1564"/>
      <c r="C4" s="1564"/>
      <c r="D4" s="1564"/>
      <c r="E4" s="1564"/>
      <c r="F4" s="1564"/>
      <c r="G4" s="1564"/>
      <c r="H4" s="1564"/>
      <c r="I4" s="1564"/>
      <c r="J4" s="1564"/>
      <c r="K4" s="1564"/>
      <c r="L4" s="1564"/>
      <c r="M4" s="1564"/>
      <c r="N4" s="1564"/>
      <c r="O4" s="742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2"/>
    </row>
    <row r="6" spans="1:193" ht="15.75" customHeight="1" x14ac:dyDescent="0.25">
      <c r="A6" s="1568" t="s">
        <v>590</v>
      </c>
      <c r="B6" s="1570" t="s">
        <v>151</v>
      </c>
      <c r="C6" s="1565" t="s">
        <v>375</v>
      </c>
      <c r="D6" s="1566"/>
      <c r="E6" s="1566"/>
      <c r="F6" s="1566"/>
      <c r="G6" s="1566"/>
      <c r="H6" s="1567"/>
      <c r="I6" s="1565" t="s">
        <v>376</v>
      </c>
      <c r="J6" s="1566"/>
      <c r="K6" s="1566"/>
      <c r="L6" s="1566"/>
      <c r="M6" s="1566"/>
      <c r="N6" s="1567"/>
      <c r="O6" s="742"/>
    </row>
    <row r="7" spans="1:193" ht="27" customHeight="1" thickBot="1" x14ac:dyDescent="0.25">
      <c r="A7" s="1569"/>
      <c r="B7" s="1571"/>
      <c r="C7" s="1133" t="s">
        <v>351</v>
      </c>
      <c r="D7" s="1134" t="s">
        <v>9</v>
      </c>
      <c r="E7" s="1134" t="s">
        <v>125</v>
      </c>
      <c r="F7" s="1134" t="s">
        <v>925</v>
      </c>
      <c r="G7" s="1134" t="s">
        <v>475</v>
      </c>
      <c r="H7" s="1135" t="s">
        <v>1020</v>
      </c>
      <c r="I7" s="1133" t="s">
        <v>926</v>
      </c>
      <c r="J7" s="1134" t="s">
        <v>911</v>
      </c>
      <c r="K7" s="1134" t="s">
        <v>927</v>
      </c>
      <c r="L7" s="1134" t="s">
        <v>109</v>
      </c>
      <c r="M7" s="1134" t="s">
        <v>380</v>
      </c>
      <c r="N7" s="1136" t="s">
        <v>1019</v>
      </c>
      <c r="O7" s="742"/>
    </row>
    <row r="8" spans="1:193" ht="14.25" thickBot="1" x14ac:dyDescent="0.3">
      <c r="A8" s="1541" t="s">
        <v>591</v>
      </c>
      <c r="B8" s="1542"/>
      <c r="C8" s="1543"/>
      <c r="D8" s="1543"/>
      <c r="E8" s="1543"/>
      <c r="F8" s="1543"/>
      <c r="G8" s="1543"/>
      <c r="H8" s="1543"/>
      <c r="I8" s="1543"/>
      <c r="J8" s="1543"/>
      <c r="K8" s="1543"/>
      <c r="L8" s="1543"/>
      <c r="M8" s="1543"/>
      <c r="N8" s="1544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592</v>
      </c>
      <c r="B9" s="597" t="s">
        <v>598</v>
      </c>
      <c r="C9" s="1036">
        <v>127000</v>
      </c>
      <c r="D9" s="1037"/>
      <c r="E9" s="1037"/>
      <c r="F9" s="1037"/>
      <c r="G9" s="1037"/>
      <c r="H9" s="1038">
        <f t="shared" ref="H9:H15" si="0">SUM(C9:G9)</f>
        <v>127000</v>
      </c>
      <c r="I9" s="1613">
        <f>36568546-234570+174955-341802</f>
        <v>36167129</v>
      </c>
      <c r="J9" s="1040">
        <v>0</v>
      </c>
      <c r="K9" s="1040"/>
      <c r="L9" s="1040"/>
      <c r="M9" s="1040"/>
      <c r="N9" s="1041">
        <f t="shared" ref="N9:N15" si="1">SUM(I9:M9)</f>
        <v>36167129</v>
      </c>
      <c r="O9" s="742"/>
    </row>
    <row r="10" spans="1:193" x14ac:dyDescent="0.2">
      <c r="A10" s="598" t="s">
        <v>593</v>
      </c>
      <c r="B10" s="599" t="s">
        <v>599</v>
      </c>
      <c r="C10" s="1042"/>
      <c r="D10" s="1043"/>
      <c r="E10" s="1043"/>
      <c r="F10" s="1043"/>
      <c r="G10" s="1043"/>
      <c r="H10" s="1041">
        <f t="shared" si="0"/>
        <v>0</v>
      </c>
      <c r="I10" s="1044">
        <v>500000</v>
      </c>
      <c r="J10" s="1043"/>
      <c r="K10" s="1043"/>
      <c r="L10" s="1043"/>
      <c r="M10" s="1043"/>
      <c r="N10" s="1041">
        <f t="shared" si="1"/>
        <v>500000</v>
      </c>
      <c r="O10" s="742"/>
    </row>
    <row r="11" spans="1:193" ht="25.5" x14ac:dyDescent="0.2">
      <c r="A11" s="598" t="s">
        <v>594</v>
      </c>
      <c r="B11" s="599" t="s">
        <v>600</v>
      </c>
      <c r="C11" s="1042">
        <v>34334200</v>
      </c>
      <c r="D11" s="1043">
        <v>48000000</v>
      </c>
      <c r="E11" s="1043"/>
      <c r="F11" s="1043"/>
      <c r="G11" s="1043"/>
      <c r="H11" s="1045">
        <f t="shared" si="0"/>
        <v>82334200</v>
      </c>
      <c r="I11" s="1364">
        <f>23664463+798660+180530-798660</f>
        <v>23844993</v>
      </c>
      <c r="J11" s="1058">
        <f>6350000+798660</f>
        <v>7148660</v>
      </c>
      <c r="K11" s="1043"/>
      <c r="L11" s="1043"/>
      <c r="M11" s="1043"/>
      <c r="N11" s="1041">
        <f t="shared" si="1"/>
        <v>30993653</v>
      </c>
      <c r="O11" s="742"/>
    </row>
    <row r="12" spans="1:193" ht="25.5" x14ac:dyDescent="0.2">
      <c r="A12" s="598" t="s">
        <v>595</v>
      </c>
      <c r="B12" s="599" t="s">
        <v>382</v>
      </c>
      <c r="C12" s="1042">
        <v>1500000</v>
      </c>
      <c r="D12" s="1046"/>
      <c r="E12" s="1043"/>
      <c r="F12" s="1043"/>
      <c r="G12" s="1043"/>
      <c r="H12" s="1045">
        <f t="shared" si="0"/>
        <v>1500000</v>
      </c>
      <c r="I12" s="1364">
        <f>11489017-390816</f>
        <v>11098201</v>
      </c>
      <c r="J12" s="1043"/>
      <c r="K12" s="1043"/>
      <c r="L12" s="1043"/>
      <c r="M12" s="1043"/>
      <c r="N12" s="1041">
        <f t="shared" si="1"/>
        <v>11098201</v>
      </c>
      <c r="O12" s="742"/>
    </row>
    <row r="13" spans="1:193" ht="25.5" x14ac:dyDescent="0.2">
      <c r="A13" s="598" t="s">
        <v>596</v>
      </c>
      <c r="B13" s="599" t="s">
        <v>601</v>
      </c>
      <c r="C13" s="1363">
        <f>2166039818-13275647+9943669+1055000+9412060</f>
        <v>2173174900</v>
      </c>
      <c r="D13" s="1043">
        <v>28773000</v>
      </c>
      <c r="E13" s="1043"/>
      <c r="F13" s="1047"/>
      <c r="G13" s="1047"/>
      <c r="H13" s="1045">
        <f t="shared" si="0"/>
        <v>2201947900</v>
      </c>
      <c r="I13" s="1044">
        <f>55076107+802163+11876+3551181+56496</f>
        <v>59497823</v>
      </c>
      <c r="J13" s="1043"/>
      <c r="K13" s="1047"/>
      <c r="L13" s="1047"/>
      <c r="M13" s="1047"/>
      <c r="N13" s="1041">
        <f t="shared" si="1"/>
        <v>59497823</v>
      </c>
      <c r="O13" s="742"/>
    </row>
    <row r="14" spans="1:193" x14ac:dyDescent="0.2">
      <c r="A14" s="598" t="s">
        <v>849</v>
      </c>
      <c r="B14" s="599" t="s">
        <v>850</v>
      </c>
      <c r="C14" s="1042"/>
      <c r="D14" s="1048"/>
      <c r="E14" s="1043"/>
      <c r="F14" s="1043"/>
      <c r="G14" s="1043"/>
      <c r="H14" s="1045">
        <f>SUM(C14:G14)</f>
        <v>0</v>
      </c>
      <c r="I14" s="1049">
        <v>5091319</v>
      </c>
      <c r="J14" s="1050"/>
      <c r="K14" s="1050"/>
      <c r="L14" s="1050"/>
      <c r="M14" s="1050"/>
      <c r="N14" s="1041">
        <f>SUM(I14:M14)</f>
        <v>5091319</v>
      </c>
      <c r="O14" s="742"/>
    </row>
    <row r="15" spans="1:193" ht="13.5" thickBot="1" x14ac:dyDescent="0.25">
      <c r="A15" s="985" t="s">
        <v>597</v>
      </c>
      <c r="B15" s="986" t="s">
        <v>381</v>
      </c>
      <c r="C15" s="1051"/>
      <c r="D15" s="1052"/>
      <c r="E15" s="1052"/>
      <c r="F15" s="1052"/>
      <c r="G15" s="1052">
        <v>2381931880</v>
      </c>
      <c r="H15" s="1053">
        <f t="shared" si="0"/>
        <v>2381931880</v>
      </c>
      <c r="I15" s="1049">
        <v>636000</v>
      </c>
      <c r="J15" s="1050"/>
      <c r="K15" s="1054">
        <v>1862795360</v>
      </c>
      <c r="L15" s="1050"/>
      <c r="M15" s="1050"/>
      <c r="N15" s="1041">
        <f t="shared" si="1"/>
        <v>1863431360</v>
      </c>
      <c r="O15" s="742"/>
    </row>
    <row r="16" spans="1:193" s="742" customFormat="1" ht="14.25" thickBot="1" x14ac:dyDescent="0.3">
      <c r="A16" s="1545" t="s">
        <v>636</v>
      </c>
      <c r="B16" s="1546" t="s">
        <v>636</v>
      </c>
      <c r="C16" s="1542" t="s">
        <v>636</v>
      </c>
      <c r="D16" s="1542" t="s">
        <v>636</v>
      </c>
      <c r="E16" s="1542" t="s">
        <v>636</v>
      </c>
      <c r="F16" s="1542" t="s">
        <v>636</v>
      </c>
      <c r="G16" s="1542" t="s">
        <v>636</v>
      </c>
      <c r="H16" s="1542" t="s">
        <v>636</v>
      </c>
      <c r="I16" s="1542" t="s">
        <v>636</v>
      </c>
      <c r="J16" s="1542" t="s">
        <v>636</v>
      </c>
      <c r="K16" s="1542" t="s">
        <v>636</v>
      </c>
      <c r="L16" s="1542" t="s">
        <v>636</v>
      </c>
      <c r="M16" s="1542" t="s">
        <v>636</v>
      </c>
      <c r="N16" s="1547" t="s">
        <v>636</v>
      </c>
    </row>
    <row r="17" spans="1:15" s="742" customFormat="1" x14ac:dyDescent="0.2">
      <c r="A17" s="590" t="s">
        <v>637</v>
      </c>
      <c r="B17" s="591" t="s">
        <v>638</v>
      </c>
      <c r="C17" s="1036"/>
      <c r="D17" s="1037"/>
      <c r="E17" s="1037"/>
      <c r="F17" s="1037"/>
      <c r="G17" s="1037"/>
      <c r="H17" s="1038">
        <f t="shared" ref="H17:H23" si="2">SUM(C17:G17)</f>
        <v>0</v>
      </c>
      <c r="I17" s="1055">
        <v>37000000</v>
      </c>
      <c r="J17" s="1037">
        <f>5000000-3937008-1062992</f>
        <v>0</v>
      </c>
      <c r="K17" s="1037"/>
      <c r="L17" s="1037"/>
      <c r="M17" s="1037"/>
      <c r="N17" s="1038">
        <f t="shared" ref="N17:N23" si="3">SUM(I17:M17)</f>
        <v>37000000</v>
      </c>
    </row>
    <row r="18" spans="1:15" s="742" customFormat="1" ht="25.5" x14ac:dyDescent="0.2">
      <c r="A18" s="592" t="s">
        <v>639</v>
      </c>
      <c r="B18" s="593" t="s">
        <v>640</v>
      </c>
      <c r="C18" s="1042"/>
      <c r="D18" s="1043"/>
      <c r="E18" s="1043"/>
      <c r="F18" s="1043"/>
      <c r="G18" s="1043"/>
      <c r="H18" s="1045">
        <f t="shared" si="2"/>
        <v>0</v>
      </c>
      <c r="I18" s="1044">
        <v>47000</v>
      </c>
      <c r="J18" s="1043"/>
      <c r="K18" s="1043"/>
      <c r="L18" s="1043"/>
      <c r="M18" s="1043"/>
      <c r="N18" s="1045">
        <f t="shared" si="3"/>
        <v>47000</v>
      </c>
    </row>
    <row r="19" spans="1:15" s="742" customFormat="1" x14ac:dyDescent="0.2">
      <c r="A19" s="592" t="s">
        <v>892</v>
      </c>
      <c r="B19" s="593" t="s">
        <v>893</v>
      </c>
      <c r="C19" s="1042"/>
      <c r="D19" s="1043"/>
      <c r="E19" s="1043"/>
      <c r="F19" s="1043"/>
      <c r="G19" s="1043"/>
      <c r="H19" s="1045">
        <f>SUM(C19:G19)</f>
        <v>0</v>
      </c>
      <c r="I19" s="1044">
        <f>10311024-553313</f>
        <v>9757711</v>
      </c>
      <c r="J19" s="1043">
        <v>38642289</v>
      </c>
      <c r="K19" s="1043"/>
      <c r="L19" s="1043"/>
      <c r="M19" s="1043"/>
      <c r="N19" s="1045">
        <f>SUM(I19:M19)</f>
        <v>48400000</v>
      </c>
    </row>
    <row r="20" spans="1:15" s="742" customFormat="1" x14ac:dyDescent="0.2">
      <c r="A20" s="592" t="s">
        <v>641</v>
      </c>
      <c r="B20" s="593" t="s">
        <v>642</v>
      </c>
      <c r="C20" s="1042"/>
      <c r="D20" s="1043"/>
      <c r="E20" s="1043"/>
      <c r="F20" s="1043"/>
      <c r="G20" s="1043"/>
      <c r="H20" s="1045">
        <f t="shared" si="2"/>
        <v>0</v>
      </c>
      <c r="I20" s="1044">
        <f>4109761</f>
        <v>4109761</v>
      </c>
      <c r="J20" s="1043">
        <f>250000+15221336</f>
        <v>15471336</v>
      </c>
      <c r="K20" s="1043"/>
      <c r="L20" s="1043"/>
      <c r="M20" s="1043"/>
      <c r="N20" s="1045">
        <f t="shared" si="3"/>
        <v>19581097</v>
      </c>
    </row>
    <row r="21" spans="1:15" s="742" customFormat="1" ht="25.5" x14ac:dyDescent="0.2">
      <c r="A21" s="592" t="s">
        <v>643</v>
      </c>
      <c r="B21" s="593" t="s">
        <v>644</v>
      </c>
      <c r="C21" s="1042">
        <v>8283554</v>
      </c>
      <c r="D21" s="1043">
        <v>228389521</v>
      </c>
      <c r="E21" s="1043"/>
      <c r="F21" s="1043"/>
      <c r="G21" s="1043"/>
      <c r="H21" s="1045">
        <f t="shared" si="2"/>
        <v>236673075</v>
      </c>
      <c r="I21" s="1044">
        <v>31320966</v>
      </c>
      <c r="J21" s="1043">
        <f>985260286+5908-15221336-4109761</f>
        <v>965935097</v>
      </c>
      <c r="K21" s="1043"/>
      <c r="L21" s="1043"/>
      <c r="M21" s="1043"/>
      <c r="N21" s="1045">
        <f t="shared" si="3"/>
        <v>997256063</v>
      </c>
    </row>
    <row r="22" spans="1:15" s="742" customFormat="1" ht="25.5" x14ac:dyDescent="0.2">
      <c r="A22" s="769" t="s">
        <v>725</v>
      </c>
      <c r="B22" s="770" t="s">
        <v>726</v>
      </c>
      <c r="C22" s="1056"/>
      <c r="D22" s="1043"/>
      <c r="E22" s="1057"/>
      <c r="F22" s="1057"/>
      <c r="G22" s="1058"/>
      <c r="H22" s="1045">
        <f>SUM(C22:G22)</f>
        <v>0</v>
      </c>
      <c r="I22" s="1044">
        <v>274320</v>
      </c>
      <c r="J22" s="1043"/>
      <c r="K22" s="1058"/>
      <c r="L22" s="1058"/>
      <c r="M22" s="1058"/>
      <c r="N22" s="1045">
        <f t="shared" si="3"/>
        <v>274320</v>
      </c>
    </row>
    <row r="23" spans="1:15" s="742" customFormat="1" ht="25.5" x14ac:dyDescent="0.2">
      <c r="A23" s="592" t="s">
        <v>645</v>
      </c>
      <c r="B23" s="593" t="s">
        <v>646</v>
      </c>
      <c r="C23" s="1042">
        <v>19458900</v>
      </c>
      <c r="D23" s="1043">
        <v>0</v>
      </c>
      <c r="E23" s="1043"/>
      <c r="F23" s="1043"/>
      <c r="G23" s="1043"/>
      <c r="H23" s="1045">
        <f t="shared" si="2"/>
        <v>19458900</v>
      </c>
      <c r="I23" s="1044">
        <v>28150100</v>
      </c>
      <c r="J23" s="1043">
        <v>8950365</v>
      </c>
      <c r="K23" s="1043"/>
      <c r="L23" s="1043"/>
      <c r="M23" s="1043"/>
      <c r="N23" s="1045">
        <f t="shared" si="3"/>
        <v>37100465</v>
      </c>
    </row>
    <row r="24" spans="1:15" s="742" customFormat="1" ht="25.5" x14ac:dyDescent="0.2">
      <c r="A24" s="769" t="s">
        <v>647</v>
      </c>
      <c r="B24" s="770" t="s">
        <v>648</v>
      </c>
      <c r="C24" s="1056"/>
      <c r="D24" s="1043"/>
      <c r="E24" s="1057"/>
      <c r="F24" s="1057"/>
      <c r="G24" s="1058"/>
      <c r="H24" s="1045">
        <f>SUM(C24:G24)</f>
        <v>0</v>
      </c>
      <c r="I24" s="1044">
        <v>6291127</v>
      </c>
      <c r="J24" s="1043">
        <v>190491997</v>
      </c>
      <c r="K24" s="1058"/>
      <c r="L24" s="1058"/>
      <c r="M24" s="1058"/>
      <c r="N24" s="1045">
        <f>SUM(I24:M24)</f>
        <v>196783124</v>
      </c>
    </row>
    <row r="25" spans="1:15" s="742" customFormat="1" ht="26.25" thickBot="1" x14ac:dyDescent="0.25">
      <c r="A25" s="594" t="s">
        <v>938</v>
      </c>
      <c r="B25" s="595" t="s">
        <v>939</v>
      </c>
      <c r="C25" s="1059"/>
      <c r="D25" s="1060"/>
      <c r="E25" s="1060"/>
      <c r="F25" s="1060"/>
      <c r="G25" s="1060"/>
      <c r="H25" s="1061">
        <f>SUM(C25:G25)</f>
        <v>0</v>
      </c>
      <c r="I25" s="1062">
        <v>19166098</v>
      </c>
      <c r="J25" s="1060">
        <v>534833902</v>
      </c>
      <c r="K25" s="1060"/>
      <c r="L25" s="1060"/>
      <c r="M25" s="1060"/>
      <c r="N25" s="1061">
        <f>SUM(I25:M25)</f>
        <v>554000000</v>
      </c>
    </row>
    <row r="26" spans="1:15" ht="14.25" thickBot="1" x14ac:dyDescent="0.3">
      <c r="A26" s="1545" t="s">
        <v>602</v>
      </c>
      <c r="B26" s="1546"/>
      <c r="C26" s="1546"/>
      <c r="D26" s="1546"/>
      <c r="E26" s="1546"/>
      <c r="F26" s="1546"/>
      <c r="G26" s="1546"/>
      <c r="H26" s="1546"/>
      <c r="I26" s="1546"/>
      <c r="J26" s="1546"/>
      <c r="K26" s="1546"/>
      <c r="L26" s="1546"/>
      <c r="M26" s="1546"/>
      <c r="N26" s="1548"/>
      <c r="O26" s="742"/>
    </row>
    <row r="27" spans="1:15" ht="25.5" x14ac:dyDescent="0.2">
      <c r="A27" s="728" t="s">
        <v>603</v>
      </c>
      <c r="B27" s="729" t="s">
        <v>604</v>
      </c>
      <c r="C27" s="1037">
        <v>507601</v>
      </c>
      <c r="D27" s="1063"/>
      <c r="E27" s="1063"/>
      <c r="F27" s="1063"/>
      <c r="G27" s="1063"/>
      <c r="H27" s="1038">
        <f>SUM(C27:G27)</f>
        <v>507601</v>
      </c>
      <c r="I27" s="1055">
        <v>16190698</v>
      </c>
      <c r="J27" s="1063"/>
      <c r="K27" s="1063"/>
      <c r="L27" s="1063"/>
      <c r="M27" s="1063"/>
      <c r="N27" s="1038">
        <f>SUM(I27:M27)</f>
        <v>16190698</v>
      </c>
      <c r="O27" s="742"/>
    </row>
    <row r="28" spans="1:15" ht="25.5" x14ac:dyDescent="0.2">
      <c r="A28" s="730" t="s">
        <v>605</v>
      </c>
      <c r="B28" s="727" t="s">
        <v>384</v>
      </c>
      <c r="C28" s="1043"/>
      <c r="D28" s="1043"/>
      <c r="E28" s="1043"/>
      <c r="F28" s="1043"/>
      <c r="G28" s="1043"/>
      <c r="H28" s="1045">
        <f>SUM(C28:G28)</f>
        <v>0</v>
      </c>
      <c r="I28" s="1044">
        <v>835000</v>
      </c>
      <c r="J28" s="1047"/>
      <c r="K28" s="1047"/>
      <c r="L28" s="1047"/>
      <c r="M28" s="1047"/>
      <c r="N28" s="1045">
        <f>SUM(I28:M28)</f>
        <v>835000</v>
      </c>
      <c r="O28" s="742"/>
    </row>
    <row r="29" spans="1:15" x14ac:dyDescent="0.2">
      <c r="A29" s="730" t="s">
        <v>1063</v>
      </c>
      <c r="B29" s="727" t="s">
        <v>1064</v>
      </c>
      <c r="C29" s="1043"/>
      <c r="D29" s="1047"/>
      <c r="E29" s="1058"/>
      <c r="F29" s="1047"/>
      <c r="G29" s="1047"/>
      <c r="H29" s="1045">
        <f>SUM(C29:G29)</f>
        <v>0</v>
      </c>
      <c r="I29" s="1064">
        <v>650800</v>
      </c>
      <c r="J29" s="1043"/>
      <c r="K29" s="1047"/>
      <c r="L29" s="1047"/>
      <c r="M29" s="1047"/>
      <c r="N29" s="1045">
        <f>SUM(I29:M29)</f>
        <v>650800</v>
      </c>
      <c r="O29" s="742"/>
    </row>
    <row r="30" spans="1:15" ht="25.5" x14ac:dyDescent="0.2">
      <c r="A30" s="730" t="s">
        <v>606</v>
      </c>
      <c r="B30" s="727" t="s">
        <v>607</v>
      </c>
      <c r="C30" s="1043">
        <v>1000000</v>
      </c>
      <c r="D30" s="1047"/>
      <c r="E30" s="1058"/>
      <c r="F30" s="1047"/>
      <c r="G30" s="1047"/>
      <c r="H30" s="1045">
        <f>SUM(C30:G30)</f>
        <v>1000000</v>
      </c>
      <c r="I30" s="1064"/>
      <c r="J30" s="1043"/>
      <c r="K30" s="1047"/>
      <c r="L30" s="1047"/>
      <c r="M30" s="1047"/>
      <c r="N30" s="1045">
        <f>SUM(I30:M30)</f>
        <v>0</v>
      </c>
      <c r="O30" s="742"/>
    </row>
    <row r="31" spans="1:15" ht="26.25" thickBot="1" x14ac:dyDescent="0.25">
      <c r="A31" s="731" t="s">
        <v>710</v>
      </c>
      <c r="B31" s="732" t="s">
        <v>709</v>
      </c>
      <c r="C31" s="1060"/>
      <c r="D31" s="1065"/>
      <c r="E31" s="1066"/>
      <c r="F31" s="1065"/>
      <c r="G31" s="1065"/>
      <c r="H31" s="1045">
        <f>SUM(C31:G31)</f>
        <v>0</v>
      </c>
      <c r="I31" s="1062"/>
      <c r="J31" s="1060"/>
      <c r="K31" s="1065"/>
      <c r="L31" s="1065"/>
      <c r="M31" s="1065"/>
      <c r="N31" s="1045">
        <f>SUM(I31:M31)</f>
        <v>0</v>
      </c>
      <c r="O31" s="742"/>
    </row>
    <row r="32" spans="1:15" ht="14.25" thickBot="1" x14ac:dyDescent="0.3">
      <c r="A32" s="1549" t="s">
        <v>613</v>
      </c>
      <c r="B32" s="1550"/>
      <c r="C32" s="1551"/>
      <c r="D32" s="1551"/>
      <c r="E32" s="1551"/>
      <c r="F32" s="1551"/>
      <c r="G32" s="1551"/>
      <c r="H32" s="1551"/>
      <c r="I32" s="1551"/>
      <c r="J32" s="1551"/>
      <c r="K32" s="1551"/>
      <c r="L32" s="1551"/>
      <c r="M32" s="1551"/>
      <c r="N32" s="1552"/>
      <c r="O32" s="742"/>
    </row>
    <row r="33" spans="1:15" ht="25.5" x14ac:dyDescent="0.2">
      <c r="A33" s="728" t="s">
        <v>711</v>
      </c>
      <c r="B33" s="733" t="s">
        <v>712</v>
      </c>
      <c r="C33" s="1055">
        <v>17143608</v>
      </c>
      <c r="D33" s="1037">
        <v>12853698</v>
      </c>
      <c r="E33" s="1036"/>
      <c r="F33" s="1037"/>
      <c r="G33" s="1037"/>
      <c r="H33" s="1038">
        <f>SUM(C33:G33)</f>
        <v>29997306</v>
      </c>
      <c r="I33" s="1611">
        <f>86158879+64000+26854+23973+23752+161965+610800+50000</f>
        <v>87120223</v>
      </c>
      <c r="J33" s="1037">
        <f>384419465-23973-6472</f>
        <v>384389020</v>
      </c>
      <c r="K33" s="1037"/>
      <c r="L33" s="1037"/>
      <c r="M33" s="1037"/>
      <c r="N33" s="1038">
        <f>SUM(I33:M33)</f>
        <v>471509243</v>
      </c>
      <c r="O33" s="742"/>
    </row>
    <row r="34" spans="1:15" x14ac:dyDescent="0.2">
      <c r="A34" s="730" t="s">
        <v>608</v>
      </c>
      <c r="B34" s="734" t="s">
        <v>377</v>
      </c>
      <c r="C34" s="1039"/>
      <c r="D34" s="1040"/>
      <c r="E34" s="1067"/>
      <c r="F34" s="1040"/>
      <c r="G34" s="1040"/>
      <c r="H34" s="1041">
        <f>SUM(C34:G34)</f>
        <v>0</v>
      </c>
      <c r="I34" s="1039">
        <v>45114638</v>
      </c>
      <c r="J34" s="1040">
        <v>165127000</v>
      </c>
      <c r="K34" s="1040"/>
      <c r="L34" s="1040"/>
      <c r="M34" s="1040"/>
      <c r="N34" s="1041">
        <f>SUM(I34:M34)</f>
        <v>210241638</v>
      </c>
      <c r="O34" s="742"/>
    </row>
    <row r="35" spans="1:15" x14ac:dyDescent="0.2">
      <c r="A35" s="730" t="s">
        <v>609</v>
      </c>
      <c r="B35" s="734" t="s">
        <v>610</v>
      </c>
      <c r="C35" s="1068"/>
      <c r="D35" s="1043"/>
      <c r="E35" s="1043"/>
      <c r="F35" s="1043"/>
      <c r="G35" s="1043"/>
      <c r="H35" s="1045">
        <f>SUM(C35:G35)</f>
        <v>0</v>
      </c>
      <c r="I35" s="1044">
        <v>19634950</v>
      </c>
      <c r="J35" s="1043">
        <v>0</v>
      </c>
      <c r="K35" s="1043"/>
      <c r="L35" s="1043"/>
      <c r="M35" s="1043"/>
      <c r="N35" s="1041">
        <f>SUM(I35:M35)</f>
        <v>19634950</v>
      </c>
      <c r="O35" s="742"/>
    </row>
    <row r="36" spans="1:15" ht="26.25" thickBot="1" x14ac:dyDescent="0.25">
      <c r="A36" s="731" t="s">
        <v>611</v>
      </c>
      <c r="B36" s="735" t="s">
        <v>612</v>
      </c>
      <c r="C36" s="1386">
        <f>5890000+1800000+1200000</f>
        <v>8890000</v>
      </c>
      <c r="D36" s="1060"/>
      <c r="E36" s="1060">
        <v>8000000</v>
      </c>
      <c r="F36" s="1060"/>
      <c r="G36" s="1060"/>
      <c r="H36" s="1061">
        <f>SUM(C36:G36)</f>
        <v>16890000</v>
      </c>
      <c r="I36" s="1386">
        <f>59730440+2425+2106000+1404000</f>
        <v>63242865</v>
      </c>
      <c r="J36" s="1060">
        <v>5844800</v>
      </c>
      <c r="K36" s="1060"/>
      <c r="L36" s="1060"/>
      <c r="M36" s="1060"/>
      <c r="N36" s="1053">
        <f>SUM(I36:M36)</f>
        <v>69087665</v>
      </c>
      <c r="O36" s="742"/>
    </row>
    <row r="37" spans="1:15" ht="15.75" thickBot="1" x14ac:dyDescent="0.3">
      <c r="A37" s="1553" t="s">
        <v>614</v>
      </c>
      <c r="B37" s="1554"/>
      <c r="C37" s="1554"/>
      <c r="D37" s="1554"/>
      <c r="E37" s="1554"/>
      <c r="F37" s="1554"/>
      <c r="G37" s="1554"/>
      <c r="H37" s="1554"/>
      <c r="I37" s="1554"/>
      <c r="J37" s="1554"/>
      <c r="K37" s="1554"/>
      <c r="L37" s="1554"/>
      <c r="M37" s="1554"/>
      <c r="N37" s="1555"/>
      <c r="O37" s="742"/>
    </row>
    <row r="38" spans="1:15" x14ac:dyDescent="0.2">
      <c r="A38" s="983" t="s">
        <v>741</v>
      </c>
      <c r="B38" s="984" t="s">
        <v>742</v>
      </c>
      <c r="C38" s="1069">
        <f>34290896+9317500</f>
        <v>43608396</v>
      </c>
      <c r="D38" s="1069"/>
      <c r="E38" s="1069"/>
      <c r="F38" s="1069"/>
      <c r="G38" s="1069"/>
      <c r="H38" s="1038">
        <f t="shared" ref="H38:H45" si="4">SUM(C38:G38)</f>
        <v>43608396</v>
      </c>
      <c r="I38" s="1610">
        <f>87552185+158824+9317500+44090</f>
        <v>97072599</v>
      </c>
      <c r="J38" s="1070">
        <f>157075866-588237-158824+588237-207385+163295</f>
        <v>156872952</v>
      </c>
      <c r="K38" s="1070"/>
      <c r="L38" s="1070"/>
      <c r="M38" s="1070"/>
      <c r="N38" s="1038">
        <f t="shared" ref="N38:N45" si="5">SUM(I38:M38)</f>
        <v>253945551</v>
      </c>
      <c r="O38" s="742"/>
    </row>
    <row r="39" spans="1:15" x14ac:dyDescent="0.2">
      <c r="A39" s="843" t="s">
        <v>727</v>
      </c>
      <c r="B39" s="844" t="s">
        <v>728</v>
      </c>
      <c r="C39" s="1067">
        <v>2313672</v>
      </c>
      <c r="D39" s="1071"/>
      <c r="E39" s="1071"/>
      <c r="F39" s="1071"/>
      <c r="G39" s="1071"/>
      <c r="H39" s="1041">
        <f t="shared" si="4"/>
        <v>2313672</v>
      </c>
      <c r="I39" s="1072">
        <v>32365956</v>
      </c>
      <c r="J39" s="1040"/>
      <c r="K39" s="1073"/>
      <c r="L39" s="1073"/>
      <c r="M39" s="1073"/>
      <c r="N39" s="1041">
        <f t="shared" si="5"/>
        <v>32365956</v>
      </c>
      <c r="O39" s="742"/>
    </row>
    <row r="40" spans="1:15" x14ac:dyDescent="0.2">
      <c r="A40" s="771" t="s">
        <v>615</v>
      </c>
      <c r="B40" s="772" t="s">
        <v>1</v>
      </c>
      <c r="C40" s="1042"/>
      <c r="D40" s="1042"/>
      <c r="E40" s="1042"/>
      <c r="F40" s="1042"/>
      <c r="G40" s="1042"/>
      <c r="H40" s="1045">
        <f t="shared" si="4"/>
        <v>0</v>
      </c>
      <c r="I40" s="1074">
        <v>47104800</v>
      </c>
      <c r="J40" s="1043">
        <v>49000000</v>
      </c>
      <c r="K40" s="1043"/>
      <c r="L40" s="1043"/>
      <c r="M40" s="1043"/>
      <c r="N40" s="1041">
        <f t="shared" si="5"/>
        <v>96104800</v>
      </c>
      <c r="O40" s="742"/>
    </row>
    <row r="41" spans="1:15" x14ac:dyDescent="0.2">
      <c r="A41" s="771" t="s">
        <v>1039</v>
      </c>
      <c r="B41" s="772" t="s">
        <v>1040</v>
      </c>
      <c r="C41" s="1363"/>
      <c r="D41" s="1363"/>
      <c r="E41" s="1363"/>
      <c r="F41" s="1363"/>
      <c r="G41" s="1363"/>
      <c r="H41" s="1141">
        <f t="shared" si="4"/>
        <v>0</v>
      </c>
      <c r="I41" s="1074">
        <v>519225</v>
      </c>
      <c r="J41" s="1058"/>
      <c r="K41" s="1058"/>
      <c r="L41" s="1058"/>
      <c r="M41" s="1058"/>
      <c r="N41" s="1041">
        <f t="shared" si="5"/>
        <v>519225</v>
      </c>
      <c r="O41" s="742"/>
    </row>
    <row r="42" spans="1:15" x14ac:dyDescent="0.2">
      <c r="A42" s="771" t="s">
        <v>616</v>
      </c>
      <c r="B42" s="772" t="s">
        <v>3</v>
      </c>
      <c r="C42" s="1042"/>
      <c r="D42" s="1043"/>
      <c r="E42" s="1043"/>
      <c r="F42" s="1043"/>
      <c r="G42" s="1043"/>
      <c r="H42" s="1045">
        <f t="shared" si="4"/>
        <v>0</v>
      </c>
      <c r="I42" s="1044">
        <v>7910800</v>
      </c>
      <c r="J42" s="1043"/>
      <c r="K42" s="1043"/>
      <c r="L42" s="1043"/>
      <c r="M42" s="1043"/>
      <c r="N42" s="1041">
        <f t="shared" si="5"/>
        <v>7910800</v>
      </c>
      <c r="O42" s="742"/>
    </row>
    <row r="43" spans="1:15" x14ac:dyDescent="0.2">
      <c r="A43" s="771" t="s">
        <v>714</v>
      </c>
      <c r="B43" s="772" t="s">
        <v>713</v>
      </c>
      <c r="C43" s="1042"/>
      <c r="D43" s="1043"/>
      <c r="E43" s="1043"/>
      <c r="F43" s="1043"/>
      <c r="G43" s="1043"/>
      <c r="H43" s="1045">
        <f t="shared" si="4"/>
        <v>0</v>
      </c>
      <c r="I43" s="1044">
        <v>14000000</v>
      </c>
      <c r="J43" s="1043"/>
      <c r="K43" s="1043"/>
      <c r="L43" s="1043"/>
      <c r="M43" s="1043"/>
      <c r="N43" s="1041">
        <f t="shared" si="5"/>
        <v>14000000</v>
      </c>
      <c r="O43" s="742"/>
    </row>
    <row r="44" spans="1:15" x14ac:dyDescent="0.2">
      <c r="A44" s="771" t="s">
        <v>729</v>
      </c>
      <c r="B44" s="772" t="s">
        <v>730</v>
      </c>
      <c r="C44" s="1042"/>
      <c r="D44" s="1058"/>
      <c r="E44" s="1058"/>
      <c r="F44" s="1058"/>
      <c r="G44" s="1058"/>
      <c r="H44" s="1045">
        <f t="shared" si="4"/>
        <v>0</v>
      </c>
      <c r="I44" s="1044">
        <v>7239000</v>
      </c>
      <c r="J44" s="1043">
        <v>127000</v>
      </c>
      <c r="K44" s="1058"/>
      <c r="L44" s="1058"/>
      <c r="M44" s="1058"/>
      <c r="N44" s="1041">
        <f t="shared" si="5"/>
        <v>7366000</v>
      </c>
      <c r="O44" s="742"/>
    </row>
    <row r="45" spans="1:15" ht="26.25" thickBot="1" x14ac:dyDescent="0.25">
      <c r="A45" s="747" t="s">
        <v>617</v>
      </c>
      <c r="B45" s="745" t="s">
        <v>618</v>
      </c>
      <c r="C45" s="1059"/>
      <c r="D45" s="1060"/>
      <c r="E45" s="1060"/>
      <c r="F45" s="1060"/>
      <c r="G45" s="1060"/>
      <c r="H45" s="1061">
        <f t="shared" si="4"/>
        <v>0</v>
      </c>
      <c r="I45" s="1062">
        <v>300000</v>
      </c>
      <c r="J45" s="1060">
        <v>0</v>
      </c>
      <c r="K45" s="1060"/>
      <c r="L45" s="1060"/>
      <c r="M45" s="1060"/>
      <c r="N45" s="1053">
        <f t="shared" si="5"/>
        <v>300000</v>
      </c>
      <c r="O45" s="742"/>
    </row>
    <row r="46" spans="1:15" ht="14.25" thickBot="1" x14ac:dyDescent="0.3">
      <c r="A46" s="1545" t="s">
        <v>619</v>
      </c>
      <c r="B46" s="1546"/>
      <c r="C46" s="1543"/>
      <c r="D46" s="1543"/>
      <c r="E46" s="1543"/>
      <c r="F46" s="1543"/>
      <c r="G46" s="1543"/>
      <c r="H46" s="1543"/>
      <c r="I46" s="1543"/>
      <c r="J46" s="1543"/>
      <c r="K46" s="1543"/>
      <c r="L46" s="1543"/>
      <c r="M46" s="1543"/>
      <c r="N46" s="1544"/>
      <c r="O46" s="742"/>
    </row>
    <row r="47" spans="1:15" ht="25.5" x14ac:dyDescent="0.2">
      <c r="A47" s="1005" t="s">
        <v>743</v>
      </c>
      <c r="B47" s="1006" t="s">
        <v>744</v>
      </c>
      <c r="C47" s="1075"/>
      <c r="D47" s="1076"/>
      <c r="E47" s="1076"/>
      <c r="F47" s="1076"/>
      <c r="G47" s="1076"/>
      <c r="H47" s="1077">
        <f t="shared" ref="H47:H52" si="6">SUM(C47:G47)</f>
        <v>0</v>
      </c>
      <c r="I47" s="1370">
        <f>24613222+3877953+1047047</f>
        <v>29538222</v>
      </c>
      <c r="J47" s="1076">
        <f>49789531-6674159-1802022</f>
        <v>41313350</v>
      </c>
      <c r="K47" s="1076"/>
      <c r="L47" s="1076"/>
      <c r="M47" s="1076"/>
      <c r="N47" s="1077">
        <f t="shared" ref="N47:N52" si="7">SUM(I47:M47)</f>
        <v>70851572</v>
      </c>
      <c r="O47" s="742"/>
    </row>
    <row r="48" spans="1:15" x14ac:dyDescent="0.2">
      <c r="A48" s="771" t="s">
        <v>890</v>
      </c>
      <c r="B48" s="772" t="s">
        <v>891</v>
      </c>
      <c r="C48" s="1042">
        <v>5000000</v>
      </c>
      <c r="D48" s="1058"/>
      <c r="E48" s="1058"/>
      <c r="F48" s="1058"/>
      <c r="G48" s="1058"/>
      <c r="H48" s="1141">
        <f t="shared" si="6"/>
        <v>5000000</v>
      </c>
      <c r="I48" s="1044">
        <f>5770566+5000000</f>
        <v>10770566</v>
      </c>
      <c r="J48" s="1043"/>
      <c r="K48" s="1043"/>
      <c r="L48" s="1043"/>
      <c r="M48" s="1043"/>
      <c r="N48" s="1141">
        <f t="shared" si="7"/>
        <v>10770566</v>
      </c>
      <c r="O48" s="742"/>
    </row>
    <row r="49" spans="1:15" ht="25.5" x14ac:dyDescent="0.2">
      <c r="A49" s="746" t="s">
        <v>863</v>
      </c>
      <c r="B49" s="599" t="s">
        <v>864</v>
      </c>
      <c r="C49" s="1042"/>
      <c r="D49" s="1043"/>
      <c r="E49" s="1043"/>
      <c r="F49" s="1043"/>
      <c r="G49" s="1043"/>
      <c r="H49" s="1045">
        <f t="shared" si="6"/>
        <v>0</v>
      </c>
      <c r="I49" s="1044">
        <v>2263891</v>
      </c>
      <c r="J49" s="1043"/>
      <c r="K49" s="1043"/>
      <c r="L49" s="1043"/>
      <c r="M49" s="1043"/>
      <c r="N49" s="1045">
        <f t="shared" si="7"/>
        <v>2263891</v>
      </c>
      <c r="O49" s="742"/>
    </row>
    <row r="50" spans="1:15" x14ac:dyDescent="0.2">
      <c r="A50" s="845" t="s">
        <v>620</v>
      </c>
      <c r="B50" s="846" t="s">
        <v>560</v>
      </c>
      <c r="C50" s="1078">
        <v>762000</v>
      </c>
      <c r="D50" s="1079"/>
      <c r="E50" s="1079"/>
      <c r="F50" s="1079"/>
      <c r="G50" s="1079"/>
      <c r="H50" s="1041">
        <f t="shared" si="6"/>
        <v>762000</v>
      </c>
      <c r="I50" s="1080">
        <v>6627276</v>
      </c>
      <c r="J50" s="1079"/>
      <c r="K50" s="1079"/>
      <c r="L50" s="1079"/>
      <c r="M50" s="1079"/>
      <c r="N50" s="1041">
        <f t="shared" si="7"/>
        <v>6627276</v>
      </c>
      <c r="O50" s="742"/>
    </row>
    <row r="51" spans="1:15" s="408" customFormat="1" x14ac:dyDescent="0.2">
      <c r="A51" s="746" t="s">
        <v>621</v>
      </c>
      <c r="B51" s="599" t="s">
        <v>378</v>
      </c>
      <c r="C51" s="1081">
        <v>0</v>
      </c>
      <c r="D51" s="1082"/>
      <c r="E51" s="1082"/>
      <c r="F51" s="1082"/>
      <c r="G51" s="1082"/>
      <c r="H51" s="1045">
        <f t="shared" si="6"/>
        <v>0</v>
      </c>
      <c r="I51" s="1614">
        <f>22342229+234570-150000+341802+1330000</f>
        <v>24098601</v>
      </c>
      <c r="J51" s="1054">
        <f>1423277+150000+190000+577815</f>
        <v>2341092</v>
      </c>
      <c r="K51" s="1050"/>
      <c r="L51" s="1050"/>
      <c r="M51" s="1050"/>
      <c r="N51" s="1041">
        <f t="shared" si="7"/>
        <v>26439693</v>
      </c>
    </row>
    <row r="52" spans="1:15" s="408" customFormat="1" ht="39" thickBot="1" x14ac:dyDescent="0.25">
      <c r="A52" s="747" t="s">
        <v>622</v>
      </c>
      <c r="B52" s="745" t="s">
        <v>623</v>
      </c>
      <c r="C52" s="1081">
        <v>30768216</v>
      </c>
      <c r="D52" s="1050">
        <v>806423</v>
      </c>
      <c r="E52" s="1082"/>
      <c r="F52" s="1082"/>
      <c r="G52" s="1082"/>
      <c r="H52" s="1083">
        <f t="shared" si="6"/>
        <v>31574639</v>
      </c>
      <c r="I52" s="1049">
        <f>32569630+20797-20797</f>
        <v>32569630</v>
      </c>
      <c r="J52" s="1050">
        <v>1050</v>
      </c>
      <c r="K52" s="1050"/>
      <c r="L52" s="1050"/>
      <c r="M52" s="1050"/>
      <c r="N52" s="1041">
        <f t="shared" si="7"/>
        <v>32570680</v>
      </c>
    </row>
    <row r="53" spans="1:15" s="408" customFormat="1" ht="14.25" thickBot="1" x14ac:dyDescent="0.3">
      <c r="A53" s="1545" t="s">
        <v>735</v>
      </c>
      <c r="B53" s="1546"/>
      <c r="C53" s="1543"/>
      <c r="D53" s="1543"/>
      <c r="E53" s="1543"/>
      <c r="F53" s="1543"/>
      <c r="G53" s="1543"/>
      <c r="H53" s="1543"/>
      <c r="I53" s="1543"/>
      <c r="J53" s="1543"/>
      <c r="K53" s="1543"/>
      <c r="L53" s="1543"/>
      <c r="M53" s="1543"/>
      <c r="N53" s="1544"/>
    </row>
    <row r="54" spans="1:15" s="408" customFormat="1" ht="13.5" thickBot="1" x14ac:dyDescent="0.25">
      <c r="A54" s="600" t="s">
        <v>736</v>
      </c>
      <c r="B54" s="597" t="s">
        <v>737</v>
      </c>
      <c r="C54" s="1078"/>
      <c r="D54" s="1079"/>
      <c r="E54" s="1079"/>
      <c r="F54" s="1079"/>
      <c r="G54" s="1079"/>
      <c r="H54" s="1041">
        <f>SUM(C54:G54)</f>
        <v>0</v>
      </c>
      <c r="I54" s="1612">
        <f>4621230+33020</f>
        <v>4654250</v>
      </c>
      <c r="J54" s="1079">
        <v>46591747</v>
      </c>
      <c r="K54" s="1079"/>
      <c r="L54" s="1079"/>
      <c r="M54" s="1079"/>
      <c r="N54" s="1041">
        <f>SUM(I54:M54)</f>
        <v>51245997</v>
      </c>
    </row>
    <row r="55" spans="1:15" ht="14.25" thickBot="1" x14ac:dyDescent="0.3">
      <c r="A55" s="1545" t="s">
        <v>624</v>
      </c>
      <c r="B55" s="1546"/>
      <c r="C55" s="1542"/>
      <c r="D55" s="1542"/>
      <c r="E55" s="1542"/>
      <c r="F55" s="1542"/>
      <c r="G55" s="1542"/>
      <c r="H55" s="1542"/>
      <c r="I55" s="1542"/>
      <c r="J55" s="1542"/>
      <c r="K55" s="1542"/>
      <c r="L55" s="1542"/>
      <c r="M55" s="1542"/>
      <c r="N55" s="1547"/>
      <c r="O55" s="742"/>
    </row>
    <row r="56" spans="1:15" ht="25.5" x14ac:dyDescent="0.2">
      <c r="A56" s="1009">
        <v>101211</v>
      </c>
      <c r="B56" s="1006" t="s">
        <v>865</v>
      </c>
      <c r="C56" s="1075"/>
      <c r="D56" s="1076"/>
      <c r="E56" s="1076"/>
      <c r="F56" s="1076"/>
      <c r="G56" s="1076"/>
      <c r="H56" s="1077">
        <f t="shared" ref="H56:H62" si="8">SUM(C56:G56)</f>
        <v>0</v>
      </c>
      <c r="I56" s="1037">
        <v>4226616</v>
      </c>
      <c r="J56" s="1037"/>
      <c r="K56" s="1037"/>
      <c r="L56" s="1037"/>
      <c r="M56" s="1037"/>
      <c r="N56" s="1038">
        <f t="shared" ref="N56:N65" si="9">SUM(I56:M56)</f>
        <v>4226616</v>
      </c>
      <c r="O56" s="742"/>
    </row>
    <row r="57" spans="1:15" ht="25.5" x14ac:dyDescent="0.2">
      <c r="A57" s="1010">
        <v>101222</v>
      </c>
      <c r="B57" s="599" t="s">
        <v>869</v>
      </c>
      <c r="C57" s="1042"/>
      <c r="D57" s="1043"/>
      <c r="E57" s="1043"/>
      <c r="F57" s="1043"/>
      <c r="G57" s="1043"/>
      <c r="H57" s="1045">
        <f t="shared" si="8"/>
        <v>0</v>
      </c>
      <c r="I57" s="1043"/>
      <c r="J57" s="1043"/>
      <c r="K57" s="1043"/>
      <c r="L57" s="1043"/>
      <c r="M57" s="1043"/>
      <c r="N57" s="1045">
        <f>SUM(I57:M57)</f>
        <v>0</v>
      </c>
      <c r="O57" s="742"/>
    </row>
    <row r="58" spans="1:15" x14ac:dyDescent="0.2">
      <c r="A58" s="1010">
        <v>102023</v>
      </c>
      <c r="B58" s="599" t="s">
        <v>866</v>
      </c>
      <c r="C58" s="1042"/>
      <c r="D58" s="1043"/>
      <c r="E58" s="1043"/>
      <c r="F58" s="1043"/>
      <c r="G58" s="1043"/>
      <c r="H58" s="1045">
        <f t="shared" si="8"/>
        <v>0</v>
      </c>
      <c r="I58" s="1043">
        <v>6799828</v>
      </c>
      <c r="J58" s="1043"/>
      <c r="K58" s="1043"/>
      <c r="L58" s="1043"/>
      <c r="M58" s="1043"/>
      <c r="N58" s="1045">
        <f t="shared" si="9"/>
        <v>6799828</v>
      </c>
      <c r="O58" s="742"/>
    </row>
    <row r="59" spans="1:15" x14ac:dyDescent="0.2">
      <c r="A59" s="1007">
        <v>102024</v>
      </c>
      <c r="B59" s="846" t="s">
        <v>867</v>
      </c>
      <c r="C59" s="1078"/>
      <c r="D59" s="1079"/>
      <c r="E59" s="1079"/>
      <c r="F59" s="1079"/>
      <c r="G59" s="1079"/>
      <c r="H59" s="1045">
        <f t="shared" si="8"/>
        <v>0</v>
      </c>
      <c r="I59" s="1043">
        <v>1470944</v>
      </c>
      <c r="J59" s="1043"/>
      <c r="K59" s="1043"/>
      <c r="L59" s="1043"/>
      <c r="M59" s="1043"/>
      <c r="N59" s="1045">
        <f t="shared" si="9"/>
        <v>1470944</v>
      </c>
      <c r="O59" s="742"/>
    </row>
    <row r="60" spans="1:15" x14ac:dyDescent="0.2">
      <c r="A60" s="1010" t="s">
        <v>625</v>
      </c>
      <c r="B60" s="599" t="s">
        <v>491</v>
      </c>
      <c r="C60" s="1081"/>
      <c r="D60" s="1082"/>
      <c r="E60" s="1082"/>
      <c r="F60" s="1082"/>
      <c r="G60" s="1082"/>
      <c r="H60" s="1045">
        <f t="shared" si="8"/>
        <v>0</v>
      </c>
      <c r="I60" s="1043">
        <v>300000</v>
      </c>
      <c r="J60" s="1043"/>
      <c r="K60" s="1043"/>
      <c r="L60" s="1043"/>
      <c r="M60" s="1043"/>
      <c r="N60" s="1045">
        <f t="shared" si="9"/>
        <v>300000</v>
      </c>
      <c r="O60" s="742"/>
    </row>
    <row r="61" spans="1:15" ht="25.5" x14ac:dyDescent="0.2">
      <c r="A61" s="1010">
        <v>104031</v>
      </c>
      <c r="B61" s="599" t="s">
        <v>868</v>
      </c>
      <c r="C61" s="1363">
        <v>37562787</v>
      </c>
      <c r="D61" s="1058">
        <v>137436248</v>
      </c>
      <c r="E61" s="1048"/>
      <c r="F61" s="1048"/>
      <c r="G61" s="1048"/>
      <c r="H61" s="1045">
        <f t="shared" si="8"/>
        <v>174999035</v>
      </c>
      <c r="I61" s="1058">
        <f>501816+37562787</f>
        <v>38064603</v>
      </c>
      <c r="J61" s="1058">
        <v>137436248</v>
      </c>
      <c r="K61" s="1043"/>
      <c r="L61" s="1043"/>
      <c r="M61" s="1043"/>
      <c r="N61" s="1045">
        <f t="shared" si="9"/>
        <v>175500851</v>
      </c>
      <c r="O61" s="742"/>
    </row>
    <row r="62" spans="1:15" x14ac:dyDescent="0.2">
      <c r="A62" s="1011" t="s">
        <v>626</v>
      </c>
      <c r="B62" s="1008" t="s">
        <v>476</v>
      </c>
      <c r="C62" s="1078"/>
      <c r="D62" s="1079"/>
      <c r="E62" s="1079"/>
      <c r="F62" s="1079"/>
      <c r="G62" s="1079"/>
      <c r="H62" s="1045">
        <f t="shared" si="8"/>
        <v>0</v>
      </c>
      <c r="I62" s="1080">
        <v>51507949</v>
      </c>
      <c r="J62" s="1079"/>
      <c r="K62" s="1079"/>
      <c r="L62" s="1079"/>
      <c r="M62" s="1079"/>
      <c r="N62" s="1041">
        <f t="shared" si="9"/>
        <v>51507949</v>
      </c>
      <c r="O62" s="742"/>
    </row>
    <row r="63" spans="1:15" ht="25.5" x14ac:dyDescent="0.2">
      <c r="A63" s="1010">
        <v>104060</v>
      </c>
      <c r="B63" s="599" t="s">
        <v>941</v>
      </c>
      <c r="C63" s="1363">
        <v>43710000</v>
      </c>
      <c r="D63" s="1058">
        <v>4290000</v>
      </c>
      <c r="E63" s="1048"/>
      <c r="F63" s="1048"/>
      <c r="G63" s="1048"/>
      <c r="H63" s="1045">
        <f>SUM(C63:G63)</f>
        <v>48000000</v>
      </c>
      <c r="I63" s="1058">
        <f>1110961+154979+20824835+5622704+22379-22379+10371+457259+2-22379+22379+43710000</f>
        <v>71891111</v>
      </c>
      <c r="J63" s="1058">
        <f>8786521-10371-228983-106186-122089+4290000</f>
        <v>12608892</v>
      </c>
      <c r="K63" s="1043"/>
      <c r="L63" s="1043"/>
      <c r="M63" s="1043"/>
      <c r="N63" s="1045">
        <f>SUM(I63:M63)</f>
        <v>84500003</v>
      </c>
      <c r="O63" s="742"/>
    </row>
    <row r="64" spans="1:15" ht="25.5" x14ac:dyDescent="0.2">
      <c r="A64" s="746" t="s">
        <v>627</v>
      </c>
      <c r="B64" s="599" t="s">
        <v>628</v>
      </c>
      <c r="C64" s="1042">
        <v>3094000</v>
      </c>
      <c r="D64" s="1043"/>
      <c r="E64" s="1043"/>
      <c r="F64" s="1043"/>
      <c r="G64" s="1043"/>
      <c r="H64" s="1045">
        <f>SUM(C64:G64)</f>
        <v>3094000</v>
      </c>
      <c r="I64" s="1049">
        <v>5509100</v>
      </c>
      <c r="J64" s="1054">
        <f>2794000+400000</f>
        <v>3194000</v>
      </c>
      <c r="K64" s="1050"/>
      <c r="L64" s="1050"/>
      <c r="M64" s="1050"/>
      <c r="N64" s="1041">
        <f t="shared" si="9"/>
        <v>8703100</v>
      </c>
      <c r="O64" s="742"/>
    </row>
    <row r="65" spans="1:15" ht="26.25" thickBot="1" x14ac:dyDescent="0.25">
      <c r="A65" s="1012" t="s">
        <v>629</v>
      </c>
      <c r="B65" s="986" t="s">
        <v>630</v>
      </c>
      <c r="C65" s="1051">
        <v>500000</v>
      </c>
      <c r="D65" s="1052"/>
      <c r="E65" s="1052"/>
      <c r="F65" s="1052"/>
      <c r="G65" s="1052"/>
      <c r="H65" s="1053">
        <f>SUM(C65:G65)</f>
        <v>500000</v>
      </c>
      <c r="I65" s="1062">
        <f>43800000+1250000</f>
        <v>45050000</v>
      </c>
      <c r="J65" s="1060"/>
      <c r="K65" s="1060"/>
      <c r="L65" s="1060"/>
      <c r="M65" s="1060"/>
      <c r="N65" s="1053">
        <f t="shared" si="9"/>
        <v>45050000</v>
      </c>
      <c r="O65" s="742"/>
    </row>
    <row r="66" spans="1:15" ht="14.25" thickBot="1" x14ac:dyDescent="0.3">
      <c r="A66" s="1545" t="s">
        <v>631</v>
      </c>
      <c r="B66" s="1546"/>
      <c r="C66" s="1556"/>
      <c r="D66" s="1556"/>
      <c r="E66" s="1556"/>
      <c r="F66" s="1556"/>
      <c r="G66" s="1556"/>
      <c r="H66" s="1556"/>
      <c r="I66" s="1556"/>
      <c r="J66" s="1556"/>
      <c r="K66" s="1556"/>
      <c r="L66" s="1556"/>
      <c r="M66" s="1556"/>
      <c r="N66" s="1557"/>
      <c r="O66" s="742"/>
    </row>
    <row r="67" spans="1:15" ht="25.5" x14ac:dyDescent="0.2">
      <c r="A67" s="600" t="s">
        <v>632</v>
      </c>
      <c r="B67" s="597" t="s">
        <v>633</v>
      </c>
      <c r="C67" s="1146"/>
      <c r="D67" s="1079"/>
      <c r="E67" s="1079">
        <v>383355000</v>
      </c>
      <c r="F67" s="1079"/>
      <c r="G67" s="1079"/>
      <c r="H67" s="1041">
        <f>SUM(C67:G67)</f>
        <v>383355000</v>
      </c>
      <c r="I67" s="1080"/>
      <c r="J67" s="1079"/>
      <c r="K67" s="1084"/>
      <c r="L67" s="1079"/>
      <c r="M67" s="1079"/>
      <c r="N67" s="1041">
        <f>SUM(I67:M67)</f>
        <v>0</v>
      </c>
      <c r="O67" s="742"/>
    </row>
    <row r="68" spans="1:15" ht="26.25" thickBot="1" x14ac:dyDescent="0.25">
      <c r="A68" s="747" t="s">
        <v>634</v>
      </c>
      <c r="B68" s="745" t="s">
        <v>635</v>
      </c>
      <c r="C68" s="1085"/>
      <c r="D68" s="1050"/>
      <c r="E68" s="1050"/>
      <c r="F68" s="1050">
        <v>1187733250</v>
      </c>
      <c r="G68" s="1050"/>
      <c r="H68" s="1045">
        <f>SUM(C68:G68)</f>
        <v>1187733250</v>
      </c>
      <c r="I68" s="1049">
        <v>20842932</v>
      </c>
      <c r="J68" s="1054"/>
      <c r="K68" s="1050"/>
      <c r="L68" s="1050">
        <v>1022728296</v>
      </c>
      <c r="M68" s="1054">
        <f>10000000+120420513+2653479-1647918-1769228+3366934</f>
        <v>133023780</v>
      </c>
      <c r="N68" s="1045">
        <f>SUM(I68:M68)</f>
        <v>1176595008</v>
      </c>
      <c r="O68" s="742"/>
    </row>
    <row r="69" spans="1:15" ht="13.5" thickBot="1" x14ac:dyDescent="0.25">
      <c r="A69" s="1539" t="s">
        <v>49</v>
      </c>
      <c r="B69" s="1540"/>
      <c r="C69" s="1086">
        <f t="shared" ref="C69:N69" si="10">SUM(C9:C68)</f>
        <v>2431738834</v>
      </c>
      <c r="D69" s="1086">
        <f t="shared" si="10"/>
        <v>460548890</v>
      </c>
      <c r="E69" s="1086">
        <f t="shared" si="10"/>
        <v>391355000</v>
      </c>
      <c r="F69" s="1086">
        <f t="shared" si="10"/>
        <v>1187733250</v>
      </c>
      <c r="G69" s="1086">
        <f t="shared" si="10"/>
        <v>2381931880</v>
      </c>
      <c r="H69" s="1087">
        <f t="shared" si="10"/>
        <v>6853307854</v>
      </c>
      <c r="I69" s="1086">
        <f t="shared" si="10"/>
        <v>1068439621</v>
      </c>
      <c r="J69" s="1086">
        <f t="shared" si="10"/>
        <v>2766320797</v>
      </c>
      <c r="K69" s="1086">
        <f t="shared" si="10"/>
        <v>1862795360</v>
      </c>
      <c r="L69" s="1086">
        <f t="shared" si="10"/>
        <v>1022728296</v>
      </c>
      <c r="M69" s="1086">
        <f t="shared" si="10"/>
        <v>133023780</v>
      </c>
      <c r="N69" s="1086">
        <f t="shared" si="10"/>
        <v>6853307854</v>
      </c>
      <c r="O69" s="409">
        <f>N69-H69</f>
        <v>0</v>
      </c>
    </row>
    <row r="70" spans="1:15" ht="13.5" thickBot="1" x14ac:dyDescent="0.25">
      <c r="A70" s="1558" t="s">
        <v>379</v>
      </c>
      <c r="B70" s="1559"/>
      <c r="C70" s="1088"/>
      <c r="D70" s="1089"/>
      <c r="E70" s="1089"/>
      <c r="F70" s="1089"/>
      <c r="G70" s="1089"/>
      <c r="H70" s="1045"/>
      <c r="I70" s="1090"/>
      <c r="J70" s="1043"/>
      <c r="K70" s="1043">
        <f>SUM(K67:K68,K60:K65,K47:K52,K38:K45,K34:K36,K27:K30,K9:K15)</f>
        <v>1862795360</v>
      </c>
      <c r="L70" s="1089"/>
      <c r="M70" s="1089"/>
      <c r="N70" s="1091">
        <f>SUM(I70:M70)</f>
        <v>1862795360</v>
      </c>
      <c r="O70" s="409"/>
    </row>
    <row r="71" spans="1:15" ht="13.5" thickBot="1" x14ac:dyDescent="0.25">
      <c r="A71" s="1539" t="s">
        <v>59</v>
      </c>
      <c r="B71" s="1540"/>
      <c r="C71" s="1092">
        <f>C69-C70</f>
        <v>2431738834</v>
      </c>
      <c r="D71" s="1093">
        <f t="shared" ref="D71:M71" si="11">D69-D70</f>
        <v>460548890</v>
      </c>
      <c r="E71" s="1093">
        <f t="shared" si="11"/>
        <v>391355000</v>
      </c>
      <c r="F71" s="1093">
        <f t="shared" si="11"/>
        <v>1187733250</v>
      </c>
      <c r="G71" s="1093">
        <f t="shared" si="11"/>
        <v>2381931880</v>
      </c>
      <c r="H71" s="1094">
        <f t="shared" si="11"/>
        <v>6853307854</v>
      </c>
      <c r="I71" s="1092">
        <f t="shared" si="11"/>
        <v>1068439621</v>
      </c>
      <c r="J71" s="1093">
        <f t="shared" si="11"/>
        <v>2766320797</v>
      </c>
      <c r="K71" s="1093">
        <f t="shared" si="11"/>
        <v>0</v>
      </c>
      <c r="L71" s="1093">
        <f t="shared" si="11"/>
        <v>1022728296</v>
      </c>
      <c r="M71" s="1093">
        <f t="shared" si="11"/>
        <v>133023780</v>
      </c>
      <c r="N71" s="1095">
        <f>N69-N70</f>
        <v>4990512494</v>
      </c>
      <c r="O71" s="409"/>
    </row>
    <row r="72" spans="1:15" x14ac:dyDescent="0.2">
      <c r="B72" s="308"/>
      <c r="C72" s="741">
        <f>C71-C73</f>
        <v>0</v>
      </c>
      <c r="D72" s="741">
        <f t="shared" ref="D72:M72" si="12">D71-D73</f>
        <v>0</v>
      </c>
      <c r="E72" s="741">
        <f t="shared" si="12"/>
        <v>0</v>
      </c>
      <c r="F72" s="741">
        <f t="shared" si="12"/>
        <v>0</v>
      </c>
      <c r="G72" s="741">
        <f t="shared" si="12"/>
        <v>0</v>
      </c>
      <c r="H72" s="741">
        <f t="shared" si="12"/>
        <v>0</v>
      </c>
      <c r="I72" s="741">
        <f t="shared" si="12"/>
        <v>0</v>
      </c>
      <c r="J72" s="741">
        <f t="shared" si="12"/>
        <v>0</v>
      </c>
      <c r="K72" s="741">
        <f>K70-K73</f>
        <v>0</v>
      </c>
      <c r="L72" s="741">
        <f t="shared" si="12"/>
        <v>0</v>
      </c>
      <c r="M72" s="741">
        <f t="shared" si="12"/>
        <v>0</v>
      </c>
      <c r="N72" s="741">
        <f>N69-N73</f>
        <v>0</v>
      </c>
    </row>
    <row r="73" spans="1:15" x14ac:dyDescent="0.2">
      <c r="B73" s="308"/>
      <c r="C73" s="741">
        <f>'14. sz. mell. Önk.'!C7+'14. sz. mell. Önk.'!C16+'14. sz. mell. Önk.'!C37+'14. sz. mell. Önk.'!C55+'14. sz. mell. Önk.'!C78</f>
        <v>2431738834</v>
      </c>
      <c r="D73" s="741">
        <f>'14. sz. mell. Önk.'!C23+'14. sz. mell. Önk.'!C49+'14. sz. mell. Önk.'!C60</f>
        <v>460548890</v>
      </c>
      <c r="E73" s="741">
        <f>'14. sz. mell. Önk.'!C30</f>
        <v>391355000</v>
      </c>
      <c r="F73" s="741">
        <f>'14. sz. mell. Önk.'!C66</f>
        <v>1187733250</v>
      </c>
      <c r="G73" s="741">
        <f>'14. sz. mell. Önk.'!C75</f>
        <v>2381931880</v>
      </c>
      <c r="H73" s="603">
        <f>SUM(C73:G73)</f>
        <v>6853307854</v>
      </c>
      <c r="I73" s="741">
        <f>'14. sz. mell. Önk.'!C92-'14. sz. mell. Önk.'!C110+'14. sz. mell. Önk.'!C139</f>
        <v>1068439621</v>
      </c>
      <c r="J73" s="741">
        <f>'14. sz. mell. Önk.'!C113</f>
        <v>2766320797</v>
      </c>
      <c r="K73" s="311">
        <f>'34.sz.m. int.összesítő'!C16</f>
        <v>1862795360</v>
      </c>
      <c r="L73" s="310">
        <f>'14. sz. mell. Önk.'!C128</f>
        <v>1022728296</v>
      </c>
      <c r="M73" s="310">
        <f>'14. sz. mell. Önk.'!C110</f>
        <v>133023780</v>
      </c>
      <c r="N73" s="309">
        <f>SUM(I73:M73)</f>
        <v>6853307854</v>
      </c>
    </row>
    <row r="74" spans="1:15" x14ac:dyDescent="0.2">
      <c r="B74" s="308"/>
      <c r="C74" s="741"/>
      <c r="D74" s="741"/>
      <c r="E74" s="741"/>
      <c r="F74" s="741"/>
      <c r="G74" s="741"/>
      <c r="H74" s="603"/>
      <c r="I74" s="313"/>
      <c r="J74" s="741"/>
      <c r="K74" s="312"/>
      <c r="L74" s="741"/>
      <c r="M74" s="741"/>
      <c r="N74" s="309"/>
    </row>
    <row r="75" spans="1:15" x14ac:dyDescent="0.2">
      <c r="B75" s="308"/>
      <c r="C75" s="741"/>
      <c r="D75" s="741"/>
      <c r="E75" s="741"/>
      <c r="F75" s="741"/>
      <c r="G75" s="741"/>
      <c r="H75" s="603"/>
      <c r="I75" s="741"/>
      <c r="J75" s="741"/>
      <c r="K75" s="312"/>
      <c r="L75" s="741"/>
      <c r="M75" s="741"/>
      <c r="N75" s="309"/>
    </row>
    <row r="76" spans="1:15" x14ac:dyDescent="0.2">
      <c r="B76" s="308"/>
      <c r="C76" s="741"/>
      <c r="D76" s="741"/>
      <c r="E76" s="741"/>
      <c r="F76" s="741"/>
      <c r="G76" s="741"/>
      <c r="H76" s="603"/>
      <c r="I76" s="741"/>
      <c r="J76" s="741"/>
      <c r="K76" s="312"/>
      <c r="L76" s="741"/>
      <c r="M76" s="741"/>
      <c r="N76" s="309"/>
    </row>
    <row r="77" spans="1:15" x14ac:dyDescent="0.2">
      <c r="B77" s="308"/>
      <c r="C77" s="741"/>
      <c r="D77" s="741"/>
      <c r="E77" s="741"/>
      <c r="F77" s="741"/>
      <c r="G77" s="741"/>
      <c r="H77" s="603"/>
      <c r="I77" s="741"/>
      <c r="J77" s="741"/>
      <c r="K77" s="312"/>
      <c r="L77" s="741"/>
      <c r="M77" s="741"/>
      <c r="N77" s="309"/>
    </row>
    <row r="78" spans="1:15" x14ac:dyDescent="0.2">
      <c r="B78" s="308"/>
      <c r="C78" s="741"/>
      <c r="D78" s="741"/>
      <c r="E78" s="741"/>
      <c r="F78" s="741"/>
      <c r="G78" s="741"/>
      <c r="H78" s="603"/>
      <c r="I78" s="741"/>
      <c r="J78" s="741"/>
      <c r="K78" s="312"/>
      <c r="L78" s="741"/>
      <c r="M78" s="741"/>
      <c r="N78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1:B71"/>
    <mergeCell ref="A8:N8"/>
    <mergeCell ref="A16:N16"/>
    <mergeCell ref="A26:N26"/>
    <mergeCell ref="A32:N32"/>
    <mergeCell ref="A37:N37"/>
    <mergeCell ref="A46:N46"/>
    <mergeCell ref="A55:N55"/>
    <mergeCell ref="A66:N66"/>
    <mergeCell ref="A69:B69"/>
    <mergeCell ref="A70:B70"/>
    <mergeCell ref="A53:N53"/>
  </mergeCells>
  <printOptions horizontalCentered="1"/>
  <pageMargins left="0.7" right="0.7" top="0.75" bottom="0.75" header="0.3" footer="0.3"/>
  <pageSetup paperSize="9" scale="35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workbookViewId="0">
      <selection activeCell="J36" sqref="J36"/>
    </sheetView>
  </sheetViews>
  <sheetFormatPr defaultRowHeight="15.75" x14ac:dyDescent="0.25"/>
  <cols>
    <col min="1" max="1" width="9" style="736" customWidth="1"/>
    <col min="2" max="2" width="66.33203125" style="736" bestFit="1" customWidth="1"/>
    <col min="3" max="3" width="15.5" style="737" hidden="1" customWidth="1"/>
    <col min="4" max="6" width="15.5" style="736" customWidth="1"/>
    <col min="7" max="16384" width="9.33203125" style="738"/>
  </cols>
  <sheetData>
    <row r="1" spans="1:10" x14ac:dyDescent="0.25">
      <c r="A1" s="1417" t="str">
        <f>CONCATENATE("43. tájékoztató tábla ",ALAPADATOK!A7," ",ALAPADATOK!B7," ",ALAPADATOK!C7," ",ALAPADATOK!D7," ",ALAPADATOK!E7," ",ALAPADATOK!F7," ",ALAPADATOK!G7," ",ALAPADATOK!H7)</f>
        <v>43. tájékoztató tábla a .. / 2022. ( …... ) önkormányzati rendelethez</v>
      </c>
      <c r="B1" s="1417"/>
      <c r="C1" s="1417"/>
      <c r="D1" s="1417"/>
      <c r="E1" s="1417"/>
      <c r="F1" s="1417"/>
    </row>
    <row r="2" spans="1:10" x14ac:dyDescent="0.25">
      <c r="A2" s="1561" t="s">
        <v>1032</v>
      </c>
      <c r="B2" s="1561"/>
      <c r="C2" s="1561"/>
      <c r="D2" s="1561"/>
      <c r="E2" s="1561"/>
      <c r="F2" s="1561"/>
      <c r="G2" s="1341"/>
      <c r="H2" s="1341"/>
      <c r="I2" s="1341"/>
      <c r="J2" s="1341"/>
    </row>
    <row r="3" spans="1:10" ht="35.25" customHeight="1" x14ac:dyDescent="0.25">
      <c r="A3" s="1572" t="s">
        <v>1009</v>
      </c>
      <c r="B3" s="1572"/>
      <c r="C3" s="1572"/>
      <c r="D3" s="1572"/>
      <c r="E3" s="1572"/>
      <c r="F3" s="1572"/>
    </row>
    <row r="5" spans="1:10" ht="15.95" customHeight="1" x14ac:dyDescent="0.25">
      <c r="A5" s="1419" t="s">
        <v>13</v>
      </c>
      <c r="B5" s="1419"/>
      <c r="C5" s="1419"/>
      <c r="D5" s="1419"/>
      <c r="E5" s="1419"/>
      <c r="F5" s="738"/>
    </row>
    <row r="6" spans="1:10" ht="15.95" customHeight="1" thickBot="1" x14ac:dyDescent="0.3">
      <c r="A6" s="1418" t="s">
        <v>114</v>
      </c>
      <c r="B6" s="1418"/>
      <c r="D6" s="773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656</v>
      </c>
      <c r="E7" s="466" t="s">
        <v>859</v>
      </c>
      <c r="F7" s="466" t="s">
        <v>1008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650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649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3">
        <v>400000000</v>
      </c>
      <c r="D25" s="743">
        <v>1800000000</v>
      </c>
      <c r="E25" s="743">
        <v>1800000000</v>
      </c>
      <c r="F25" s="743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19" t="s">
        <v>44</v>
      </c>
      <c r="B28" s="1419"/>
      <c r="C28" s="1419"/>
      <c r="D28" s="1419"/>
      <c r="E28" s="1419"/>
      <c r="H28" s="604"/>
      <c r="I28" s="604"/>
      <c r="J28" s="604"/>
      <c r="K28" s="604"/>
    </row>
    <row r="29" spans="1:11" s="183" customFormat="1" ht="12" customHeight="1" thickBot="1" x14ac:dyDescent="0.25">
      <c r="A29" s="1420" t="s">
        <v>115</v>
      </c>
      <c r="B29" s="1420"/>
      <c r="C29" s="737"/>
      <c r="D29" s="773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4">
        <v>155000000</v>
      </c>
      <c r="D38" s="744">
        <v>1000000000</v>
      </c>
      <c r="E38" s="744">
        <v>1100000000</v>
      </c>
      <c r="F38" s="744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6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6"/>
    </row>
    <row r="42" spans="1:7" x14ac:dyDescent="0.25">
      <c r="C42" s="736"/>
    </row>
    <row r="43" spans="1:7" ht="16.5" customHeight="1" x14ac:dyDescent="0.25">
      <c r="C43" s="736"/>
    </row>
    <row r="44" spans="1:7" x14ac:dyDescent="0.25">
      <c r="C44" s="736"/>
    </row>
    <row r="45" spans="1:7" x14ac:dyDescent="0.25">
      <c r="C45" s="736"/>
    </row>
    <row r="46" spans="1:7" s="736" customFormat="1" x14ac:dyDescent="0.25">
      <c r="G46" s="738"/>
    </row>
    <row r="47" spans="1:7" s="736" customFormat="1" x14ac:dyDescent="0.25">
      <c r="G47" s="738"/>
    </row>
    <row r="48" spans="1:7" s="736" customFormat="1" x14ac:dyDescent="0.25">
      <c r="G48" s="738"/>
    </row>
    <row r="49" spans="7:7" s="736" customFormat="1" x14ac:dyDescent="0.25">
      <c r="G49" s="738"/>
    </row>
    <row r="50" spans="7:7" s="736" customFormat="1" x14ac:dyDescent="0.25">
      <c r="G50" s="738"/>
    </row>
    <row r="51" spans="7:7" s="736" customFormat="1" x14ac:dyDescent="0.25">
      <c r="G51" s="738"/>
    </row>
    <row r="52" spans="7:7" s="736" customFormat="1" x14ac:dyDescent="0.25">
      <c r="G52" s="738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" zoomScale="160" zoomScaleNormal="130" zoomScaleSheetLayoutView="160" workbookViewId="0">
      <selection activeCell="D6" sqref="D6:E6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73" t="str">
        <f>CONCATENATE("32. melléklet ",ALAPADATOK!A7," ",ALAPADATOK!B7," ",ALAPADATOK!C7," ",ALAPADATOK!D7," ",ALAPADATOK!E7," ",ALAPADATOK!F7," ",ALAPADATOK!G7," ",ALAPADATOK!H7)</f>
        <v>32. melléklet a .. / 2022. ( …... ) önkormányzati rendelethez</v>
      </c>
      <c r="E1" s="1573"/>
      <c r="F1" s="294"/>
      <c r="G1" s="294"/>
    </row>
    <row r="2" spans="4:9" x14ac:dyDescent="0.2">
      <c r="D2" s="1561" t="s">
        <v>1033</v>
      </c>
      <c r="E2" s="1561"/>
      <c r="F2" s="1340"/>
      <c r="G2" s="1340"/>
      <c r="H2" s="1340"/>
      <c r="I2" s="1340"/>
    </row>
    <row r="3" spans="4:9" x14ac:dyDescent="0.2">
      <c r="D3" s="294"/>
      <c r="E3" s="294"/>
      <c r="F3" s="294"/>
      <c r="G3" s="294"/>
    </row>
    <row r="4" spans="4:9" ht="19.5" x14ac:dyDescent="0.35">
      <c r="D4" s="1574" t="s">
        <v>570</v>
      </c>
      <c r="E4" s="1574"/>
      <c r="F4" s="295"/>
      <c r="G4" s="295"/>
    </row>
    <row r="5" spans="4:9" ht="19.5" x14ac:dyDescent="0.35">
      <c r="D5" s="1574"/>
      <c r="E5" s="1574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37" customFormat="1" ht="21.75" thickBot="1" x14ac:dyDescent="0.25">
      <c r="D9" s="1138" t="s">
        <v>2</v>
      </c>
      <c r="E9" s="1139" t="s">
        <v>658</v>
      </c>
    </row>
    <row r="10" spans="4:9" x14ac:dyDescent="0.2">
      <c r="D10" s="1019" t="s">
        <v>1012</v>
      </c>
      <c r="E10" s="1020">
        <v>53</v>
      </c>
    </row>
    <row r="11" spans="4:9" s="296" customFormat="1" x14ac:dyDescent="0.2">
      <c r="D11" s="1127" t="s">
        <v>1011</v>
      </c>
      <c r="E11" s="1020">
        <v>19.75</v>
      </c>
    </row>
    <row r="12" spans="4:9" s="296" customFormat="1" x14ac:dyDescent="0.2">
      <c r="D12" s="1019" t="s">
        <v>567</v>
      </c>
      <c r="E12" s="725">
        <v>21</v>
      </c>
    </row>
    <row r="13" spans="4:9" s="296" customFormat="1" x14ac:dyDescent="0.2">
      <c r="D13" s="1019" t="s">
        <v>1010</v>
      </c>
      <c r="E13" s="725">
        <v>150</v>
      </c>
    </row>
    <row r="14" spans="4:9" s="296" customFormat="1" x14ac:dyDescent="0.2">
      <c r="D14" s="628" t="s">
        <v>857</v>
      </c>
      <c r="E14" s="725">
        <v>50</v>
      </c>
    </row>
    <row r="15" spans="4:9" s="629" customFormat="1" x14ac:dyDescent="0.2">
      <c r="D15" s="1124" t="s">
        <v>1013</v>
      </c>
      <c r="E15" s="1125">
        <v>2</v>
      </c>
    </row>
    <row r="16" spans="4:9" s="629" customFormat="1" ht="13.5" thickBot="1" x14ac:dyDescent="0.25">
      <c r="D16" s="1126" t="s">
        <v>482</v>
      </c>
      <c r="E16" s="1125">
        <v>50.38</v>
      </c>
    </row>
    <row r="17" spans="4:5" ht="13.5" thickBot="1" x14ac:dyDescent="0.25">
      <c r="D17" s="577" t="s">
        <v>568</v>
      </c>
      <c r="E17" s="999">
        <f>SUM(E10:E16)</f>
        <v>346.13</v>
      </c>
    </row>
    <row r="18" spans="4:5" ht="13.5" thickBot="1" x14ac:dyDescent="0.25">
      <c r="D18" s="1000" t="s">
        <v>569</v>
      </c>
      <c r="E18" s="999">
        <f>E17-E14-E15</f>
        <v>294.13</v>
      </c>
    </row>
    <row r="19" spans="4:5" ht="13.5" thickBot="1" x14ac:dyDescent="0.25">
      <c r="D19" s="1343" t="s">
        <v>1034</v>
      </c>
      <c r="E19" s="1342">
        <v>6</v>
      </c>
    </row>
    <row r="20" spans="4:5" ht="13.5" thickBot="1" x14ac:dyDescent="0.25">
      <c r="D20" s="1615" t="s">
        <v>1061</v>
      </c>
      <c r="E20" s="1616">
        <v>1.67</v>
      </c>
    </row>
    <row r="21" spans="4:5" ht="13.5" thickBot="1" x14ac:dyDescent="0.25">
      <c r="D21" s="577" t="s">
        <v>657</v>
      </c>
      <c r="E21" s="999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24" sqref="C12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0" customFormat="1" x14ac:dyDescent="0.25">
      <c r="A1" s="1417" t="str">
        <f>CONCATENATE("4. melléklet"," ",ALAPADATOK!A7," ",ALAPADATOK!B7," ",ALAPADATOK!C7," ",ALAPADATOK!D7," ",ALAPADATOK!E7," ",ALAPADATOK!F7," ",ALAPADATOK!G7," ",ALAPADATOK!H7)</f>
        <v>4. melléklet a .. / 2022. ( …... ) önkormányzati rendelethez</v>
      </c>
      <c r="B1" s="1417"/>
      <c r="C1" s="1417"/>
    </row>
    <row r="2" spans="1:3" s="738" customFormat="1" x14ac:dyDescent="0.25">
      <c r="A2" s="664"/>
      <c r="B2" s="664"/>
      <c r="C2" s="664"/>
    </row>
    <row r="3" spans="1:3" s="650" customFormat="1" x14ac:dyDescent="0.25">
      <c r="A3" s="1422" t="str">
        <f>CONCATENATE(ALAPADATOK!A3)</f>
        <v>Tiszavasvári Város Önkormányzat</v>
      </c>
      <c r="B3" s="1422"/>
      <c r="C3" s="1422"/>
    </row>
    <row r="4" spans="1:3" s="650" customFormat="1" x14ac:dyDescent="0.25">
      <c r="A4" s="1421" t="str">
        <f>CONCATENATE(ALAPADATOK!D7," ÉVI KÖLTSÉGVETÉS")</f>
        <v>2022. ÉVI KÖLTSÉGVETÉS</v>
      </c>
      <c r="B4" s="1421"/>
      <c r="C4" s="1421"/>
    </row>
    <row r="5" spans="1:3" s="650" customFormat="1" x14ac:dyDescent="0.25">
      <c r="A5" s="1421" t="s">
        <v>681</v>
      </c>
      <c r="B5" s="1421"/>
      <c r="C5" s="1421"/>
    </row>
    <row r="6" spans="1:3" s="650" customFormat="1" x14ac:dyDescent="0.25">
      <c r="A6" s="649"/>
      <c r="B6" s="649"/>
      <c r="C6" s="171"/>
    </row>
    <row r="7" spans="1:3" ht="15.95" customHeight="1" x14ac:dyDescent="0.25">
      <c r="A7" s="1419" t="s">
        <v>13</v>
      </c>
      <c r="B7" s="1419"/>
      <c r="C7" s="1419"/>
    </row>
    <row r="8" spans="1:3" ht="15.95" customHeight="1" thickBot="1" x14ac:dyDescent="0.3">
      <c r="A8" s="1418" t="s">
        <v>114</v>
      </c>
      <c r="B8" s="1418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947</v>
      </c>
    </row>
    <row r="10" spans="1:3" s="182" customFormat="1" ht="12" customHeight="1" thickBot="1" x14ac:dyDescent="0.25">
      <c r="A10" s="176" t="s">
        <v>385</v>
      </c>
      <c r="B10" s="7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4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61"/>
    </row>
    <row r="46" spans="1:3" s="183" customFormat="1" ht="12" customHeight="1" x14ac:dyDescent="0.2">
      <c r="A46" s="11" t="s">
        <v>127</v>
      </c>
      <c r="B46" s="185" t="s">
        <v>211</v>
      </c>
      <c r="C46" s="1161"/>
    </row>
    <row r="47" spans="1:3" s="183" customFormat="1" ht="12" customHeight="1" x14ac:dyDescent="0.2">
      <c r="A47" s="11" t="s">
        <v>128</v>
      </c>
      <c r="B47" s="185" t="s">
        <v>212</v>
      </c>
      <c r="C47" s="764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61"/>
    </row>
    <row r="49" spans="1:3" s="183" customFormat="1" ht="12" customHeight="1" x14ac:dyDescent="0.2">
      <c r="A49" s="11" t="s">
        <v>130</v>
      </c>
      <c r="B49" s="185" t="s">
        <v>477</v>
      </c>
      <c r="C49" s="1161"/>
    </row>
    <row r="50" spans="1:3" s="183" customFormat="1" ht="12" customHeight="1" x14ac:dyDescent="0.2">
      <c r="A50" s="11" t="s">
        <v>205</v>
      </c>
      <c r="B50" s="185" t="s">
        <v>215</v>
      </c>
      <c r="C50" s="1161"/>
    </row>
    <row r="51" spans="1:3" s="183" customFormat="1" ht="12" customHeight="1" x14ac:dyDescent="0.2">
      <c r="A51" s="13" t="s">
        <v>206</v>
      </c>
      <c r="B51" s="186" t="s">
        <v>391</v>
      </c>
      <c r="C51" s="1163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9" t="s">
        <v>44</v>
      </c>
      <c r="B96" s="1419"/>
      <c r="C96" s="1419"/>
    </row>
    <row r="97" spans="1:3" s="193" customFormat="1" ht="16.5" customHeight="1" thickBot="1" x14ac:dyDescent="0.3">
      <c r="A97" s="1420" t="s">
        <v>115</v>
      </c>
      <c r="B97" s="1420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259140417</v>
      </c>
    </row>
    <row r="101" spans="1:3" ht="12" customHeight="1" x14ac:dyDescent="0.25">
      <c r="A101" s="14" t="s">
        <v>85</v>
      </c>
      <c r="B101" s="7" t="s">
        <v>46</v>
      </c>
      <c r="C101" s="1346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347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356">
        <f>33077669+140000</f>
        <v>33217669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6"/>
    </row>
    <row r="107" spans="1:3" ht="12" customHeight="1" x14ac:dyDescent="0.25">
      <c r="A107" s="11" t="s">
        <v>90</v>
      </c>
      <c r="B107" s="60" t="s">
        <v>400</v>
      </c>
      <c r="C107" s="766"/>
    </row>
    <row r="108" spans="1:3" ht="12" customHeight="1" x14ac:dyDescent="0.25">
      <c r="A108" s="11" t="s">
        <v>100</v>
      </c>
      <c r="B108" s="60" t="s">
        <v>401</v>
      </c>
      <c r="C108" s="766"/>
    </row>
    <row r="109" spans="1:3" ht="12" customHeight="1" x14ac:dyDescent="0.25">
      <c r="A109" s="11" t="s">
        <v>101</v>
      </c>
      <c r="B109" s="58" t="s">
        <v>284</v>
      </c>
      <c r="C109" s="766"/>
    </row>
    <row r="110" spans="1:3" ht="12" customHeight="1" x14ac:dyDescent="0.25">
      <c r="A110" s="11" t="s">
        <v>102</v>
      </c>
      <c r="B110" s="59" t="s">
        <v>285</v>
      </c>
      <c r="C110" s="766"/>
    </row>
    <row r="111" spans="1:3" ht="12" customHeight="1" x14ac:dyDescent="0.25">
      <c r="A111" s="11" t="s">
        <v>103</v>
      </c>
      <c r="B111" s="59" t="s">
        <v>286</v>
      </c>
      <c r="C111" s="766"/>
    </row>
    <row r="112" spans="1:3" ht="12" customHeight="1" x14ac:dyDescent="0.25">
      <c r="A112" s="11" t="s">
        <v>105</v>
      </c>
      <c r="B112" s="58" t="s">
        <v>287</v>
      </c>
      <c r="C112" s="766"/>
    </row>
    <row r="113" spans="1:3" ht="12" customHeight="1" x14ac:dyDescent="0.25">
      <c r="A113" s="11" t="s">
        <v>137</v>
      </c>
      <c r="B113" s="58" t="s">
        <v>288</v>
      </c>
      <c r="C113" s="766"/>
    </row>
    <row r="114" spans="1:3" ht="12" customHeight="1" x14ac:dyDescent="0.25">
      <c r="A114" s="11" t="s">
        <v>282</v>
      </c>
      <c r="B114" s="59" t="s">
        <v>289</v>
      </c>
      <c r="C114" s="766"/>
    </row>
    <row r="115" spans="1:3" ht="12" customHeight="1" x14ac:dyDescent="0.25">
      <c r="A115" s="10" t="s">
        <v>283</v>
      </c>
      <c r="B115" s="60" t="s">
        <v>290</v>
      </c>
      <c r="C115" s="766"/>
    </row>
    <row r="116" spans="1:3" ht="12" customHeight="1" x14ac:dyDescent="0.25">
      <c r="A116" s="11" t="s">
        <v>402</v>
      </c>
      <c r="B116" s="60" t="s">
        <v>291</v>
      </c>
      <c r="C116" s="766"/>
    </row>
    <row r="117" spans="1:3" ht="12" customHeight="1" x14ac:dyDescent="0.25">
      <c r="A117" s="13" t="s">
        <v>403</v>
      </c>
      <c r="B117" s="60" t="s">
        <v>292</v>
      </c>
      <c r="C117" s="765"/>
    </row>
    <row r="118" spans="1:3" ht="12" customHeight="1" x14ac:dyDescent="0.25">
      <c r="A118" s="11" t="s">
        <v>404</v>
      </c>
      <c r="B118" s="8" t="s">
        <v>47</v>
      </c>
      <c r="C118" s="76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4"/>
    </row>
    <row r="125" spans="1:3" ht="12" customHeight="1" x14ac:dyDescent="0.25">
      <c r="A125" s="12" t="s">
        <v>94</v>
      </c>
      <c r="B125" s="9" t="s">
        <v>298</v>
      </c>
      <c r="C125" s="765"/>
    </row>
    <row r="126" spans="1:3" ht="12" customHeight="1" x14ac:dyDescent="0.25">
      <c r="A126" s="12" t="s">
        <v>95</v>
      </c>
      <c r="B126" s="109" t="s">
        <v>159</v>
      </c>
      <c r="C126" s="765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5"/>
    </row>
    <row r="128" spans="1:3" ht="12" customHeight="1" x14ac:dyDescent="0.25">
      <c r="A128" s="12" t="s">
        <v>106</v>
      </c>
      <c r="B128" s="180" t="s">
        <v>303</v>
      </c>
      <c r="C128" s="765"/>
    </row>
    <row r="129" spans="1:3" x14ac:dyDescent="0.25">
      <c r="A129" s="12" t="s">
        <v>139</v>
      </c>
      <c r="B129" s="59" t="s">
        <v>286</v>
      </c>
      <c r="C129" s="765"/>
    </row>
    <row r="130" spans="1:3" ht="12" customHeight="1" x14ac:dyDescent="0.25">
      <c r="A130" s="12" t="s">
        <v>140</v>
      </c>
      <c r="B130" s="59" t="s">
        <v>302</v>
      </c>
      <c r="C130" s="765"/>
    </row>
    <row r="131" spans="1:3" ht="12" customHeight="1" x14ac:dyDescent="0.25">
      <c r="A131" s="12" t="s">
        <v>141</v>
      </c>
      <c r="B131" s="59" t="s">
        <v>301</v>
      </c>
      <c r="C131" s="765"/>
    </row>
    <row r="132" spans="1:3" ht="12" customHeight="1" x14ac:dyDescent="0.25">
      <c r="A132" s="12" t="s">
        <v>294</v>
      </c>
      <c r="B132" s="59" t="s">
        <v>289</v>
      </c>
      <c r="C132" s="765"/>
    </row>
    <row r="133" spans="1:3" ht="12" customHeight="1" x14ac:dyDescent="0.25">
      <c r="A133" s="12" t="s">
        <v>295</v>
      </c>
      <c r="B133" s="59" t="s">
        <v>300</v>
      </c>
      <c r="C133" s="765"/>
    </row>
    <row r="134" spans="1:3" ht="16.5" thickBot="1" x14ac:dyDescent="0.3">
      <c r="A134" s="10" t="s">
        <v>296</v>
      </c>
      <c r="B134" s="59" t="s">
        <v>299</v>
      </c>
      <c r="C134" s="766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264155427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264155427</v>
      </c>
    </row>
    <row r="162" spans="1:3" ht="7.5" customHeight="1" x14ac:dyDescent="0.25"/>
    <row r="163" spans="1:3" x14ac:dyDescent="0.25">
      <c r="A163" s="1421" t="s">
        <v>306</v>
      </c>
      <c r="B163" s="1421"/>
      <c r="C163" s="1421"/>
    </row>
    <row r="164" spans="1:3" ht="15" customHeight="1" thickBot="1" x14ac:dyDescent="0.3">
      <c r="A164" s="1418" t="s">
        <v>116</v>
      </c>
      <c r="B164" s="1418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-263674427</v>
      </c>
    </row>
    <row r="166" spans="1:3" ht="21.75" thickBot="1" x14ac:dyDescent="0.3">
      <c r="A166" s="17" t="s">
        <v>17</v>
      </c>
      <c r="B166" s="22" t="s">
        <v>716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K12" sqref="K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0" customFormat="1" x14ac:dyDescent="0.25">
      <c r="A1" s="1417" t="str">
        <f>CONCATENATE("5. melléklet"," ",ALAPADATOK!A7," ",ALAPADATOK!B7," ",ALAPADATOK!C7," ",ALAPADATOK!D7," ",ALAPADATOK!E7," ",ALAPADATOK!F7," ",ALAPADATOK!G7," ",ALAPADATOK!H7)</f>
        <v>5. melléklet a .. / 2022. ( …... ) önkormányzati rendelethez</v>
      </c>
      <c r="B1" s="1417"/>
      <c r="C1" s="1417"/>
    </row>
    <row r="2" spans="1:3" s="738" customFormat="1" x14ac:dyDescent="0.25">
      <c r="A2" s="664"/>
      <c r="B2" s="664"/>
      <c r="C2" s="664"/>
    </row>
    <row r="3" spans="1:3" s="650" customFormat="1" x14ac:dyDescent="0.25">
      <c r="A3" s="1422" t="str">
        <f>CONCATENATE(ALAPADATOK!A3)</f>
        <v>Tiszavasvári Város Önkormányzat</v>
      </c>
      <c r="B3" s="1422"/>
      <c r="C3" s="1422"/>
    </row>
    <row r="4" spans="1:3" s="650" customFormat="1" x14ac:dyDescent="0.25">
      <c r="A4" s="1421" t="str">
        <f>CONCATENATE(ALAPADATOK!D7," ÉVI KÖLTSÉGVETÉS")</f>
        <v>2022. ÉVI KÖLTSÉGVETÉS</v>
      </c>
      <c r="B4" s="1421"/>
      <c r="C4" s="1421"/>
    </row>
    <row r="5" spans="1:3" s="650" customFormat="1" x14ac:dyDescent="0.25">
      <c r="A5" s="1421" t="s">
        <v>680</v>
      </c>
      <c r="B5" s="1421"/>
      <c r="C5" s="1421"/>
    </row>
    <row r="6" spans="1:3" s="650" customFormat="1" x14ac:dyDescent="0.25">
      <c r="A6" s="649"/>
      <c r="B6" s="649"/>
      <c r="C6" s="171" t="s">
        <v>858</v>
      </c>
    </row>
    <row r="7" spans="1:3" ht="15.95" customHeight="1" x14ac:dyDescent="0.25">
      <c r="A7" s="1419" t="s">
        <v>13</v>
      </c>
      <c r="B7" s="1419"/>
      <c r="C7" s="1419"/>
    </row>
    <row r="8" spans="1:3" ht="15.95" customHeight="1" thickBot="1" x14ac:dyDescent="0.3">
      <c r="A8" s="1418" t="s">
        <v>114</v>
      </c>
      <c r="B8" s="1418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947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9" t="s">
        <v>44</v>
      </c>
      <c r="B96" s="1419"/>
      <c r="C96" s="1419"/>
    </row>
    <row r="97" spans="1:3" s="193" customFormat="1" ht="16.5" customHeight="1" thickBot="1" x14ac:dyDescent="0.3">
      <c r="A97" s="1420" t="s">
        <v>115</v>
      </c>
      <c r="B97" s="1420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21" t="s">
        <v>306</v>
      </c>
      <c r="B163" s="1421"/>
      <c r="C163" s="1421"/>
    </row>
    <row r="164" spans="1:3" ht="15" customHeight="1" thickBot="1" x14ac:dyDescent="0.3">
      <c r="A164" s="1418" t="s">
        <v>116</v>
      </c>
      <c r="B164" s="1418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4"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8" t="s">
        <v>119</v>
      </c>
      <c r="B1" s="1428"/>
      <c r="C1" s="1428"/>
      <c r="D1" s="1428"/>
      <c r="E1" s="1428"/>
      <c r="F1" s="1424" t="str">
        <f>CONCATENATE("5. melléklet ",ALAPADATOK!A7," ",ALAPADATOK!B7," ",ALAPADATOK!C7," ",ALAPADATOK!D7," ",ALAPADATOK!E7," ",ALAPADATOK!F7," ",ALAPADATOK!G7," ",ALAPADATOK!H7)</f>
        <v>5. melléklet a .. / 2022. ( …... ) önkormányzati rendelethez</v>
      </c>
    </row>
    <row r="2" spans="1:6" s="655" customFormat="1" ht="39.75" hidden="1" customHeight="1" thickBot="1" x14ac:dyDescent="0.25">
      <c r="A2" s="1101"/>
      <c r="B2" s="1096"/>
      <c r="C2" s="1096"/>
      <c r="D2" s="1096"/>
      <c r="E2" s="1096"/>
      <c r="F2" s="1424"/>
    </row>
    <row r="3" spans="1:6" ht="18" customHeight="1" thickBot="1" x14ac:dyDescent="0.25">
      <c r="A3" s="1425" t="s">
        <v>63</v>
      </c>
      <c r="B3" s="499" t="s">
        <v>52</v>
      </c>
      <c r="C3" s="500"/>
      <c r="D3" s="499" t="s">
        <v>53</v>
      </c>
      <c r="E3" s="501"/>
      <c r="F3" s="1424"/>
    </row>
    <row r="4" spans="1:6" s="128" customFormat="1" ht="35.25" customHeight="1" thickBot="1" x14ac:dyDescent="0.25">
      <c r="A4" s="1426"/>
      <c r="B4" s="502" t="s">
        <v>57</v>
      </c>
      <c r="C4" s="503" t="s">
        <v>948</v>
      </c>
      <c r="D4" s="502" t="s">
        <v>57</v>
      </c>
      <c r="E4" s="504" t="str">
        <f>+C4</f>
        <v>2022.évi előirányzat</v>
      </c>
      <c r="F4" s="1424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24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1992070340</v>
      </c>
      <c r="D6" s="150" t="s">
        <v>58</v>
      </c>
      <c r="E6" s="34">
        <f>'1. sz.mell. '!C100</f>
        <v>1452916598</v>
      </c>
      <c r="F6" s="1424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400184172</v>
      </c>
      <c r="D7" s="140" t="s">
        <v>134</v>
      </c>
      <c r="E7" s="34">
        <f>'1. sz.mell. '!C101</f>
        <v>212332307</v>
      </c>
      <c r="F7" s="1424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93758165</v>
      </c>
      <c r="D8" s="140" t="s">
        <v>162</v>
      </c>
      <c r="E8" s="34">
        <f>'1. sz.mell. '!C102</f>
        <v>1352884293</v>
      </c>
      <c r="F8" s="1424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45050000</v>
      </c>
      <c r="F9" s="1424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340797944</v>
      </c>
      <c r="D10" s="140" t="s">
        <v>136</v>
      </c>
      <c r="E10" s="36">
        <f>'1. sz.mell. '!C104</f>
        <v>203074359</v>
      </c>
      <c r="F10" s="1424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1656096</v>
      </c>
      <c r="D11" s="140" t="s">
        <v>47</v>
      </c>
      <c r="E11" s="756">
        <f>'1. sz.mell. '!C117-'7. sz.mell .'!E17</f>
        <v>30161294</v>
      </c>
      <c r="F11" s="1424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24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24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24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24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24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24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3126063552</v>
      </c>
      <c r="D18" s="55" t="s">
        <v>314</v>
      </c>
      <c r="E18" s="126">
        <f>SUM(E6:E17)</f>
        <v>3296418851</v>
      </c>
      <c r="F18" s="1424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191914301</v>
      </c>
      <c r="D19" s="140" t="s">
        <v>142</v>
      </c>
      <c r="E19" s="127"/>
      <c r="F19" s="1424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191914301</v>
      </c>
      <c r="D20" s="140" t="s">
        <v>313</v>
      </c>
      <c r="E20" s="36">
        <f>'1. sz.mell. '!C137</f>
        <v>1000000000</v>
      </c>
      <c r="F20" s="1424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24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24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24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24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24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24"/>
    </row>
    <row r="27" spans="1:6" ht="12.95" customHeight="1" x14ac:dyDescent="0.2">
      <c r="A27" s="506" t="s">
        <v>37</v>
      </c>
      <c r="B27" s="751" t="s">
        <v>255</v>
      </c>
      <c r="C27" s="35">
        <f>'1. sz.mell. '!C83</f>
        <v>55076107</v>
      </c>
      <c r="D27" s="140" t="s">
        <v>431</v>
      </c>
      <c r="E27" s="36"/>
      <c r="F27" s="1424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24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1246990408</v>
      </c>
      <c r="D29" s="55" t="s">
        <v>443</v>
      </c>
      <c r="E29" s="126">
        <f>SUM(E19:E28)</f>
        <v>1055076107</v>
      </c>
      <c r="F29" s="1424"/>
    </row>
    <row r="30" spans="1:6" ht="13.5" thickBot="1" x14ac:dyDescent="0.25">
      <c r="A30" s="138" t="s">
        <v>40</v>
      </c>
      <c r="B30" s="142" t="s">
        <v>444</v>
      </c>
      <c r="C30" s="288">
        <f>+C18+C29</f>
        <v>4373053960</v>
      </c>
      <c r="D30" s="142" t="s">
        <v>445</v>
      </c>
      <c r="E30" s="288">
        <f>E29+E18</f>
        <v>4351494958</v>
      </c>
      <c r="F30" s="1424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170355299</v>
      </c>
      <c r="D31" s="142" t="s">
        <v>121</v>
      </c>
      <c r="E31" s="288" t="str">
        <f>IF(C18-E18&gt;0,C18-E18,"-")</f>
        <v>-</v>
      </c>
      <c r="F31" s="1424"/>
    </row>
    <row r="32" spans="1:6" s="655" customFormat="1" ht="13.5" thickBot="1" x14ac:dyDescent="0.25">
      <c r="A32" s="138" t="s">
        <v>42</v>
      </c>
      <c r="B32" s="142" t="s">
        <v>731</v>
      </c>
      <c r="C32" s="288" t="str">
        <f>IF(C29-E29&lt;0,E29-C29,"-")</f>
        <v>-</v>
      </c>
      <c r="D32" s="142" t="s">
        <v>732</v>
      </c>
      <c r="E32" s="288">
        <f>IF(C29-E29&gt;0,C29-E29,"-")</f>
        <v>191914301</v>
      </c>
      <c r="F32" s="1424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21559002</v>
      </c>
      <c r="F33" s="1424"/>
    </row>
    <row r="34" spans="1:6" ht="18.75" x14ac:dyDescent="0.2">
      <c r="B34" s="1427"/>
      <c r="C34" s="1427"/>
      <c r="D34" s="1427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5" customFormat="1" x14ac:dyDescent="0.2">
      <c r="B1" s="69"/>
    </row>
    <row r="2" spans="1:6" ht="37.5" customHeight="1" thickBot="1" x14ac:dyDescent="0.25">
      <c r="A2" s="1429" t="s">
        <v>500</v>
      </c>
      <c r="B2" s="1429"/>
      <c r="C2" s="1429"/>
      <c r="D2" s="1429"/>
      <c r="E2" s="1429"/>
      <c r="F2" s="1424" t="str">
        <f>CONCATENATE("6. melléklet ",ALAPADATOK!A7," ",ALAPADATOK!B7," ",ALAPADATOK!C7," ",ALAPADATOK!D7," ",ALAPADATOK!E7," ",ALAPADATOK!F7," ",ALAPADATOK!G7," ",ALAPADATOK!H7)</f>
        <v>6. melléklet a .. / 2022. ( …... ) önkormányzati rendelethez</v>
      </c>
    </row>
    <row r="3" spans="1:6" s="655" customFormat="1" ht="37.5" hidden="1" customHeight="1" thickBot="1" x14ac:dyDescent="0.25">
      <c r="A3" s="1128"/>
      <c r="B3" s="1104"/>
      <c r="C3" s="1104"/>
      <c r="D3" s="1104"/>
      <c r="E3" s="1104"/>
      <c r="F3" s="1424"/>
    </row>
    <row r="4" spans="1:6" ht="13.5" customHeight="1" thickBot="1" x14ac:dyDescent="0.25">
      <c r="A4" s="1425" t="s">
        <v>63</v>
      </c>
      <c r="B4" s="70" t="s">
        <v>52</v>
      </c>
      <c r="C4" s="1107"/>
      <c r="D4" s="70" t="s">
        <v>53</v>
      </c>
      <c r="E4" s="1108"/>
      <c r="F4" s="1424"/>
    </row>
    <row r="5" spans="1:6" s="128" customFormat="1" ht="24.75" thickBot="1" x14ac:dyDescent="0.25">
      <c r="A5" s="1426"/>
      <c r="B5" s="70" t="s">
        <v>57</v>
      </c>
      <c r="C5" s="29" t="s">
        <v>947</v>
      </c>
      <c r="D5" s="70" t="s">
        <v>57</v>
      </c>
      <c r="E5" s="29" t="str">
        <f>C5</f>
        <v>2022. évi előirányzat</v>
      </c>
      <c r="F5" s="1424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24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431409880</v>
      </c>
      <c r="D7" s="150" t="s">
        <v>157</v>
      </c>
      <c r="E7" s="755">
        <f>'1. sz.mell. '!C121</f>
        <v>897382015</v>
      </c>
      <c r="F7" s="1424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379485890</v>
      </c>
      <c r="D8" s="751" t="s">
        <v>321</v>
      </c>
      <c r="E8" s="767">
        <f>'1. sz.mell. '!C122</f>
        <v>362614973</v>
      </c>
      <c r="F8" s="1424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1" t="s">
        <v>138</v>
      </c>
      <c r="E9" s="767">
        <f>'1. sz.mell. '!C123</f>
        <v>1908352977</v>
      </c>
      <c r="F9" s="1424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1" t="s">
        <v>322</v>
      </c>
      <c r="E10" s="767">
        <f>'1. sz.mell. '!C124</f>
        <v>399460471</v>
      </c>
      <c r="F10" s="1424"/>
    </row>
    <row r="11" spans="1:6" ht="12.75" customHeight="1" x14ac:dyDescent="0.2">
      <c r="A11" s="136" t="s">
        <v>20</v>
      </c>
      <c r="B11" s="137" t="s">
        <v>318</v>
      </c>
      <c r="C11" s="35"/>
      <c r="D11" s="751" t="s">
        <v>159</v>
      </c>
      <c r="E11" s="756">
        <f>'1. sz.mell. '!C125</f>
        <v>3623752</v>
      </c>
      <c r="F11" s="1424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6"/>
      <c r="F12" s="1424"/>
    </row>
    <row r="13" spans="1:6" ht="12.95" customHeight="1" x14ac:dyDescent="0.2">
      <c r="A13" s="136" t="s">
        <v>22</v>
      </c>
      <c r="B13" s="30"/>
      <c r="C13" s="35"/>
      <c r="D13" s="252"/>
      <c r="E13" s="756"/>
      <c r="F13" s="1424"/>
    </row>
    <row r="14" spans="1:6" ht="12.95" customHeight="1" x14ac:dyDescent="0.2">
      <c r="A14" s="136" t="s">
        <v>23</v>
      </c>
      <c r="B14" s="30"/>
      <c r="C14" s="35"/>
      <c r="D14" s="252"/>
      <c r="E14" s="756"/>
      <c r="F14" s="1424"/>
    </row>
    <row r="15" spans="1:6" ht="12.95" customHeight="1" x14ac:dyDescent="0.2">
      <c r="A15" s="136" t="s">
        <v>24</v>
      </c>
      <c r="B15" s="253"/>
      <c r="C15" s="262"/>
      <c r="D15" s="252"/>
      <c r="E15" s="756"/>
      <c r="F15" s="1424"/>
    </row>
    <row r="16" spans="1:6" x14ac:dyDescent="0.2">
      <c r="A16" s="136" t="s">
        <v>25</v>
      </c>
      <c r="B16" s="30"/>
      <c r="C16" s="262"/>
      <c r="D16" s="252"/>
      <c r="E16" s="756"/>
      <c r="F16" s="1424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102862486</v>
      </c>
      <c r="F17" s="1424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479409880</v>
      </c>
      <c r="D18" s="55" t="s">
        <v>330</v>
      </c>
      <c r="E18" s="758">
        <f>+E7+E9+E11+E12+E13+E14+E15+E16+E17</f>
        <v>2912221230</v>
      </c>
      <c r="F18" s="1424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1" t="s">
        <v>142</v>
      </c>
      <c r="E19" s="755"/>
      <c r="F19" s="1424"/>
    </row>
    <row r="20" spans="1:6" ht="22.5" customHeight="1" x14ac:dyDescent="0.2">
      <c r="A20" s="136" t="s">
        <v>29</v>
      </c>
      <c r="B20" s="147" t="s">
        <v>1022</v>
      </c>
      <c r="C20" s="35">
        <f>2169276510+76970884</f>
        <v>2246247394</v>
      </c>
      <c r="D20" s="751" t="s">
        <v>145</v>
      </c>
      <c r="E20" s="756">
        <f>SUM(E21:E22)</f>
        <v>22728296</v>
      </c>
      <c r="F20" s="1424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6"/>
      <c r="F21" s="1424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6">
        <f>'1. sz.mell. '!C136</f>
        <v>22728296</v>
      </c>
      <c r="F22" s="1424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6"/>
      <c r="F23" s="1424"/>
    </row>
    <row r="24" spans="1:6" ht="12.95" customHeight="1" x14ac:dyDescent="0.2">
      <c r="A24" s="136" t="s">
        <v>33</v>
      </c>
      <c r="B24" s="148" t="s">
        <v>170</v>
      </c>
      <c r="C24" s="35"/>
      <c r="D24" s="751" t="s">
        <v>146</v>
      </c>
      <c r="E24" s="756"/>
      <c r="F24" s="1424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6"/>
      <c r="F25" s="1424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6"/>
      <c r="F26" s="1424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6"/>
      <c r="F27" s="1424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6"/>
      <c r="F28" s="1424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6"/>
      <c r="F29" s="1424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6"/>
      <c r="F30" s="1424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8">
        <f>SUM(E19:E30)-E21-E22</f>
        <v>22728296</v>
      </c>
      <c r="F31" s="1424"/>
    </row>
    <row r="32" spans="1:6" ht="13.5" thickBot="1" x14ac:dyDescent="0.25">
      <c r="A32" s="138" t="s">
        <v>41</v>
      </c>
      <c r="B32" s="142" t="s">
        <v>325</v>
      </c>
      <c r="C32" s="143">
        <f>+C18+C31</f>
        <v>2913390524</v>
      </c>
      <c r="D32" s="142" t="s">
        <v>326</v>
      </c>
      <c r="E32" s="143">
        <f>+E18+E31</f>
        <v>2934949526</v>
      </c>
      <c r="F32" s="1424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2432811350</v>
      </c>
      <c r="D33" s="142" t="s">
        <v>121</v>
      </c>
      <c r="E33" s="143" t="str">
        <f>IF(C18-E18&gt;0,C18-E18,"-")</f>
        <v>-</v>
      </c>
      <c r="F33" s="1424"/>
    </row>
    <row r="34" spans="1:6" s="655" customFormat="1" ht="13.5" thickBot="1" x14ac:dyDescent="0.25">
      <c r="A34" s="138" t="s">
        <v>43</v>
      </c>
      <c r="B34" s="142" t="s">
        <v>731</v>
      </c>
      <c r="C34" s="288" t="str">
        <f>IF(C31-E31&lt;0,E31-C31,"-")</f>
        <v>-</v>
      </c>
      <c r="D34" s="142" t="s">
        <v>732</v>
      </c>
      <c r="E34" s="288">
        <f>IF(C31-E31&gt;0,C31-E31,"-")</f>
        <v>2411252348</v>
      </c>
      <c r="F34" s="1424"/>
    </row>
    <row r="35" spans="1:6" ht="13.5" thickBot="1" x14ac:dyDescent="0.25">
      <c r="A35" s="138" t="s">
        <v>733</v>
      </c>
      <c r="B35" s="142" t="s">
        <v>164</v>
      </c>
      <c r="C35" s="143">
        <f>IF(C32-E32&lt;0,E32-C32,"-")</f>
        <v>21559002</v>
      </c>
      <c r="D35" s="142" t="s">
        <v>165</v>
      </c>
      <c r="E35" s="143" t="str">
        <f>IF(C32-E32&gt;0,C32-E32,"-")</f>
        <v>-</v>
      </c>
      <c r="F35" s="1424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4" customWidth="1"/>
    <col min="2" max="2" width="16.83203125" style="654" customWidth="1"/>
    <col min="3" max="3" width="66.1640625" style="654" customWidth="1"/>
    <col min="4" max="4" width="13.83203125" style="654" customWidth="1"/>
    <col min="5" max="5" width="17.6640625" style="654" customWidth="1"/>
    <col min="6" max="16384" width="9.33203125" style="654"/>
  </cols>
  <sheetData>
    <row r="1" spans="1:5" ht="18.75" x14ac:dyDescent="0.3">
      <c r="A1" s="651" t="s">
        <v>682</v>
      </c>
      <c r="E1" s="652" t="s">
        <v>683</v>
      </c>
    </row>
    <row r="3" spans="1:5" x14ac:dyDescent="0.2">
      <c r="A3" s="653"/>
      <c r="B3" s="656"/>
      <c r="C3" s="653"/>
      <c r="D3" s="657"/>
      <c r="E3" s="656"/>
    </row>
    <row r="4" spans="1:5" ht="15.75" x14ac:dyDescent="0.25">
      <c r="A4" s="658" t="s">
        <v>1014</v>
      </c>
      <c r="B4" s="659"/>
      <c r="C4" s="660"/>
      <c r="D4" s="657"/>
      <c r="E4" s="656"/>
    </row>
    <row r="5" spans="1:5" x14ac:dyDescent="0.2">
      <c r="A5" s="653"/>
      <c r="B5" s="656"/>
      <c r="C5" s="653"/>
      <c r="D5" s="657"/>
      <c r="E5" s="656"/>
    </row>
    <row r="6" spans="1:5" x14ac:dyDescent="0.2">
      <c r="A6" s="653" t="s">
        <v>684</v>
      </c>
      <c r="B6" s="656">
        <f>'1. sz.mell. '!C69</f>
        <v>3605473432</v>
      </c>
      <c r="C6" s="653" t="s">
        <v>685</v>
      </c>
      <c r="D6" s="657">
        <f>'6. sz.mell '!C18+'7. sz.mell .'!C18</f>
        <v>3605473432</v>
      </c>
      <c r="E6" s="656">
        <f t="shared" ref="E6:E15" si="0">+B6-D6</f>
        <v>0</v>
      </c>
    </row>
    <row r="7" spans="1:5" x14ac:dyDescent="0.2">
      <c r="A7" s="653" t="s">
        <v>686</v>
      </c>
      <c r="B7" s="656">
        <f>'1. sz.mell. '!C93</f>
        <v>3680971052</v>
      </c>
      <c r="C7" s="653" t="s">
        <v>687</v>
      </c>
      <c r="D7" s="657">
        <f>'6. sz.mell '!C29+'7. sz.mell .'!C31</f>
        <v>3680971052</v>
      </c>
      <c r="E7" s="656">
        <f t="shared" si="0"/>
        <v>0</v>
      </c>
    </row>
    <row r="8" spans="1:5" x14ac:dyDescent="0.2">
      <c r="A8" s="653" t="s">
        <v>688</v>
      </c>
      <c r="B8" s="656">
        <f>'1. sz.mell. '!C94</f>
        <v>7286444484</v>
      </c>
      <c r="C8" s="653" t="s">
        <v>689</v>
      </c>
      <c r="D8" s="657">
        <f>'6. sz.mell '!C30+'7. sz.mell .'!C32</f>
        <v>7286444484</v>
      </c>
      <c r="E8" s="656">
        <f t="shared" si="0"/>
        <v>0</v>
      </c>
    </row>
    <row r="9" spans="1:5" x14ac:dyDescent="0.2">
      <c r="A9" s="653"/>
      <c r="B9" s="656"/>
      <c r="C9" s="653"/>
      <c r="D9" s="657"/>
      <c r="E9" s="656"/>
    </row>
    <row r="10" spans="1:5" x14ac:dyDescent="0.2">
      <c r="A10" s="653"/>
      <c r="B10" s="656"/>
      <c r="C10" s="653"/>
      <c r="D10" s="657"/>
      <c r="E10" s="656"/>
    </row>
    <row r="11" spans="1:5" ht="15.75" x14ac:dyDescent="0.25">
      <c r="A11" s="658" t="s">
        <v>1015</v>
      </c>
      <c r="B11" s="659"/>
      <c r="C11" s="660"/>
      <c r="D11" s="657"/>
      <c r="E11" s="656"/>
    </row>
    <row r="12" spans="1:5" x14ac:dyDescent="0.2">
      <c r="A12" s="653"/>
      <c r="B12" s="656"/>
      <c r="C12" s="653"/>
      <c r="D12" s="657"/>
      <c r="E12" s="656"/>
    </row>
    <row r="13" spans="1:5" x14ac:dyDescent="0.2">
      <c r="A13" s="653" t="s">
        <v>690</v>
      </c>
      <c r="B13" s="656">
        <f>'1. sz.mell. '!C134</f>
        <v>6208640081</v>
      </c>
      <c r="C13" s="653" t="s">
        <v>691</v>
      </c>
      <c r="D13" s="657">
        <f>'6. sz.mell '!E18+'7. sz.mell .'!E18</f>
        <v>6208640081</v>
      </c>
      <c r="E13" s="656">
        <f t="shared" si="0"/>
        <v>0</v>
      </c>
    </row>
    <row r="14" spans="1:5" x14ac:dyDescent="0.2">
      <c r="A14" s="653" t="s">
        <v>692</v>
      </c>
      <c r="B14" s="656">
        <f>'1. sz.mell. '!C159</f>
        <v>1077804403</v>
      </c>
      <c r="C14" s="653" t="s">
        <v>693</v>
      </c>
      <c r="D14" s="657">
        <f>'6. sz.mell '!E29+'7. sz.mell .'!E31</f>
        <v>1077804403</v>
      </c>
      <c r="E14" s="656">
        <f t="shared" si="0"/>
        <v>0</v>
      </c>
    </row>
    <row r="15" spans="1:5" x14ac:dyDescent="0.2">
      <c r="A15" s="653" t="s">
        <v>694</v>
      </c>
      <c r="B15" s="656">
        <f>'1. sz.mell. '!C160</f>
        <v>7286444484</v>
      </c>
      <c r="C15" s="653" t="s">
        <v>695</v>
      </c>
      <c r="D15" s="657">
        <f>'6. sz.mell '!E30+'7. sz.mell .'!E32</f>
        <v>7286444484</v>
      </c>
      <c r="E15" s="656">
        <f t="shared" si="0"/>
        <v>0</v>
      </c>
    </row>
    <row r="16" spans="1:5" x14ac:dyDescent="0.2">
      <c r="A16" s="661"/>
      <c r="B16" s="661"/>
      <c r="C16" s="653"/>
      <c r="D16" s="657"/>
      <c r="E16" s="662"/>
    </row>
    <row r="17" spans="1:5" x14ac:dyDescent="0.2">
      <c r="A17" s="661"/>
      <c r="B17" s="661"/>
      <c r="C17" s="661"/>
      <c r="D17" s="661"/>
      <c r="E17" s="661"/>
    </row>
    <row r="18" spans="1:5" x14ac:dyDescent="0.2">
      <c r="A18" s="661"/>
      <c r="B18" s="661"/>
      <c r="C18" s="661"/>
      <c r="D18" s="661"/>
      <c r="E18" s="661"/>
    </row>
    <row r="19" spans="1:5" x14ac:dyDescent="0.2">
      <c r="A19" s="661"/>
      <c r="B19" s="661"/>
      <c r="C19" s="661"/>
      <c r="D19" s="661"/>
      <c r="E19" s="661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2022-07-21T10:53:52Z</cp:lastPrinted>
  <dcterms:created xsi:type="dcterms:W3CDTF">1999-10-30T10:30:45Z</dcterms:created>
  <dcterms:modified xsi:type="dcterms:W3CDTF">2022-07-21T10:55:02Z</dcterms:modified>
</cp:coreProperties>
</file>