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32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state="hidden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state="hidden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state="hidden" r:id="rId39"/>
    <sheet name="9.6.2. sz. mell Kornisné Kp." sheetId="1473" state="hidden" r:id="rId40"/>
    <sheet name="9.6.3. sz. mell Kornisné Kp " sheetId="1474" state="hidden" r:id="rId41"/>
    <sheet name="9.7. sz. mell TIB  " sheetId="1475" state="hidden" r:id="rId42"/>
    <sheet name="9.7.1. sz. mell TIB  " sheetId="1476" state="hidden" r:id="rId43"/>
    <sheet name="9.7.2. sz. mell TIB" sheetId="1477" state="hidden" r:id="rId44"/>
    <sheet name="10.sz.m. int.összesítő" sheetId="1450" r:id="rId45"/>
    <sheet name="11.sz.m. tartalék" sheetId="1451" state="hidden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'6.sz.mell.'!$A$1:$G$67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8" l="1"/>
  <c r="A1" i="1456"/>
  <c r="A1" i="1455"/>
  <c r="A1" i="1452"/>
  <c r="A1" i="1450"/>
  <c r="A1" i="1471"/>
  <c r="A1" i="1466"/>
  <c r="A1" i="1465"/>
  <c r="A1" i="1431"/>
  <c r="A1" i="1430"/>
  <c r="A1" i="1428"/>
  <c r="A1" i="1427"/>
  <c r="F2" i="1362" l="1"/>
  <c r="F1" i="1361"/>
  <c r="K15" i="1458"/>
  <c r="C13" i="1458"/>
  <c r="D44" i="1456"/>
  <c r="D43" i="1456"/>
  <c r="D42" i="1456"/>
  <c r="D35" i="1456"/>
  <c r="D34" i="1456"/>
  <c r="D26" i="1456"/>
  <c r="D24" i="1456"/>
  <c r="D18" i="1456" l="1"/>
  <c r="D17" i="1456"/>
  <c r="D16" i="1456"/>
  <c r="D10" i="1456"/>
  <c r="D6" i="1456"/>
  <c r="N20" i="1455"/>
  <c r="N7" i="1455"/>
  <c r="G12" i="1450"/>
  <c r="C48" i="1466"/>
  <c r="C40" i="1466"/>
  <c r="C48" i="1465"/>
  <c r="C40" i="1465"/>
  <c r="C40" i="1431"/>
  <c r="C48" i="1431"/>
  <c r="C40" i="1430"/>
  <c r="C48" i="1430"/>
  <c r="C12" i="1428"/>
  <c r="C11" i="1428"/>
  <c r="C9" i="1428" l="1"/>
  <c r="C8" i="1428"/>
  <c r="C96" i="1427"/>
  <c r="C12" i="1427"/>
  <c r="C11" i="1427"/>
  <c r="C9" i="1427"/>
  <c r="C8" i="1427"/>
  <c r="D102" i="1358" l="1"/>
  <c r="D16" i="1358"/>
  <c r="D15" i="1358"/>
  <c r="D13" i="1358"/>
  <c r="D12" i="1358"/>
  <c r="E102" i="1357"/>
  <c r="D16" i="1357"/>
  <c r="D15" i="1357"/>
  <c r="D13" i="1357"/>
  <c r="D12" i="1357"/>
  <c r="N22" i="1455" l="1"/>
  <c r="D102" i="1359"/>
  <c r="D102" i="1357"/>
  <c r="D107" i="1357"/>
  <c r="G13" i="1450" l="1"/>
  <c r="C46" i="1473"/>
  <c r="C46" i="1471"/>
  <c r="A1" i="1451" l="1"/>
  <c r="A1" i="1476"/>
  <c r="A1" i="1475"/>
  <c r="A1" i="1473"/>
  <c r="A1" i="1472"/>
  <c r="A1" i="1422"/>
  <c r="M66" i="1458"/>
  <c r="I32" i="1458"/>
  <c r="F66" i="1458"/>
  <c r="L66" i="1458"/>
  <c r="G14" i="1450"/>
  <c r="J14" i="1450"/>
  <c r="J12" i="1450"/>
  <c r="F12" i="1450"/>
  <c r="E12" i="1450"/>
  <c r="E14" i="1450"/>
  <c r="B14" i="1450"/>
  <c r="B12" i="1450"/>
  <c r="C40" i="1476"/>
  <c r="C40" i="1475"/>
  <c r="N27" i="1455"/>
  <c r="N26" i="1455"/>
  <c r="N23" i="1455"/>
  <c r="N21" i="1455"/>
  <c r="N18" i="1455"/>
  <c r="N19" i="1455"/>
  <c r="N15" i="1455"/>
  <c r="N13" i="1455"/>
  <c r="N11" i="1455"/>
  <c r="N8" i="1455"/>
  <c r="N9" i="1455"/>
  <c r="C20" i="1422"/>
  <c r="C19" i="1422"/>
  <c r="G53" i="1419"/>
  <c r="B11" i="1451"/>
  <c r="C50" i="1476"/>
  <c r="C46" i="1476"/>
  <c r="C44" i="1476"/>
  <c r="C50" i="1475"/>
  <c r="C46" i="1475"/>
  <c r="C44" i="1475"/>
  <c r="C52" i="1466"/>
  <c r="C47" i="1466"/>
  <c r="C46" i="1466"/>
  <c r="C9" i="1466"/>
  <c r="C52" i="1465"/>
  <c r="C47" i="1465"/>
  <c r="C46" i="1465"/>
  <c r="C9" i="1465"/>
  <c r="C46" i="1430"/>
  <c r="C46" i="1431"/>
  <c r="C115" i="1427"/>
  <c r="C130" i="1428"/>
  <c r="C111" i="1428"/>
  <c r="C96" i="1428"/>
  <c r="C95" i="1428"/>
  <c r="C93" i="1428"/>
  <c r="C68" i="1428"/>
  <c r="C131" i="1427"/>
  <c r="C112" i="1427"/>
  <c r="C97" i="1427"/>
  <c r="C94" i="1427"/>
  <c r="D101" i="1358"/>
  <c r="D101" i="1357"/>
  <c r="C68" i="1427"/>
  <c r="D25" i="1357"/>
  <c r="D100" i="1359"/>
  <c r="D62" i="1359"/>
  <c r="D25" i="1359"/>
  <c r="D137" i="1358"/>
  <c r="D121" i="1358"/>
  <c r="D118" i="1358"/>
  <c r="D103" i="1358"/>
  <c r="D100" i="1358"/>
  <c r="D72" i="1358"/>
  <c r="D43" i="1358"/>
  <c r="D137" i="1357"/>
  <c r="D121" i="1357"/>
  <c r="D118" i="1357"/>
  <c r="D103" i="1357"/>
  <c r="D100" i="1357"/>
  <c r="D72" i="1357"/>
  <c r="D62" i="1357"/>
  <c r="D43" i="1357"/>
  <c r="C34" i="1473" l="1"/>
  <c r="C22" i="1473"/>
  <c r="C44" i="1473"/>
  <c r="C34" i="1471"/>
  <c r="C22" i="1471"/>
  <c r="C44" i="1471"/>
  <c r="B13" i="1450"/>
  <c r="E13" i="1450"/>
  <c r="A1" i="1457" l="1"/>
  <c r="A1" i="1463"/>
  <c r="A1" i="1462"/>
  <c r="A1" i="1429"/>
  <c r="I11" i="1458"/>
  <c r="J35" i="1458"/>
  <c r="C28" i="1429"/>
  <c r="C21" i="1429"/>
  <c r="C28" i="1427"/>
  <c r="C21" i="1427"/>
  <c r="D32" i="1359"/>
  <c r="D32" i="1357"/>
  <c r="J61" i="1458"/>
  <c r="I61" i="1458"/>
  <c r="H61" i="1458"/>
  <c r="D25" i="1458"/>
  <c r="J24" i="1458"/>
  <c r="I24" i="1458"/>
  <c r="H24" i="1458"/>
  <c r="I9" i="1458"/>
  <c r="I49" i="1458"/>
  <c r="D10" i="1457"/>
  <c r="N24" i="1455"/>
  <c r="C45" i="1476"/>
  <c r="C45" i="1475"/>
  <c r="C53" i="1467"/>
  <c r="C52" i="1467"/>
  <c r="C40" i="1467"/>
  <c r="C18" i="1467"/>
  <c r="C53" i="1465"/>
  <c r="C18" i="1465"/>
  <c r="C46" i="1463"/>
  <c r="C45" i="1463"/>
  <c r="C44" i="1463"/>
  <c r="C45" i="1462"/>
  <c r="C44" i="1462"/>
  <c r="C43" i="1462"/>
  <c r="C115" i="1429"/>
  <c r="C96" i="1429"/>
  <c r="C95" i="1429"/>
  <c r="C94" i="1429"/>
  <c r="C114" i="1428"/>
  <c r="C109" i="1428"/>
  <c r="C94" i="1428"/>
  <c r="C28" i="1428"/>
  <c r="C24" i="1428"/>
  <c r="C21" i="1428"/>
  <c r="C110" i="1427"/>
  <c r="C95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1" i="1359"/>
  <c r="D52" i="1359"/>
  <c r="D116" i="1358"/>
  <c r="D32" i="1358"/>
  <c r="D28" i="1358"/>
  <c r="D25" i="1358"/>
  <c r="D124" i="1357"/>
  <c r="D123" i="1357"/>
  <c r="D116" i="1357"/>
  <c r="D52" i="1357"/>
  <c r="D28" i="1357"/>
  <c r="N24" i="1458" l="1"/>
  <c r="N61" i="1458"/>
  <c r="C45" i="1473"/>
  <c r="C40" i="1473"/>
  <c r="C45" i="1472"/>
  <c r="C40" i="1472"/>
  <c r="C45" i="1471"/>
  <c r="C40" i="1471"/>
  <c r="F13" i="1450"/>
  <c r="F56" i="1419" l="1"/>
  <c r="B56" i="1419"/>
  <c r="C50" i="1473"/>
  <c r="C46" i="1472"/>
  <c r="C50" i="1471"/>
  <c r="J13" i="1450"/>
  <c r="A1" i="1467" l="1"/>
  <c r="A1" i="1425"/>
  <c r="A1" i="1424"/>
  <c r="A1" i="1420"/>
  <c r="A1" i="1419"/>
  <c r="I63" i="1458" l="1"/>
  <c r="I35" i="1458"/>
  <c r="N25" i="1458"/>
  <c r="H25" i="1458"/>
  <c r="J32" i="1458"/>
  <c r="I33" i="1458"/>
  <c r="M23" i="1455"/>
  <c r="M13" i="1455"/>
  <c r="M9" i="1455"/>
  <c r="C40" i="1463"/>
  <c r="C39" i="1462"/>
  <c r="C116" i="1428"/>
  <c r="C117" i="1427"/>
  <c r="C19" i="1425"/>
  <c r="C8" i="1425"/>
  <c r="C36" i="1424"/>
  <c r="F23" i="1419"/>
  <c r="B23" i="1419"/>
  <c r="D123" i="1358"/>
  <c r="A1" i="1453" l="1"/>
  <c r="A1" i="1418"/>
  <c r="A1" i="1416"/>
  <c r="I45" i="1458"/>
  <c r="D13" i="1458"/>
  <c r="I40" i="1458"/>
  <c r="J33" i="1458"/>
  <c r="I66" i="1458"/>
  <c r="J21" i="1458"/>
  <c r="I21" i="1458"/>
  <c r="M20" i="1455"/>
  <c r="L20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17"/>
  <c r="J52" i="1458" l="1"/>
  <c r="J17" i="1458"/>
  <c r="J45" i="1458"/>
  <c r="J11" i="1458"/>
  <c r="I37" i="1458"/>
  <c r="J37" i="1458" l="1"/>
  <c r="I34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33"/>
  <c r="C154" i="1428"/>
  <c r="C156" i="1427"/>
  <c r="C37" i="1458" l="1"/>
  <c r="I52" i="1458"/>
  <c r="J39" i="1458"/>
  <c r="N19" i="1458"/>
  <c r="H19" i="1458"/>
  <c r="N46" i="1458"/>
  <c r="H46" i="1458"/>
  <c r="D39" i="1456"/>
  <c r="D38" i="1456"/>
  <c r="D36" i="1456"/>
  <c r="D28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40" i="1427"/>
  <c r="C43" i="1427"/>
  <c r="F16" i="1420" l="1"/>
  <c r="B16" i="1420"/>
  <c r="F23" i="1420"/>
  <c r="E30" i="1420"/>
  <c r="B59" i="1419" l="1"/>
  <c r="F59" i="1419"/>
  <c r="B30" i="1419"/>
  <c r="G27" i="1419"/>
  <c r="C19" i="1362"/>
  <c r="D107" i="1358"/>
  <c r="D105" i="1358"/>
  <c r="C103" i="1360"/>
  <c r="D15" i="1359"/>
  <c r="D52" i="1358"/>
  <c r="D47" i="1358"/>
  <c r="D44" i="1358"/>
  <c r="D47" i="1357"/>
  <c r="D44" i="1357"/>
  <c r="D105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5" i="1456"/>
  <c r="D30" i="1456"/>
  <c r="D23" i="1456"/>
  <c r="D22" i="1456"/>
  <c r="D19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44" i="1427"/>
  <c r="C13" i="1427"/>
  <c r="B21" i="1451"/>
  <c r="B19" i="1451"/>
  <c r="D116" i="1359"/>
  <c r="D48" i="1359"/>
  <c r="D17" i="1358"/>
  <c r="D48" i="1357" l="1"/>
  <c r="D17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3" i="1419" l="1"/>
  <c r="F61" i="1419" s="1"/>
  <c r="B63" i="1419"/>
  <c r="B61" i="1419" s="1"/>
  <c r="C35" i="1476" l="1"/>
  <c r="C35" i="1475"/>
  <c r="C28" i="1471"/>
  <c r="C28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B20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2" i="1419"/>
  <c r="F58" i="1419"/>
  <c r="B58" i="1419"/>
  <c r="G56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19" i="1475" l="1"/>
  <c r="E7" i="1475"/>
  <c r="E36" i="1462"/>
  <c r="E25" i="1468"/>
  <c r="F25" i="1468" s="1"/>
  <c r="C59" i="1470"/>
  <c r="C36" i="1471"/>
  <c r="C41" i="1471" s="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F37" i="1468" s="1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7" i="1419" s="1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7" i="1419" l="1"/>
  <c r="G23" i="1419"/>
  <c r="D41" i="1357" l="1"/>
  <c r="G49" i="1419" l="1"/>
  <c r="N52" i="1458"/>
  <c r="H52" i="1458"/>
  <c r="D22" i="1457"/>
  <c r="D30" i="1457" s="1"/>
  <c r="I26" i="1453"/>
  <c r="B10" i="1419"/>
  <c r="H26" i="1416"/>
  <c r="H25" i="1416"/>
  <c r="G10" i="1419" l="1"/>
  <c r="B7" i="1419"/>
  <c r="F55" i="1419"/>
  <c r="B55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1" i="1419"/>
  <c r="D55" i="1419"/>
  <c r="G55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29" i="1453" l="1"/>
  <c r="H27" i="1416"/>
  <c r="J117" i="1452"/>
  <c r="I117" i="1452"/>
  <c r="G45" i="1419"/>
  <c r="G61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6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6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6" i="1419"/>
  <c r="D67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6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7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7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7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I141" i="1357" s="1"/>
  <c r="H143" i="1357"/>
  <c r="I143" i="1357" s="1"/>
  <c r="H145" i="1357"/>
  <c r="I145" i="1357" s="1"/>
  <c r="H148" i="1357"/>
  <c r="I148" i="1357" s="1"/>
  <c r="H150" i="1357"/>
  <c r="I150" i="1357" s="1"/>
  <c r="H153" i="1357"/>
  <c r="I153" i="1357" s="1"/>
  <c r="H155" i="1357"/>
  <c r="H157" i="1357"/>
  <c r="I157" i="1357" s="1"/>
  <c r="H44" i="1357"/>
  <c r="I44" i="1357" s="1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I137" i="1357" s="1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I156" i="1357" s="1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8" i="1419"/>
  <c r="F69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2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47" i="1357"/>
  <c r="I152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H157" i="1452" l="1"/>
  <c r="C167" i="1357"/>
  <c r="E35" i="1362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<sst xmlns="http://schemas.openxmlformats.org/spreadsheetml/2006/main" count="6447" uniqueCount="1097">
  <si>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</si>
  <si>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</si>
  <si>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</si>
  <si>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</si>
  <si>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</si>
  <si>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</si>
  <si>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</si>
  <si>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</si>
  <si>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</si>
  <si>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</si>
  <si>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</si>
  <si>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</si>
  <si>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</si>
  <si>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</si>
  <si>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</si>
  <si>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</si>
  <si>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</si>
  <si>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</si>
  <si>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</si>
  <si>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</si>
  <si>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</si>
  <si>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</si>
  <si>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</si>
  <si>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</si>
  <si>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</si>
  <si>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</si>
  <si>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</si>
  <si>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</si>
  <si>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</si>
  <si>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</si>
  <si>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</si>
  <si>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</si>
  <si>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</si>
  <si>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</si>
  <si>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</si>
  <si>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</si>
  <si>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</si>
  <si>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</si>
  <si>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</si>
  <si>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</si>
  <si>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</si>
  <si>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</si>
  <si>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</si>
  <si>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</si>
  <si>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</si>
  <si>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</si>
  <si>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</si>
  <si>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</si>
  <si>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</si>
  <si>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</si>
  <si>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</si>
  <si>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</si>
  <si>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</si>
  <si>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</si>
  <si>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</si>
  <si>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</si>
  <si>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</si>
  <si>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</si>
  <si>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</si>
  <si>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</si>
  <si>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</si>
  <si>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</si>
  <si>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</si>
  <si>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</si>
  <si>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</si>
  <si>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</si>
  <si>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</si>
  <si>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</si>
  <si>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</si>
  <si>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</si>
  <si>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</si>
  <si>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</si>
  <si>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</si>
  <si>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</si>
  <si>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</si>
  <si>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</si>
  <si>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</si>
  <si>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</si>
  <si>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</si>
  <si>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</si>
  <si>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</si>
  <si>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</si>
  <si>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</si>
  <si>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</si>
  <si>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</si>
  <si>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</si>
  <si>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</si>
  <si>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</si>
  <si>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</si>
  <si>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</si>
  <si>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</si>
  <si>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</si>
  <si>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</si>
  <si>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</si>
  <si>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</si>
  <si>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</si>
  <si>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</si>
  <si>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</si>
  <si>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</si>
  <si>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</si>
  <si>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</si>
  <si>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</si>
  <si>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</si>
  <si>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</si>
  <si>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</si>
  <si>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</si>
  <si>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</si>
  <si>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</si>
  <si>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</si>
  <si>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</si>
  <si>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</si>
  <si>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</si>
  <si>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</si>
  <si>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</si>
  <si>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</si>
  <si>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</si>
  <si>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</si>
  <si>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</si>
  <si>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</si>
  <si>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</si>
  <si>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</si>
  <si>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</si>
  <si>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</si>
  <si>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</si>
  <si>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</si>
  <si>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</si>
  <si>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</si>
  <si>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</si>
  <si>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</si>
  <si>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</si>
  <si>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</si>
  <si>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</si>
  <si>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</si>
  <si>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</si>
  <si>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</si>
  <si>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</si>
  <si>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</si>
  <si>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</si>
  <si>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</si>
  <si>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</si>
  <si>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</si>
  <si>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</si>
  <si>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</si>
  <si>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</si>
  <si>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</si>
  <si>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</si>
  <si>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</si>
  <si>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</si>
  <si>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</si>
  <si>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</si>
  <si>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</si>
  <si>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</si>
  <si>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</si>
  <si>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</si>
  <si>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</si>
  <si>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</si>
  <si>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</si>
  <si>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</si>
  <si>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</si>
  <si>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</si>
  <si>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</si>
  <si>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</si>
  <si>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</si>
  <si>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</si>
  <si>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</si>
  <si>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</si>
  <si>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</si>
  <si>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</si>
  <si>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</si>
  <si>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</si>
  <si>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</si>
  <si>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</si>
  <si>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</si>
  <si>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</si>
  <si>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</si>
  <si>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</si>
  <si>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</si>
  <si>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</si>
  <si>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</si>
  <si>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</si>
  <si>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</si>
  <si>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</si>
  <si>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</si>
  <si>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</si>
  <si>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</si>
  <si>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</si>
  <si>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</si>
  <si>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</si>
  <si>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</si>
  <si>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</si>
  <si>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</si>
  <si>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</si>
  <si>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</si>
  <si>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</si>
  <si>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</si>
  <si>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</si>
  <si>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</si>
  <si>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</si>
  <si>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</si>
  <si>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</si>
  <si>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</si>
  <si>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</si>
  <si>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</si>
  <si>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</si>
  <si>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</si>
  <si>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</si>
  <si>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</si>
  <si>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</si>
  <si>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</si>
  <si>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</si>
  <si>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</si>
  <si>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</si>
  <si>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</si>
  <si>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</si>
  <si>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</si>
  <si>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</si>
  <si>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</si>
  <si>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</si>
  <si>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</si>
  <si>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</si>
  <si>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</si>
  <si>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</si>
  <si>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</si>
  <si>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</si>
  <si>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</si>
  <si>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</si>
  <si>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</si>
  <si>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</si>
  <si>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</si>
  <si>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</si>
  <si>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</si>
  <si>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</si>
  <si>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</si>
  <si>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</si>
  <si>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</si>
  <si>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</si>
  <si>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</si>
  <si>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</si>
  <si>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</si>
  <si>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</si>
  <si>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</si>
  <si>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</si>
  <si>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</si>
  <si>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</si>
  <si>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</si>
  <si>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</si>
  <si>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</si>
  <si>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</si>
  <si>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</si>
  <si>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</si>
  <si>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</si>
  <si>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</si>
  <si>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</si>
  <si>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</si>
  <si>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</si>
  <si>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</si>
  <si>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</si>
  <si>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</si>
  <si>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</si>
  <si>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</si>
  <si>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</si>
  <si>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</si>
  <si>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</si>
  <si>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</si>
  <si>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</si>
  <si>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</si>
  <si>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</si>
  <si>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</si>
  <si>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</si>
  <si>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</si>
  <si>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</si>
  <si>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</si>
  <si>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</si>
  <si>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</si>
  <si>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</si>
  <si>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</si>
  <si>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</si>
  <si>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</si>
  <si>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</si>
  <si>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</si>
  <si>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</si>
  <si>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</si>
  <si>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</si>
  <si>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</si>
  <si>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</si>
  <si>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</si>
  <si>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</si>
  <si>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</si>
  <si>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</si>
  <si>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</si>
  <si>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</si>
  <si>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</si>
  <si>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</si>
  <si>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</si>
  <si>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</si>
  <si>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</si>
  <si>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</si>
  <si>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</si>
  <si>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</si>
  <si>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</si>
  <si>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</si>
  <si>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</si>
  <si>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</si>
  <si>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</si>
  <si>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</si>
  <si>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</si>
  <si>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</si>
  <si>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</si>
  <si>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</si>
  <si>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</si>
  <si>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</si>
  <si>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</si>
  <si>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</si>
  <si>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</si>
  <si>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</si>
  <si>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</si>
  <si>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</si>
  <si>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</si>
  <si>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</si>
  <si>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</si>
  <si>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</si>
  <si>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</si>
  <si>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</si>
  <si>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</si>
  <si>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</si>
  <si>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</si>
  <si>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</si>
  <si>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</si>
  <si>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</si>
  <si>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</si>
  <si>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</si>
  <si>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</si>
  <si>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</si>
  <si>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</si>
  <si>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</si>
  <si>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</si>
  <si>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</si>
  <si>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</si>
  <si>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</si>
  <si>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</si>
  <si>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</si>
  <si>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</si>
  <si>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</si>
  <si>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</si>
  <si>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</si>
  <si>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</si>
  <si>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</si>
  <si>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</si>
  <si>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</si>
  <si>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</si>
  <si>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</si>
  <si>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</si>
  <si>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</si>
  <si>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</si>
  <si>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</si>
  <si>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</si>
  <si>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</si>
  <si>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</si>
  <si>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</si>
  <si>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</si>
  <si>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</si>
  <si>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</si>
  <si>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</si>
  <si>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</si>
  <si>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</si>
  <si>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</si>
  <si>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</si>
  <si>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</si>
  <si>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</si>
  <si>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</si>
  <si>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</si>
  <si>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</si>
  <si>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</si>
  <si>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</si>
  <si>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</si>
  <si>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</si>
  <si>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</si>
  <si>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</si>
  <si>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</si>
  <si>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</si>
  <si>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</si>
  <si>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</si>
  <si>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</si>
  <si>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</si>
  <si>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</si>
  <si>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</si>
  <si>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</si>
  <si>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</si>
  <si>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</si>
  <si>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</si>
  <si>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</si>
  <si>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</si>
  <si>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</si>
  <si>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</si>
  <si>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</si>
  <si>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</si>
  <si>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</si>
  <si>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</si>
  <si>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</si>
  <si>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</si>
  <si>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</si>
  <si>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</si>
  <si>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</si>
  <si>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</si>
  <si>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</si>
  <si>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</si>
  <si>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</si>
  <si>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</si>
  <si>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</si>
  <si>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</si>
  <si>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</si>
  <si>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</si>
  <si>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</si>
  <si>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</si>
  <si>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</si>
  <si>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</si>
  <si>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</si>
  <si>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</si>
  <si>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</si>
  <si>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</si>
  <si>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</si>
  <si>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</si>
  <si>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</si>
  <si>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</si>
  <si>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</si>
  <si>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</si>
  <si>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</si>
  <si>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</si>
  <si>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</si>
  <si>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</si>
  <si>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</si>
  <si>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</si>
  <si>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</si>
  <si>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</si>
  <si>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</si>
  <si>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</si>
  <si>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</si>
  <si>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</si>
  <si>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</si>
  <si>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</si>
  <si>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</si>
  <si>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</si>
  <si>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</si>
  <si>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</si>
  <si>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</si>
  <si>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</si>
  <si>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</si>
  <si>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</si>
  <si>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</si>
  <si>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</si>
  <si>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</si>
  <si>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</si>
  <si>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</si>
  <si>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</si>
  <si>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</si>
  <si>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</si>
  <si>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</si>
  <si>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</si>
  <si>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</si>
  <si>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</si>
  <si>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</si>
  <si>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</si>
  <si>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</si>
  <si>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</si>
  <si>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</si>
  <si>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</si>
  <si>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</si>
  <si>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</si>
  <si>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</si>
  <si>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</si>
  <si>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</si>
  <si>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</si>
  <si>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</si>
  <si>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</si>
  <si>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</si>
  <si>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</si>
  <si>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</si>
  <si>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</si>
  <si>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</si>
  <si>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</si>
  <si>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</si>
  <si>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</si>
  <si>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</si>
  <si>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</si>
  <si>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</si>
  <si>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</si>
  <si>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</si>
  <si>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</si>
  <si>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</si>
  <si>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</si>
  <si>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</si>
  <si>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</si>
  <si>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</si>
  <si>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</si>
  <si>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</si>
  <si>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</si>
  <si>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</si>
  <si>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</si>
  <si>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</si>
  <si>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</si>
  <si>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</si>
  <si>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</si>
  <si>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</si>
  <si>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</si>
  <si>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</si>
  <si>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</si>
  <si>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</si>
  <si>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</si>
  <si>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</si>
  <si>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</si>
  <si>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</si>
  <si>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</si>
  <si>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</si>
  <si>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</si>
  <si>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</si>
  <si>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</si>
  <si>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</si>
  <si>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</si>
  <si>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</si>
  <si>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</si>
  <si>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</si>
  <si>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</si>
  <si>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</si>
  <si>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</si>
  <si>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</si>
  <si>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</si>
  <si>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</si>
  <si>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</si>
  <si>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</si>
  <si>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</si>
  <si>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</si>
  <si>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</si>
  <si>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</si>
  <si>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</si>
  <si>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</si>
  <si>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</si>
  <si>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</si>
  <si>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</si>
  <si>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</si>
  <si>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</si>
  <si>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</si>
  <si>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</si>
  <si>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</si>
  <si>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</si>
  <si>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</si>
  <si>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</si>
  <si>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</si>
  <si>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</si>
  <si>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</si>
  <si>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</si>
  <si>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</si>
  <si>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</si>
  <si>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</si>
  <si>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</si>
  <si>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</si>
  <si>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</si>
  <si>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</si>
  <si>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</si>
  <si>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</si>
  <si>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</si>
  <si>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</si>
  <si>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</si>
  <si>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</si>
  <si>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</si>
  <si>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</si>
  <si>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</si>
  <si>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</si>
  <si>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</si>
  <si>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</si>
  <si>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</si>
  <si>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</si>
  <si>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</si>
  <si>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</si>
  <si>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</si>
  <si>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</si>
  <si>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</si>
  <si>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</si>
  <si>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</si>
  <si>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</si>
  <si>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</si>
  <si>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</si>
  <si>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</si>
  <si>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</si>
  <si>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</si>
  <si>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</si>
  <si>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</si>
  <si>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</si>
  <si>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</si>
  <si>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</si>
  <si>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</si>
  <si>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</si>
  <si>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</si>
  <si>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</si>
  <si>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</si>
  <si>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</si>
  <si>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</si>
  <si>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</si>
  <si>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</si>
  <si>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</si>
  <si>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</si>
  <si>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</si>
  <si>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</si>
  <si>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</si>
  <si>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</si>
  <si>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</si>
  <si>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</si>
  <si>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</si>
  <si>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</si>
  <si>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</si>
  <si>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</si>
  <si>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</si>
  <si>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</si>
  <si>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</si>
  <si>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</si>
  <si>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</si>
  <si>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</si>
  <si>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</si>
  <si>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</si>
  <si>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</si>
  <si>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</si>
  <si>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</si>
  <si>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</si>
  <si>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</si>
  <si>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</si>
  <si>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</si>
  <si>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</si>
  <si>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</si>
  <si>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</si>
  <si>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</si>
  <si>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</si>
  <si>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</si>
  <si>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</si>
  <si>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</si>
  <si>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</si>
  <si>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</si>
  <si>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</si>
  <si>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</si>
  <si>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</si>
  <si>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</si>
  <si>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</si>
  <si>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</si>
  <si>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</si>
  <si>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</si>
  <si>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</si>
  <si>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</si>
  <si>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</si>
  <si>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</si>
  <si>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</si>
  <si>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</si>
  <si>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</si>
  <si>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</si>
  <si>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</si>
  <si>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</si>
  <si>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</si>
  <si>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</si>
  <si>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</si>
  <si>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</si>
  <si>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</si>
  <si>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</si>
  <si>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</si>
  <si>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</si>
  <si>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</si>
  <si>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</si>
  <si>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</si>
  <si>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</si>
  <si>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</si>
  <si>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</si>
  <si>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</si>
  <si>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</si>
  <si>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</si>
  <si>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</si>
  <si>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</si>
  <si>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</si>
  <si>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</si>
  <si>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</si>
  <si>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</si>
  <si>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</si>
  <si>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</si>
  <si>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</si>
  <si>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</si>
  <si>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</si>
  <si>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</si>
  <si>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</si>
  <si>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</si>
  <si>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</si>
  <si>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</si>
  <si>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</si>
  <si>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</si>
  <si>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</si>
  <si>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</si>
  <si>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</si>
  <si>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</si>
  <si>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</si>
  <si>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</si>
  <si>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</si>
  <si>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</si>
  <si>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</si>
  <si>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</si>
  <si>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</si>
  <si>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</si>
  <si>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</si>
  <si>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</si>
  <si>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</si>
  <si>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</si>
  <si>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</si>
  <si>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</si>
  <si>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</si>
  <si>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</si>
  <si>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</si>
  <si>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</si>
  <si>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</si>
  <si>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</si>
  <si>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</si>
  <si>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</si>
  <si>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</si>
  <si>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</si>
  <si>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</si>
  <si>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</si>
  <si>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</si>
  <si>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</si>
  <si>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</si>
  <si>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</si>
  <si>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</si>
  <si>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</si>
  <si>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</si>
  <si>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</si>
  <si>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</si>
  <si>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</si>
  <si>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</si>
  <si>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</si>
  <si>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</si>
  <si>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</si>
  <si>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</si>
  <si>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</si>
  <si>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</si>
  <si>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</si>
  <si>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</si>
  <si>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</si>
  <si>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</si>
  <si>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</si>
  <si>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</si>
  <si>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</si>
  <si>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</si>
  <si>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</si>
  <si>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</si>
  <si>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</si>
  <si>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</si>
  <si>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</si>
  <si>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</si>
  <si>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</si>
  <si>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</si>
  <si>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</si>
  <si>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</si>
  <si>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</si>
  <si>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</si>
  <si>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</si>
  <si>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</si>
  <si>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</si>
  <si>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</si>
  <si>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</si>
  <si>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</si>
  <si>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</si>
  <si>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</si>
  <si>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</si>
  <si>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</si>
  <si>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</si>
  <si>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</si>
  <si>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</si>
  <si>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</si>
  <si>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</si>
  <si>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</si>
  <si>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</si>
  <si>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</si>
  <si>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</si>
  <si>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</si>
  <si>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</si>
  <si>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</si>
  <si>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</si>
  <si>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</si>
  <si>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</si>
  <si>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</si>
  <si>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</si>
  <si>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</si>
  <si>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</si>
  <si>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</si>
  <si>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</si>
  <si>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</si>
  <si>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</si>
  <si>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</si>
  <si>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</si>
  <si>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</si>
  <si>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</si>
  <si>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</si>
  <si>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</si>
  <si>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</si>
  <si>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</si>
  <si>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</si>
  <si>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</si>
  <si>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</si>
  <si>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</si>
  <si>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</si>
  <si>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</si>
  <si>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</si>
  <si>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</si>
  <si>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</si>
  <si>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</si>
  <si>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</si>
  <si>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</si>
  <si>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</si>
  <si>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</si>
  <si>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</si>
  <si>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</si>
  <si>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</si>
  <si>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</si>
  <si>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</si>
  <si>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</si>
  <si>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</si>
  <si>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</si>
  <si>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</si>
  <si>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</si>
  <si>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</si>
  <si>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</si>
  <si>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</si>
  <si>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</si>
  <si>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</si>
  <si>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</si>
  <si>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</si>
  <si>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</si>
  <si>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</si>
  <si>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</si>
  <si>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</si>
  <si>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</si>
  <si>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</si>
  <si>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</si>
  <si>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</si>
  <si>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</si>
  <si>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</si>
  <si>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</si>
  <si>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</si>
  <si>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</si>
  <si>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</si>
  <si>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</si>
  <si>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</si>
  <si>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</si>
  <si>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</si>
  <si>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</si>
  <si>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</si>
  <si>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</si>
  <si>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</si>
  <si>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</si>
  <si>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</si>
  <si>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</si>
  <si>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</si>
  <si>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</si>
  <si>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</si>
  <si>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</si>
  <si>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</si>
  <si>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</si>
  <si>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</si>
  <si>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</si>
  <si>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</si>
  <si>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</si>
  <si>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</si>
  <si>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</si>
  <si>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</si>
  <si>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</si>
  <si>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</si>
  <si>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</si>
  <si>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</si>
  <si>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</si>
  <si>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</si>
  <si>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</si>
  <si>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</si>
  <si>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</si>
  <si>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</si>
  <si>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</si>
  <si>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</si>
  <si>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</si>
  <si>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</si>
  <si>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</si>
  <si>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</si>
  <si>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</si>
  <si>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</si>
  <si>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</si>
  <si>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</si>
  <si>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</si>
  <si>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</si>
  <si>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</si>
  <si>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</si>
  <si>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</si>
  <si>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</si>
  <si>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</si>
  <si>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</si>
  <si>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</si>
  <si>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</si>
  <si>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</si>
  <si>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</si>
  <si>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</si>
  <si>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</si>
  <si>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</si>
  <si>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</si>
  <si>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</si>
  <si>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</si>
  <si>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</si>
  <si>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</si>
  <si>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</si>
  <si>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</si>
  <si>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</si>
  <si>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</si>
  <si>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</si>
  <si>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</si>
  <si>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</si>
  <si>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</si>
  <si>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</si>
  <si>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</si>
  <si>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</si>
  <si>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</si>
  <si>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</si>
  <si>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</si>
  <si>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</si>
  <si>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</si>
  <si>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</si>
  <si>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</si>
  <si>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</si>
  <si>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</si>
  <si>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</si>
  <si>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</si>
  <si>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</si>
  <si>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</si>
  <si>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</si>
  <si>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</si>
  <si>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</si>
  <si>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</si>
  <si>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</si>
  <si>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</si>
  <si>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</si>
  <si>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</si>
  <si>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</si>
  <si>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</si>
  <si>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</si>
  <si>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</si>
  <si>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</si>
  <si>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</si>
  <si>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</si>
  <si>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</si>
  <si>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</si>
  <si>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</si>
  <si>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</si>
  <si>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</si>
  <si>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</si>
  <si>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</si>
  <si>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</si>
  <si>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</si>
  <si>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</si>
  <si>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</si>
  <si>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</si>
  <si>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</si>
  <si>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</si>
  <si>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</si>
  <si>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</si>
  <si>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</si>
  <si>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</si>
  <si>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</si>
  <si>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</si>
  <si>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</si>
  <si>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</si>
  <si>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</si>
  <si>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</si>
  <si>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</si>
  <si>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</si>
  <si>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</si>
  <si>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</si>
  <si>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</si>
  <si>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</si>
  <si>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</si>
  <si>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</si>
  <si>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</si>
  <si>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</si>
  <si>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</si>
  <si>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</si>
  <si>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</si>
  <si>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</si>
  <si>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</si>
  <si>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</si>
  <si>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</si>
  <si>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</si>
  <si>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</si>
  <si>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</si>
  <si>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</si>
  <si>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</si>
  <si>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</si>
  <si>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</si>
  <si>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</si>
  <si>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</si>
  <si>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</si>
  <si>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</si>
  <si>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</si>
  <si>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</si>
  <si>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</si>
  <si>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</si>
  <si>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</si>
  <si>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</si>
  <si>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</si>
  <si>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</si>
  <si>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</si>
  <si>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</si>
  <si>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</si>
  <si>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</si>
  <si>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</si>
  <si>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</si>
  <si>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</si>
  <si>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</si>
  <si>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</si>
  <si>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</si>
  <si>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</si>
  <si>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</si>
  <si>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</si>
  <si>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</si>
  <si>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</si>
  <si>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</si>
  <si>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</si>
  <si>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</si>
  <si>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</si>
  <si>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</si>
  <si>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</si>
  <si>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</si>
  <si>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</si>
  <si>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</si>
  <si>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</si>
  <si>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</si>
  <si>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</si>
  <si>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</si>
  <si>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</si>
  <si>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</si>
  <si>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</si>
  <si>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</si>
  <si>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</si>
  <si>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</si>
  <si>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</si>
  <si>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</si>
  <si>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</si>
  <si>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</si>
  <si>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</si>
  <si>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</si>
  <si>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</si>
  <si>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</si>
  <si>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</si>
  <si>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</si>
  <si>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</si>
  <si>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</si>
  <si>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</si>
  <si>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</si>
  <si>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</si>
  <si>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</si>
  <si>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</si>
  <si>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</si>
  <si>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</si>
  <si>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</si>
  <si>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</si>
  <si>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</si>
  <si>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</si>
  <si>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</si>
  <si>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</si>
  <si>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</si>
  <si>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</si>
  <si>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</si>
  <si>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</si>
  <si>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</si>
  <si>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</si>
  <si>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</si>
  <si>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</si>
  <si>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</si>
  <si>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</si>
  <si>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</si>
  <si>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</si>
  <si>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</si>
  <si>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</si>
  <si>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</si>
  <si>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</si>
  <si>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</si>
  <si>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</si>
  <si>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</si>
  <si>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</si>
  <si>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</si>
  <si>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</si>
  <si>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</si>
  <si>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</si>
  <si>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</si>
  <si>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</si>
  <si>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</si>
  <si>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</si>
  <si>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</si>
  <si>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</si>
  <si>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</si>
  <si>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Egyéb tárgyi eszközök beszerzése (Találkozások Háza)</t>
  </si>
  <si>
    <t>..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</si>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</sst>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5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3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4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9" fontId="68" fillId="0" borderId="8" xfId="0" applyNumberFormat="1" applyFont="1" applyFill="1" applyBorder="1" applyAlignment="1" applyProtection="1">
      <alignment horizontal="center" vertical="center" wrapText="1"/>
    </xf>
    <xf numFmtId="0" fontId="68" fillId="0" borderId="2" xfId="21" applyFont="1" applyFill="1" applyBorder="1" applyAlignment="1" applyProtection="1">
      <alignment horizontal="left" vertical="center" wrapText="1" indent="1"/>
    </xf>
    <xf numFmtId="0" fontId="71" fillId="0" borderId="0" xfId="0" applyFont="1" applyFill="1" applyAlignment="1" applyProtection="1">
      <alignment vertical="center" wrapText="1"/>
    </xf>
    <xf numFmtId="0" fontId="114" fillId="0" borderId="60" xfId="0" quotePrefix="1" applyFont="1" applyFill="1" applyBorder="1" applyAlignment="1">
      <alignment vertical="center"/>
    </xf>
    <xf numFmtId="165" fontId="11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6" xfId="0" applyNumberFormat="1" applyFont="1" applyFill="1" applyBorder="1" applyAlignment="1" applyProtection="1">
      <alignment vertical="center" wrapText="1"/>
    </xf>
    <xf numFmtId="3" fontId="65" fillId="0" borderId="2" xfId="26" applyNumberFormat="1" applyFont="1" applyBorder="1" applyAlignment="1">
      <alignment horizontal="right"/>
    </xf>
    <xf numFmtId="0" fontId="114" fillId="0" borderId="47" xfId="0" quotePrefix="1" applyFont="1" applyFill="1" applyBorder="1" applyAlignment="1">
      <alignment vertical="center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0" xfId="21" applyNumberFormat="1" applyFont="1" applyFill="1" applyAlignment="1" applyProtection="1">
      <alignment horizontal="right" vertical="center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0" fontId="30" fillId="0" borderId="0" xfId="0" applyFont="1" applyAlignment="1" applyProtection="1">
      <protection locked="0"/>
    </xf>
    <xf numFmtId="0" fontId="30" fillId="0" borderId="0" xfId="21" applyFont="1" applyFill="1" applyAlignment="1" applyProtection="1"/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69" fontId="119" fillId="0" borderId="26" xfId="18" applyNumberFormat="1" applyFont="1" applyFill="1" applyBorder="1" applyAlignment="1">
      <alignment horizontal="right" vertical="center"/>
    </xf>
    <xf numFmtId="169" fontId="119" fillId="0" borderId="23" xfId="53" applyNumberFormat="1" applyFont="1" applyFill="1" applyBorder="1" applyAlignment="1">
      <alignment horizontal="right" vertical="center"/>
    </xf>
    <xf numFmtId="169" fontId="73" fillId="0" borderId="5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09" t="s">
        <v>701</v>
      </c>
      <c r="B1" s="1409"/>
      <c r="C1" s="1409"/>
      <c r="D1" s="1409"/>
      <c r="E1" s="1409"/>
      <c r="F1" s="1409"/>
      <c r="G1" s="1409"/>
      <c r="H1" s="1409"/>
      <c r="I1" s="1409"/>
      <c r="J1" s="1409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10" t="s">
        <v>710</v>
      </c>
      <c r="B3" s="1410"/>
      <c r="C3" s="1410"/>
      <c r="D3" s="1410"/>
      <c r="E3" s="1410"/>
      <c r="F3" s="1410"/>
      <c r="G3" s="1410"/>
      <c r="H3" s="1410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 t="s">
        <v>1095</v>
      </c>
      <c r="C7" s="667" t="s">
        <v>705</v>
      </c>
      <c r="D7" s="667" t="s">
        <v>1093</v>
      </c>
      <c r="E7" s="667" t="s">
        <v>706</v>
      </c>
      <c r="F7" s="666" t="s">
        <v>1096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11" t="s">
        <v>709</v>
      </c>
      <c r="C11" s="1411"/>
      <c r="D11" s="1411"/>
      <c r="E11" s="1411"/>
      <c r="F11" s="1411"/>
      <c r="G11" s="1411"/>
      <c r="H11" s="1411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A3" sqref="A3:H3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25" t="str">
        <f>CONCATENATE("6. melléklet ",ALAPADATOK!A7," ",ALAPADATOK!B7," ",ALAPADATOK!C7," ",ALAPADATOK!D7," ",ALAPADATOK!E7," ",ALAPADATOK!F7," ",ALAPADATOK!G7," ",ALAPADATOK!H7)</f>
        <v>6. melléklet a .. / 2022. ( …… ) önkormányzati rendelethez</v>
      </c>
      <c r="B1" s="1425"/>
      <c r="C1" s="1425"/>
      <c r="D1" s="1425"/>
      <c r="E1" s="1425"/>
      <c r="F1" s="1425"/>
      <c r="G1" s="1425"/>
      <c r="H1" s="1425"/>
    </row>
    <row r="3" spans="1:11" x14ac:dyDescent="0.25">
      <c r="A3" s="1426" t="s">
        <v>388</v>
      </c>
      <c r="B3" s="1426"/>
      <c r="C3" s="1426"/>
      <c r="D3" s="1426"/>
      <c r="E3" s="1426"/>
      <c r="F3" s="1426"/>
      <c r="G3" s="1426"/>
      <c r="H3" s="1426"/>
    </row>
    <row r="4" spans="1:11" ht="15.75" thickBot="1" x14ac:dyDescent="0.3">
      <c r="A4" s="692"/>
      <c r="B4" s="693"/>
      <c r="C4" s="693"/>
      <c r="D4" s="1427"/>
      <c r="E4" s="1427"/>
      <c r="F4" s="1427"/>
      <c r="G4" s="1428" t="s">
        <v>504</v>
      </c>
      <c r="H4" s="1428"/>
      <c r="I4" s="875"/>
    </row>
    <row r="5" spans="1:11" ht="25.5" x14ac:dyDescent="0.25">
      <c r="A5" s="1429" t="s">
        <v>14</v>
      </c>
      <c r="B5" s="1431" t="s">
        <v>148</v>
      </c>
      <c r="C5" s="694" t="s">
        <v>810</v>
      </c>
      <c r="D5" s="1431" t="s">
        <v>180</v>
      </c>
      <c r="E5" s="1431"/>
      <c r="F5" s="1431"/>
      <c r="G5" s="1431"/>
      <c r="H5" s="1433" t="s">
        <v>509</v>
      </c>
    </row>
    <row r="6" spans="1:11" ht="15.75" thickBot="1" x14ac:dyDescent="0.3">
      <c r="A6" s="1430"/>
      <c r="B6" s="1432"/>
      <c r="C6" s="928"/>
      <c r="D6" s="928">
        <v>2021</v>
      </c>
      <c r="E6" s="928">
        <v>2022</v>
      </c>
      <c r="F6" s="928">
        <v>2023</v>
      </c>
      <c r="G6" s="1154">
        <v>2024</v>
      </c>
      <c r="H6" s="1434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5" t="s">
        <v>964</v>
      </c>
      <c r="C24" s="941">
        <v>0</v>
      </c>
      <c r="D24" s="942">
        <v>0</v>
      </c>
      <c r="E24" s="942">
        <v>2300740</v>
      </c>
      <c r="F24" s="942">
        <v>2300740</v>
      </c>
      <c r="G24" s="943">
        <v>2300740</v>
      </c>
      <c r="H24" s="877">
        <f t="shared" si="0"/>
        <v>6902220</v>
      </c>
    </row>
    <row r="25" spans="1:8" ht="22.5" x14ac:dyDescent="0.25">
      <c r="A25" s="932" t="s">
        <v>33</v>
      </c>
      <c r="B25" s="944" t="s">
        <v>965</v>
      </c>
      <c r="C25" s="941">
        <v>0</v>
      </c>
      <c r="D25" s="942">
        <v>0</v>
      </c>
      <c r="E25" s="942">
        <v>0</v>
      </c>
      <c r="F25" s="942">
        <v>1568620</v>
      </c>
      <c r="G25" s="943">
        <v>1568620</v>
      </c>
      <c r="H25" s="945">
        <f t="shared" si="0"/>
        <v>3137240</v>
      </c>
    </row>
    <row r="26" spans="1:8" ht="21.75" thickBot="1" x14ac:dyDescent="0.3">
      <c r="A26" s="931" t="s">
        <v>34</v>
      </c>
      <c r="B26" s="1347" t="s">
        <v>1083</v>
      </c>
      <c r="C26" s="1348">
        <v>0</v>
      </c>
      <c r="D26" s="1349">
        <v>0</v>
      </c>
      <c r="E26" s="1349">
        <v>0</v>
      </c>
      <c r="F26" s="1349">
        <v>0</v>
      </c>
      <c r="G26" s="1346">
        <v>13750000</v>
      </c>
      <c r="H26" s="930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5" sqref="C15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25" t="str">
        <f>CONCATENATE("6. melléklet ",ALAPADATOK!A7," ",ALAPADATOK!B7," ",ALAPADATOK!C7," ",ALAPADATOK!D7," ",ALAPADATOK!E7," ",ALAPADATOK!F7," ",ALAPADATOK!G7," ",ALAPADATOK!H7)</f>
        <v>6. melléklet a .. / 2022. ( …… ) önkormányzati rendelethez</v>
      </c>
      <c r="B1" s="1425"/>
      <c r="C1" s="1425"/>
    </row>
    <row r="3" spans="1:4" ht="33" customHeight="1" x14ac:dyDescent="0.25">
      <c r="A3" s="1426" t="s">
        <v>524</v>
      </c>
      <c r="B3" s="1426"/>
      <c r="C3" s="1426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0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38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1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35" t="s">
        <v>530</v>
      </c>
      <c r="B13" s="1436"/>
      <c r="C13" s="448">
        <f>SUM(C7:C12)</f>
        <v>468422173</v>
      </c>
    </row>
    <row r="14" spans="1:4" ht="23.25" customHeight="1" x14ac:dyDescent="0.25">
      <c r="A14" s="1437" t="s">
        <v>531</v>
      </c>
      <c r="B14" s="1437"/>
      <c r="C14" s="143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B10" sqref="B10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25" t="str">
        <f>CONCATENATE("7. melléklet ",ALAPADATOK!A7," ",ALAPADATOK!B7," ",ALAPADATOK!C7," ",ALAPADATOK!D7," ",ALAPADATOK!E7," ",ALAPADATOK!F7," ",ALAPADATOK!G7," ",ALAPADATOK!H7)</f>
        <v>7. melléklet a .. / 2022. ( …… ) önkormányzati rendelethez</v>
      </c>
      <c r="B1" s="1425"/>
      <c r="C1" s="1425"/>
    </row>
    <row r="3" spans="1:5" ht="33" customHeight="1" x14ac:dyDescent="0.25">
      <c r="A3" s="1426" t="s">
        <v>799</v>
      </c>
      <c r="B3" s="1426"/>
      <c r="C3" s="1426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4" t="s">
        <v>963</v>
      </c>
      <c r="C7" s="1148">
        <v>11503705</v>
      </c>
      <c r="D7" s="1147"/>
      <c r="E7" s="1147"/>
    </row>
    <row r="8" spans="1:5" x14ac:dyDescent="0.25">
      <c r="A8" s="68" t="s">
        <v>17</v>
      </c>
      <c r="B8" s="944" t="s">
        <v>966</v>
      </c>
      <c r="C8" s="531">
        <v>7058824</v>
      </c>
    </row>
    <row r="9" spans="1:5" x14ac:dyDescent="0.25">
      <c r="A9" s="593" t="s">
        <v>18</v>
      </c>
      <c r="B9" s="1350" t="s">
        <v>1083</v>
      </c>
      <c r="C9" s="1351">
        <v>167000000</v>
      </c>
    </row>
    <row r="10" spans="1:5" x14ac:dyDescent="0.25">
      <c r="A10" s="68" t="s">
        <v>19</v>
      </c>
      <c r="B10" s="934"/>
      <c r="C10" s="935"/>
    </row>
    <row r="11" spans="1:5" x14ac:dyDescent="0.25">
      <c r="A11" s="68" t="s">
        <v>20</v>
      </c>
      <c r="B11" s="933"/>
      <c r="C11" s="936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9"/>
  <sheetViews>
    <sheetView zoomScaleNormal="100" zoomScaleSheetLayoutView="100" workbookViewId="0">
      <selection activeCell="F69" sqref="F69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38" t="str">
        <f>CONCATENATE("6. melléklet"," ",ALAPADATOK!A7," ",ALAPADATOK!B7," ",ALAPADATOK!C7," ",ALAPADATOK!D7," ",ALAPADATOK!E7," ",ALAPADATOK!F7," ",ALAPADATOK!G7," ",ALAPADATOK!H7)</f>
        <v>6. melléklet a .. / 2022. ( …… ) önkormányzati rendelethez</v>
      </c>
      <c r="B1" s="1438"/>
      <c r="C1" s="1438"/>
      <c r="D1" s="1438"/>
      <c r="E1" s="1438"/>
      <c r="F1" s="1438"/>
      <c r="G1" s="1438"/>
    </row>
    <row r="3" spans="1:8" ht="25.5" customHeight="1" x14ac:dyDescent="0.2">
      <c r="A3" s="1439" t="s">
        <v>4</v>
      </c>
      <c r="B3" s="1439"/>
      <c r="C3" s="1439"/>
      <c r="D3" s="1439"/>
      <c r="E3" s="1439"/>
      <c r="F3" s="1439"/>
      <c r="G3" s="1439"/>
    </row>
    <row r="4" spans="1:8" ht="22.5" customHeight="1" thickBot="1" x14ac:dyDescent="0.3">
      <c r="B4" s="1280"/>
      <c r="C4" s="1280"/>
      <c r="D4" s="1280"/>
      <c r="E4" s="1280"/>
      <c r="F4" s="1280"/>
      <c r="G4" s="1275"/>
    </row>
    <row r="5" spans="1:8" s="621" customFormat="1" ht="44.25" customHeight="1" thickBot="1" x14ac:dyDescent="0.25">
      <c r="A5" s="1026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7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5" t="s">
        <v>688</v>
      </c>
      <c r="B7" s="1028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370">
        <v>2869994</v>
      </c>
      <c r="C8" s="1371">
        <v>2021</v>
      </c>
      <c r="D8" s="1372"/>
      <c r="E8" s="1372"/>
      <c r="F8" s="1372">
        <v>2869994</v>
      </c>
      <c r="G8" s="1373">
        <f t="shared" ref="G8:G56" si="1">B8-D8-F8-E8</f>
        <v>0</v>
      </c>
    </row>
    <row r="9" spans="1:8" s="626" customFormat="1" ht="15.95" customHeight="1" x14ac:dyDescent="0.2">
      <c r="A9" s="684" t="s">
        <v>684</v>
      </c>
      <c r="B9" s="946">
        <f>267489554-142138515+16601097+401550</f>
        <v>142353686</v>
      </c>
      <c r="C9" s="1374" t="s">
        <v>1005</v>
      </c>
      <c r="D9" s="1375">
        <f>13586200-204600</f>
        <v>13381600</v>
      </c>
      <c r="E9" s="1375">
        <v>16601097</v>
      </c>
      <c r="F9" s="1375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6">
        <f>12274550-2533650</f>
        <v>9740900</v>
      </c>
      <c r="C10" s="1374" t="s">
        <v>802</v>
      </c>
      <c r="D10" s="1375">
        <v>5715000</v>
      </c>
      <c r="E10" s="1375"/>
      <c r="F10" s="1375">
        <v>4025900</v>
      </c>
      <c r="G10" s="720">
        <f t="shared" si="1"/>
        <v>0</v>
      </c>
    </row>
    <row r="11" spans="1:8" s="626" customFormat="1" ht="18.75" customHeight="1" x14ac:dyDescent="0.2">
      <c r="A11" s="1029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0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0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0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0" t="s">
        <v>587</v>
      </c>
      <c r="B15" s="846">
        <v>3540000</v>
      </c>
      <c r="C15" s="685">
        <v>2021</v>
      </c>
      <c r="D15" s="717"/>
      <c r="E15" s="717"/>
      <c r="F15" s="717">
        <v>3540000</v>
      </c>
      <c r="G15" s="721">
        <f t="shared" si="1"/>
        <v>0</v>
      </c>
    </row>
    <row r="16" spans="1:8" s="626" customFormat="1" ht="31.5" customHeight="1" x14ac:dyDescent="0.2">
      <c r="A16" s="1030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1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0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39" t="s">
        <v>908</v>
      </c>
      <c r="B19" s="937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39" t="s">
        <v>997</v>
      </c>
      <c r="B20" s="937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0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0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0" t="s">
        <v>687</v>
      </c>
      <c r="B23" s="937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0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0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2" t="s">
        <v>982</v>
      </c>
      <c r="B26" s="937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2" t="s">
        <v>787</v>
      </c>
      <c r="B27" s="937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2" t="s">
        <v>986</v>
      </c>
      <c r="B28" s="937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2" t="s">
        <v>1071</v>
      </c>
      <c r="B29" s="937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2" t="s">
        <v>996</v>
      </c>
      <c r="B30" s="937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2" t="s">
        <v>998</v>
      </c>
      <c r="B31" s="937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2" t="s">
        <v>999</v>
      </c>
      <c r="B32" s="937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2" t="s">
        <v>1001</v>
      </c>
      <c r="B33" s="937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2" t="s">
        <v>1086</v>
      </c>
      <c r="B34" s="937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202" t="s">
        <v>1090</v>
      </c>
      <c r="B35" s="937">
        <v>8786521</v>
      </c>
      <c r="C35" s="722" t="s">
        <v>1084</v>
      </c>
      <c r="D35" s="723"/>
      <c r="E35" s="723"/>
      <c r="F35" s="723">
        <v>8786521</v>
      </c>
      <c r="G35" s="1376"/>
    </row>
    <row r="36" spans="1:7" s="630" customFormat="1" ht="26.25" thickBot="1" x14ac:dyDescent="0.25">
      <c r="A36" s="1202" t="s">
        <v>1083</v>
      </c>
      <c r="B36" s="937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5" t="s">
        <v>735</v>
      </c>
      <c r="B37" s="1036">
        <f>SUM(B38:B40)</f>
        <v>2765199</v>
      </c>
      <c r="C37" s="1037"/>
      <c r="D37" s="1038"/>
      <c r="E37" s="1038"/>
      <c r="F37" s="1038">
        <f>SUM(F38:F40)</f>
        <v>2765199</v>
      </c>
      <c r="G37" s="1039">
        <f t="shared" si="1"/>
        <v>0</v>
      </c>
    </row>
    <row r="38" spans="1:7" s="625" customFormat="1" x14ac:dyDescent="0.2">
      <c r="A38" s="1290" t="s">
        <v>581</v>
      </c>
      <c r="B38" s="1032">
        <v>1009999</v>
      </c>
      <c r="C38" s="1024">
        <v>2021</v>
      </c>
      <c r="D38" s="1033"/>
      <c r="E38" s="1033"/>
      <c r="F38" s="1033">
        <v>1009999</v>
      </c>
      <c r="G38" s="1034">
        <f t="shared" si="1"/>
        <v>0</v>
      </c>
    </row>
    <row r="39" spans="1:7" s="626" customFormat="1" x14ac:dyDescent="0.2">
      <c r="A39" s="1291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2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3" t="s">
        <v>736</v>
      </c>
      <c r="B41" s="1130">
        <f>SUM(B42:B42)</f>
        <v>0</v>
      </c>
      <c r="C41" s="1131"/>
      <c r="D41" s="1132"/>
      <c r="E41" s="1133"/>
      <c r="F41" s="1130">
        <f>SUM(F42:F42)</f>
        <v>0</v>
      </c>
      <c r="G41" s="1134">
        <f t="shared" si="1"/>
        <v>0</v>
      </c>
    </row>
    <row r="42" spans="1:7" s="627" customFormat="1" ht="13.5" thickBot="1" x14ac:dyDescent="0.25">
      <c r="A42" s="1294"/>
      <c r="B42" s="1124"/>
      <c r="C42" s="1125"/>
      <c r="D42" s="1126"/>
      <c r="E42" s="1126"/>
      <c r="F42" s="1126"/>
      <c r="G42" s="1135">
        <f t="shared" si="1"/>
        <v>0</v>
      </c>
    </row>
    <row r="43" spans="1:7" s="628" customFormat="1" ht="15.75" customHeight="1" thickBot="1" x14ac:dyDescent="0.25">
      <c r="A43" s="1293" t="s">
        <v>737</v>
      </c>
      <c r="B43" s="1130">
        <f>SUM(B44:B44)</f>
        <v>800000</v>
      </c>
      <c r="C43" s="1136"/>
      <c r="D43" s="1130">
        <f>SUM(D44:D44)</f>
        <v>0</v>
      </c>
      <c r="E43" s="1130"/>
      <c r="F43" s="1130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295" t="s">
        <v>696</v>
      </c>
      <c r="B44" s="1118">
        <v>800000</v>
      </c>
      <c r="C44" s="1119">
        <v>2021</v>
      </c>
      <c r="D44" s="1120"/>
      <c r="E44" s="1120"/>
      <c r="F44" s="1120">
        <v>800000</v>
      </c>
      <c r="G44" s="1128">
        <f t="shared" si="1"/>
        <v>0</v>
      </c>
    </row>
    <row r="45" spans="1:7" s="626" customFormat="1" ht="15.75" customHeight="1" thickBot="1" x14ac:dyDescent="0.25">
      <c r="A45" s="1296" t="s">
        <v>738</v>
      </c>
      <c r="B45" s="1130">
        <f>SUM(B46:B54)</f>
        <v>59387853</v>
      </c>
      <c r="C45" s="1136"/>
      <c r="D45" s="1130">
        <f>SUM(D46:D54)</f>
        <v>0</v>
      </c>
      <c r="E45" s="1130"/>
      <c r="F45" s="1130">
        <f>SUM(F46:F54)</f>
        <v>59387853</v>
      </c>
      <c r="G45" s="651">
        <f t="shared" si="1"/>
        <v>0</v>
      </c>
    </row>
    <row r="46" spans="1:7" s="626" customFormat="1" ht="15.75" customHeight="1" x14ac:dyDescent="0.2">
      <c r="A46" s="1297" t="s">
        <v>698</v>
      </c>
      <c r="B46" s="1118">
        <v>2828812</v>
      </c>
      <c r="C46" s="1119">
        <v>2021</v>
      </c>
      <c r="D46" s="1120"/>
      <c r="E46" s="1120"/>
      <c r="F46" s="1120">
        <v>2828812</v>
      </c>
      <c r="G46" s="1127">
        <f t="shared" si="1"/>
        <v>0</v>
      </c>
    </row>
    <row r="47" spans="1:7" s="626" customFormat="1" ht="15.75" customHeight="1" x14ac:dyDescent="0.2">
      <c r="A47" s="1301" t="s">
        <v>1070</v>
      </c>
      <c r="B47" s="1121">
        <v>112338</v>
      </c>
      <c r="C47" s="1122" t="s">
        <v>941</v>
      </c>
      <c r="D47" s="1123"/>
      <c r="E47" s="1123"/>
      <c r="F47" s="1123">
        <v>112338</v>
      </c>
      <c r="G47" s="1353"/>
    </row>
    <row r="48" spans="1:7" s="648" customFormat="1" ht="15.75" customHeight="1" x14ac:dyDescent="0.2">
      <c r="A48" s="1301" t="s">
        <v>937</v>
      </c>
      <c r="B48" s="1121">
        <v>311150</v>
      </c>
      <c r="C48" s="1122">
        <v>2021</v>
      </c>
      <c r="D48" s="1123"/>
      <c r="E48" s="1123"/>
      <c r="F48" s="1123">
        <v>311150</v>
      </c>
      <c r="G48" s="1352">
        <f t="shared" si="1"/>
        <v>0</v>
      </c>
    </row>
    <row r="49" spans="1:7" s="628" customFormat="1" ht="15.75" customHeight="1" x14ac:dyDescent="0.2">
      <c r="A49" s="1301" t="s">
        <v>938</v>
      </c>
      <c r="B49" s="1121">
        <f>47083234+381000-1238693</f>
        <v>46225541</v>
      </c>
      <c r="C49" s="1122">
        <v>2021</v>
      </c>
      <c r="D49" s="1123"/>
      <c r="E49" s="1123"/>
      <c r="F49" s="1123">
        <f>47083234+381000-1238693</f>
        <v>46225541</v>
      </c>
      <c r="G49" s="1352">
        <f t="shared" si="1"/>
        <v>0</v>
      </c>
    </row>
    <row r="50" spans="1:7" s="628" customFormat="1" ht="15.75" customHeight="1" x14ac:dyDescent="0.2">
      <c r="A50" s="1298" t="s">
        <v>939</v>
      </c>
      <c r="B50" s="1121">
        <f>2197788+1</f>
        <v>2197789</v>
      </c>
      <c r="C50" s="1122">
        <v>2021</v>
      </c>
      <c r="D50" s="1123"/>
      <c r="E50" s="1123"/>
      <c r="F50" s="1123">
        <f>2197788+1</f>
        <v>2197789</v>
      </c>
      <c r="G50" s="1352">
        <f t="shared" si="1"/>
        <v>0</v>
      </c>
    </row>
    <row r="51" spans="1:7" s="628" customFormat="1" ht="15.75" customHeight="1" x14ac:dyDescent="0.2">
      <c r="A51" s="1298" t="s">
        <v>940</v>
      </c>
      <c r="B51" s="1121">
        <v>1631608</v>
      </c>
      <c r="C51" s="1122">
        <v>2021</v>
      </c>
      <c r="D51" s="1123"/>
      <c r="E51" s="1123"/>
      <c r="F51" s="1123">
        <v>1631608</v>
      </c>
      <c r="G51" s="1352">
        <f t="shared" si="1"/>
        <v>0</v>
      </c>
    </row>
    <row r="52" spans="1:7" s="628" customFormat="1" ht="15.75" customHeight="1" x14ac:dyDescent="0.2">
      <c r="A52" s="1299" t="s">
        <v>980</v>
      </c>
      <c r="B52" s="1118">
        <v>1201000</v>
      </c>
      <c r="C52" s="1119" t="s">
        <v>941</v>
      </c>
      <c r="D52" s="1120"/>
      <c r="E52" s="1120"/>
      <c r="F52" s="1120">
        <v>1201000</v>
      </c>
      <c r="G52" s="1190">
        <v>0</v>
      </c>
    </row>
    <row r="53" spans="1:7" s="628" customFormat="1" ht="15.75" customHeight="1" x14ac:dyDescent="0.2">
      <c r="A53" s="1299" t="s">
        <v>940</v>
      </c>
      <c r="B53" s="1118">
        <v>4019215</v>
      </c>
      <c r="C53" s="1119">
        <v>2021</v>
      </c>
      <c r="D53" s="1120"/>
      <c r="E53" s="1120"/>
      <c r="F53" s="1120">
        <v>4019215</v>
      </c>
      <c r="G53" s="1128">
        <f t="shared" ref="G53" si="3">B53-D53-F53-E53</f>
        <v>0</v>
      </c>
    </row>
    <row r="54" spans="1:7" s="628" customFormat="1" ht="15.75" customHeight="1" thickBot="1" x14ac:dyDescent="0.25">
      <c r="A54" s="1396" t="s">
        <v>1094</v>
      </c>
      <c r="B54" s="1362">
        <v>860400</v>
      </c>
      <c r="C54" s="1397" t="s">
        <v>941</v>
      </c>
      <c r="D54" s="1282"/>
      <c r="E54" s="1282"/>
      <c r="F54" s="1282">
        <v>860400</v>
      </c>
      <c r="G54" s="1128"/>
    </row>
    <row r="55" spans="1:7" s="649" customFormat="1" ht="35.25" customHeight="1" thickBot="1" x14ac:dyDescent="0.25">
      <c r="A55" s="1300" t="s">
        <v>740</v>
      </c>
      <c r="B55" s="1130">
        <f>SUM(B56:B60)</f>
        <v>21399737</v>
      </c>
      <c r="C55" s="1136"/>
      <c r="D55" s="1130">
        <f>SUM(D56:D60)</f>
        <v>0</v>
      </c>
      <c r="E55" s="1130"/>
      <c r="F55" s="1130">
        <f>SUM(F56:F60)</f>
        <v>21399737</v>
      </c>
      <c r="G55" s="651">
        <f t="shared" si="1"/>
        <v>0</v>
      </c>
    </row>
    <row r="56" spans="1:7" s="628" customFormat="1" ht="21" customHeight="1" x14ac:dyDescent="0.2">
      <c r="A56" s="1367" t="s">
        <v>696</v>
      </c>
      <c r="B56" s="1124">
        <f>4720850-195000-300000-1143000</f>
        <v>3082850</v>
      </c>
      <c r="C56" s="1125" t="s">
        <v>941</v>
      </c>
      <c r="D56" s="1126"/>
      <c r="E56" s="1126"/>
      <c r="F56" s="1126">
        <f>4720850-195000-300000-1143000</f>
        <v>3082850</v>
      </c>
      <c r="G56" s="1127">
        <f t="shared" si="1"/>
        <v>0</v>
      </c>
    </row>
    <row r="57" spans="1:7" s="628" customFormat="1" ht="21" customHeight="1" x14ac:dyDescent="0.2">
      <c r="A57" s="1367" t="s">
        <v>581</v>
      </c>
      <c r="B57" s="1124">
        <v>300000</v>
      </c>
      <c r="C57" s="1125" t="s">
        <v>941</v>
      </c>
      <c r="D57" s="1126"/>
      <c r="E57" s="1126"/>
      <c r="F57" s="1126">
        <v>300000</v>
      </c>
      <c r="G57" s="1127"/>
    </row>
    <row r="58" spans="1:7" s="628" customFormat="1" ht="21" customHeight="1" x14ac:dyDescent="0.2">
      <c r="A58" s="1299" t="s">
        <v>942</v>
      </c>
      <c r="B58" s="1118">
        <f>1092200+101600</f>
        <v>1193800</v>
      </c>
      <c r="C58" s="1119" t="s">
        <v>802</v>
      </c>
      <c r="D58" s="1120">
        <v>0</v>
      </c>
      <c r="E58" s="1120"/>
      <c r="F58" s="1120">
        <f>1092200+101600</f>
        <v>1193800</v>
      </c>
      <c r="G58" s="1128"/>
    </row>
    <row r="59" spans="1:7" s="628" customFormat="1" ht="21" customHeight="1" x14ac:dyDescent="0.2">
      <c r="A59" s="1301" t="s">
        <v>943</v>
      </c>
      <c r="B59" s="1121">
        <f>8884581+9062206-1206500</f>
        <v>16740287</v>
      </c>
      <c r="C59" s="1122" t="s">
        <v>941</v>
      </c>
      <c r="D59" s="1282"/>
      <c r="E59" s="1283"/>
      <c r="F59" s="1121">
        <f>8884581+9062206-1206500</f>
        <v>16740287</v>
      </c>
      <c r="G59" s="1190"/>
    </row>
    <row r="60" spans="1:7" s="628" customFormat="1" ht="21" customHeight="1" thickBot="1" x14ac:dyDescent="0.25">
      <c r="A60" s="1299" t="s">
        <v>944</v>
      </c>
      <c r="B60" s="1118">
        <v>82800</v>
      </c>
      <c r="C60" s="1119" t="s">
        <v>941</v>
      </c>
      <c r="D60" s="1120"/>
      <c r="E60" s="1129"/>
      <c r="F60" s="1118">
        <v>82800</v>
      </c>
      <c r="G60" s="1128"/>
    </row>
    <row r="61" spans="1:7" s="626" customFormat="1" ht="21" customHeight="1" thickBot="1" x14ac:dyDescent="0.25">
      <c r="A61" s="1302" t="s">
        <v>739</v>
      </c>
      <c r="B61" s="1137">
        <f>SUM(B62:B65)</f>
        <v>3365800</v>
      </c>
      <c r="C61" s="1138"/>
      <c r="D61" s="1137">
        <f>SUM(D62:D62)</f>
        <v>0</v>
      </c>
      <c r="E61" s="1137"/>
      <c r="F61" s="1137">
        <f>SUM(F62:F65)</f>
        <v>3365800</v>
      </c>
      <c r="G61" s="1139">
        <f t="shared" ref="G61:G67" si="4">B61-D61-F61-E61</f>
        <v>0</v>
      </c>
    </row>
    <row r="62" spans="1:7" s="625" customFormat="1" ht="19.5" customHeight="1" x14ac:dyDescent="0.2">
      <c r="A62" s="1361" t="s">
        <v>945</v>
      </c>
      <c r="B62" s="1369">
        <v>75800</v>
      </c>
      <c r="C62" s="1184">
        <v>2021</v>
      </c>
      <c r="D62" s="1183"/>
      <c r="E62" s="1183"/>
      <c r="F62" s="1183">
        <v>75800</v>
      </c>
      <c r="G62" s="1368">
        <f t="shared" si="4"/>
        <v>0</v>
      </c>
    </row>
    <row r="63" spans="1:7" s="625" customFormat="1" ht="19.5" customHeight="1" x14ac:dyDescent="0.2">
      <c r="A63" s="1301" t="s">
        <v>967</v>
      </c>
      <c r="B63" s="1121">
        <f>200000+50000</f>
        <v>250000</v>
      </c>
      <c r="C63" s="1122" t="s">
        <v>941</v>
      </c>
      <c r="D63" s="1123"/>
      <c r="E63" s="1123"/>
      <c r="F63" s="1123">
        <f>200000+50000</f>
        <v>250000</v>
      </c>
      <c r="G63" s="1352"/>
    </row>
    <row r="64" spans="1:7" s="625" customFormat="1" ht="19.5" customHeight="1" x14ac:dyDescent="0.2">
      <c r="A64" s="1301" t="s">
        <v>1085</v>
      </c>
      <c r="B64" s="1121">
        <v>3000000</v>
      </c>
      <c r="C64" s="1122" t="s">
        <v>804</v>
      </c>
      <c r="D64" s="1123"/>
      <c r="E64" s="1123"/>
      <c r="F64" s="1123">
        <v>3000000</v>
      </c>
      <c r="G64" s="1352"/>
    </row>
    <row r="65" spans="1:7" s="625" customFormat="1" ht="19.5" customHeight="1" thickBot="1" x14ac:dyDescent="0.25">
      <c r="A65" s="1390" t="s">
        <v>581</v>
      </c>
      <c r="B65" s="1391">
        <v>40000</v>
      </c>
      <c r="C65" s="1392" t="s">
        <v>941</v>
      </c>
      <c r="D65" s="1393"/>
      <c r="E65" s="1393"/>
      <c r="F65" s="1393">
        <v>40000</v>
      </c>
      <c r="G65" s="1394"/>
    </row>
    <row r="66" spans="1:7" s="626" customFormat="1" ht="19.5" customHeight="1" thickBot="1" x14ac:dyDescent="0.25">
      <c r="A66" s="650" t="s">
        <v>695</v>
      </c>
      <c r="B66" s="1303">
        <f>B61+B55+B45+B43+B41+B37</f>
        <v>87718589</v>
      </c>
      <c r="C66" s="718"/>
      <c r="D66" s="718">
        <f>D61+D55+D45+D43+D41+D37</f>
        <v>0</v>
      </c>
      <c r="E66" s="718"/>
      <c r="F66" s="718">
        <f>F61+F55+F45+F43+F41+F37</f>
        <v>87718589</v>
      </c>
      <c r="G66" s="651">
        <f t="shared" si="4"/>
        <v>0</v>
      </c>
    </row>
    <row r="67" spans="1:7" s="626" customFormat="1" ht="19.5" customHeight="1" thickBot="1" x14ac:dyDescent="0.25">
      <c r="A67" s="650" t="s">
        <v>741</v>
      </c>
      <c r="B67" s="1303">
        <f>B66+B7</f>
        <v>1079752974</v>
      </c>
      <c r="C67" s="718"/>
      <c r="D67" s="718">
        <f>D66+D7</f>
        <v>68659507</v>
      </c>
      <c r="E67" s="718">
        <f>+E66+E7</f>
        <v>48414661</v>
      </c>
      <c r="F67" s="718">
        <f>F66+F7</f>
        <v>962678806</v>
      </c>
      <c r="G67" s="651">
        <f t="shared" si="4"/>
        <v>0</v>
      </c>
    </row>
    <row r="68" spans="1:7" x14ac:dyDescent="0.2">
      <c r="F68" s="626">
        <f>'1.1.sz.mell. '!C121</f>
        <v>962678806</v>
      </c>
    </row>
    <row r="69" spans="1:7" x14ac:dyDescent="0.2">
      <c r="F69" s="626">
        <f>F67-F68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topLeftCell="A16"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40" t="str">
        <f>CONCATENATE("7. melléklet"," ",ALAPADATOK!A7," ",ALAPADATOK!B7," ",ALAPADATOK!C7," ",ALAPADATOK!D7," ",ALAPADATOK!E7," ",ALAPADATOK!F7," ",ALAPADATOK!G7," ",ALAPADATOK!H7)</f>
        <v>7. melléklet a .. / 2022. ( …… ) önkormányzati rendelethez</v>
      </c>
      <c r="B1" s="1440"/>
      <c r="C1" s="1440"/>
      <c r="D1" s="1440"/>
      <c r="E1" s="1440"/>
      <c r="F1" s="1440"/>
      <c r="G1" s="1440"/>
    </row>
    <row r="3" spans="1:8" ht="24.75" customHeight="1" x14ac:dyDescent="0.2">
      <c r="A3" s="1441" t="s">
        <v>5</v>
      </c>
      <c r="B3" s="1441"/>
      <c r="C3" s="1441"/>
      <c r="D3" s="1441"/>
      <c r="E3" s="1441"/>
      <c r="F3" s="1441"/>
      <c r="G3" s="1441"/>
    </row>
    <row r="4" spans="1:8" ht="23.25" customHeight="1" thickBot="1" x14ac:dyDescent="0.3">
      <c r="B4" s="1281"/>
      <c r="C4" s="1281"/>
      <c r="D4" s="1281"/>
      <c r="E4" s="1281"/>
      <c r="F4" s="1281"/>
      <c r="G4" s="1276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42" t="s">
        <v>598</v>
      </c>
      <c r="B7" s="1443"/>
      <c r="C7" s="1443"/>
      <c r="D7" s="1443"/>
      <c r="E7" s="1443"/>
      <c r="F7" s="1443"/>
      <c r="G7" s="1444"/>
    </row>
    <row r="8" spans="1:8" s="625" customFormat="1" ht="15.95" customHeight="1" x14ac:dyDescent="0.2">
      <c r="A8" s="1304" t="s">
        <v>684</v>
      </c>
      <c r="B8" s="1140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04" t="s">
        <v>582</v>
      </c>
      <c r="B9" s="1140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04" t="s">
        <v>619</v>
      </c>
      <c r="B10" s="1140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04" t="s">
        <v>913</v>
      </c>
      <c r="B11" s="1140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04" t="s">
        <v>910</v>
      </c>
      <c r="B12" s="1140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04" t="s">
        <v>734</v>
      </c>
      <c r="B13" s="1140">
        <v>0</v>
      </c>
      <c r="C13" s="685">
        <v>2021</v>
      </c>
      <c r="D13" s="686"/>
      <c r="E13" s="686"/>
      <c r="F13" s="686">
        <v>0</v>
      </c>
      <c r="G13" s="1182">
        <f t="shared" si="0"/>
        <v>0</v>
      </c>
    </row>
    <row r="14" spans="1:8" x14ac:dyDescent="0.2">
      <c r="A14" s="1304" t="s">
        <v>1073</v>
      </c>
      <c r="B14" s="1140">
        <f>4100000+1107000</f>
        <v>5207000</v>
      </c>
      <c r="C14" s="685" t="s">
        <v>941</v>
      </c>
      <c r="D14" s="686"/>
      <c r="E14" s="686"/>
      <c r="F14" s="1140">
        <f>4100000+1107000</f>
        <v>5207000</v>
      </c>
      <c r="G14" s="1182"/>
    </row>
    <row r="15" spans="1:8" x14ac:dyDescent="0.2">
      <c r="A15" s="1340" t="s">
        <v>1003</v>
      </c>
      <c r="B15" s="1140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41" t="s">
        <v>1004</v>
      </c>
      <c r="B16" s="1140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05" t="s">
        <v>787</v>
      </c>
      <c r="B17" s="1140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05" t="s">
        <v>791</v>
      </c>
      <c r="B18" s="1140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05" t="s">
        <v>988</v>
      </c>
      <c r="B19" s="1140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05" t="s">
        <v>1072</v>
      </c>
      <c r="B20" s="1140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2"/>
    </row>
    <row r="21" spans="1:7" ht="25.5" x14ac:dyDescent="0.2">
      <c r="A21" s="1305" t="s">
        <v>998</v>
      </c>
      <c r="B21" s="1140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05" t="s">
        <v>999</v>
      </c>
      <c r="B22" s="1140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05" t="s">
        <v>1000</v>
      </c>
      <c r="B23" s="1140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05" t="s">
        <v>1001</v>
      </c>
      <c r="B24" s="1140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05" t="s">
        <v>1087</v>
      </c>
      <c r="B25" s="1140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45" t="s">
        <v>947</v>
      </c>
      <c r="B26" s="1446"/>
      <c r="C26" s="1446"/>
      <c r="D26" s="1446"/>
      <c r="E26" s="1446"/>
      <c r="F26" s="1446"/>
      <c r="G26" s="1447"/>
    </row>
    <row r="27" spans="1:7" s="626" customFormat="1" ht="25.5" x14ac:dyDescent="0.2">
      <c r="A27" s="1200" t="s">
        <v>946</v>
      </c>
      <c r="B27" s="1203">
        <f>1500722+1238693</f>
        <v>2739415</v>
      </c>
      <c r="C27" s="685" t="s">
        <v>941</v>
      </c>
      <c r="D27" s="686"/>
      <c r="E27" s="686"/>
      <c r="F27" s="1204">
        <f>1500722+1238693</f>
        <v>2739415</v>
      </c>
      <c r="G27" s="688"/>
    </row>
    <row r="28" spans="1:7" x14ac:dyDescent="0.2">
      <c r="A28" s="1445" t="s">
        <v>0</v>
      </c>
      <c r="B28" s="1446"/>
      <c r="C28" s="1446"/>
      <c r="D28" s="1446"/>
      <c r="E28" s="1446"/>
      <c r="F28" s="1446"/>
      <c r="G28" s="1447"/>
    </row>
    <row r="29" spans="1:7" s="626" customFormat="1" ht="13.5" thickBot="1" x14ac:dyDescent="0.25">
      <c r="A29" s="1200" t="s">
        <v>697</v>
      </c>
      <c r="B29" s="1141">
        <v>1054700</v>
      </c>
      <c r="C29" s="1024" t="s">
        <v>802</v>
      </c>
      <c r="D29" s="1142">
        <v>737200</v>
      </c>
      <c r="E29" s="1142"/>
      <c r="F29" s="1142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J41" sqref="J41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48" t="str">
        <f>CONCATENATE("9. melléklet"," ",ALAPADATOK!A7," ",ALAPADATOK!B7," ",ALAPADATOK!C7," ",ALAPADATOK!D7," ",ALAPADATOK!E7," ",ALAPADATOK!F7," ",ALAPADATOK!G7," ",ALAPADATOK!H7)</f>
        <v>9. melléklet a .. / 2022. ( …… ) önkormányzati rendelethez</v>
      </c>
      <c r="B1" s="1448"/>
      <c r="C1" s="1448"/>
      <c r="D1" s="1448"/>
      <c r="E1" s="1448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49" t="s">
        <v>616</v>
      </c>
      <c r="B3" s="1449"/>
      <c r="C3" s="1449"/>
      <c r="D3" s="1449"/>
      <c r="E3" s="1449"/>
    </row>
    <row r="4" spans="1:5" ht="13.5" customHeight="1" thickBot="1" x14ac:dyDescent="0.3">
      <c r="B4" s="1210"/>
      <c r="C4" s="1210"/>
      <c r="D4" s="1210"/>
      <c r="E4" s="1208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4"/>
      <c r="B14" s="1144"/>
      <c r="C14" s="1144"/>
      <c r="D14" s="1144"/>
      <c r="E14" s="1144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49" t="s">
        <v>958</v>
      </c>
      <c r="B25" s="1449"/>
      <c r="C25" s="1449"/>
      <c r="D25" s="1449"/>
      <c r="E25" s="1449"/>
    </row>
    <row r="26" spans="1:5" ht="14.25" thickBot="1" x14ac:dyDescent="0.3">
      <c r="A26" s="762"/>
      <c r="B26" s="762"/>
      <c r="C26" s="762"/>
      <c r="D26" s="1210"/>
      <c r="E26" s="1208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1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4"/>
      <c r="B36" s="1144"/>
      <c r="C36" s="1144"/>
      <c r="D36" s="1144"/>
      <c r="E36" s="1144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6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48" t="str">
        <f>CONCATENATE("7. melléklet"," ",ALAPADATOK!A7," ",ALAPADATOK!B7," ",ALAPADATOK!C7," ",ALAPADATOK!D7," ",ALAPADATOK!E7," ",ALAPADATOK!F7," ",ALAPADATOK!G7," ",ALAPADATOK!H7)</f>
        <v>7. melléklet a .. / 2022. ( …… ) önkormányzati rendelethez</v>
      </c>
      <c r="B1" s="1448"/>
      <c r="C1" s="1448"/>
      <c r="D1" s="1448"/>
      <c r="E1" s="1448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51" t="s">
        <v>1074</v>
      </c>
      <c r="B3" s="1451"/>
      <c r="C3" s="1451"/>
      <c r="D3" s="1451"/>
      <c r="E3" s="1451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49" t="s">
        <v>699</v>
      </c>
      <c r="B5" s="1449"/>
      <c r="C5" s="1449"/>
      <c r="D5" s="1449"/>
      <c r="E5" s="1449"/>
    </row>
    <row r="6" spans="1:5" ht="14.25" thickBot="1" x14ac:dyDescent="0.3">
      <c r="A6" s="733"/>
      <c r="B6" s="733"/>
      <c r="C6" s="733"/>
      <c r="D6" s="1450" t="s">
        <v>502</v>
      </c>
      <c r="E6" s="1450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1161">
        <v>204000</v>
      </c>
      <c r="D18" s="735"/>
      <c r="E18" s="736">
        <f t="shared" ref="E18:E24" si="2">B18+C18+D18</f>
        <v>204000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449">
        <f>381000+381000+406400+406400+701544+45720+243840+4840000+2800000-204000</f>
        <v>10001904</v>
      </c>
      <c r="D20" s="790">
        <f>381000+381000+406400+406400+526170+203200+135000+5300000</f>
        <v>7739170</v>
      </c>
      <c r="E20" s="791">
        <f t="shared" si="2"/>
        <v>20790150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49" t="s">
        <v>700</v>
      </c>
      <c r="B27" s="1449"/>
      <c r="C27" s="1449"/>
      <c r="D27" s="1449"/>
      <c r="E27" s="1449"/>
    </row>
    <row r="28" spans="1:9" ht="14.25" thickBot="1" x14ac:dyDescent="0.3">
      <c r="A28" s="733"/>
      <c r="B28" s="733"/>
      <c r="C28" s="733"/>
      <c r="D28" s="1450" t="s">
        <v>502</v>
      </c>
      <c r="E28" s="1450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827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831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831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3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52" t="str">
        <f>CONCATENATE("10. melléklet ",ALAPADATOK!A7," ",ALAPADATOK!B7," ",ALAPADATOK!C7," ",ALAPADATOK!D7," ",ALAPADATOK!E7," ",ALAPADATOK!F7," ",ALAPADATOK!G7," ",ALAPADATOK!H7)</f>
        <v>10. melléklet a .. / 2022. ( …… ) önkormányzati rendelethez</v>
      </c>
      <c r="B1" s="1452"/>
      <c r="C1" s="1452"/>
      <c r="D1" s="1452"/>
      <c r="E1" s="1452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49" t="s">
        <v>1027</v>
      </c>
      <c r="B3" s="1449"/>
      <c r="C3" s="1449"/>
      <c r="D3" s="1449"/>
      <c r="E3" s="1449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49" t="s">
        <v>1028</v>
      </c>
      <c r="B5" s="1449"/>
      <c r="C5" s="1449"/>
      <c r="D5" s="1449"/>
      <c r="E5" s="1449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49" t="s">
        <v>1026</v>
      </c>
      <c r="B22" s="1449"/>
      <c r="C22" s="1449"/>
      <c r="D22" s="1449"/>
      <c r="E22" s="1449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1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5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0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48" t="str">
        <f>CONCATENATE("8. melléklet"," ",ALAPADATOK!A7," ",ALAPADATOK!B7," ",ALAPADATOK!C7," ",ALAPADATOK!D7," ",ALAPADATOK!E7," ",ALAPADATOK!F7," ",ALAPADATOK!G7," ",ALAPADATOK!H7)</f>
        <v>8. melléklet a .. / 2022. ( …… ) önkormányzati rendelethez</v>
      </c>
      <c r="B1" s="1448"/>
      <c r="C1" s="1448"/>
      <c r="D1" s="1448"/>
      <c r="E1" s="1448"/>
    </row>
    <row r="2" spans="1:5" ht="52.5" customHeight="1" x14ac:dyDescent="0.25">
      <c r="A2" s="1449" t="s">
        <v>1029</v>
      </c>
      <c r="B2" s="1449"/>
      <c r="C2" s="1449"/>
      <c r="D2" s="1449"/>
      <c r="E2" s="1449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49" t="s">
        <v>1030</v>
      </c>
      <c r="B4" s="1449"/>
      <c r="C4" s="1449"/>
      <c r="D4" s="1449"/>
      <c r="E4" s="1449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4"/>
      <c r="B13" s="1144"/>
      <c r="C13" s="1144"/>
      <c r="D13" s="1144"/>
      <c r="E13" s="1144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49" t="s">
        <v>1031</v>
      </c>
      <c r="B23" s="1449"/>
      <c r="C23" s="1449"/>
      <c r="D23" s="1449"/>
      <c r="E23" s="1449"/>
    </row>
    <row r="24" spans="1:5" ht="14.25" thickBot="1" x14ac:dyDescent="0.3">
      <c r="A24" s="733"/>
      <c r="B24" s="733"/>
      <c r="C24" s="733"/>
      <c r="D24" s="1450"/>
      <c r="E24" s="1450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1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10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CONCATENATE("9. melléklet ",ALAPADATOK!A7," ",ALAPADATOK!B7," ",ALAPADATOK!C7," ",ALAPADATOK!D7," ",ALAPADATOK!E7," ",ALAPADATOK!F7," ",ALAPADATOK!G7," ",ALAPADATOK!H7)</f>
        <v>9. melléklet a .. / 2022. ( ……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49" t="s">
        <v>1075</v>
      </c>
      <c r="B3" s="1449"/>
      <c r="C3" s="1449"/>
      <c r="D3" s="1449"/>
      <c r="E3" s="1449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53" t="s">
        <v>948</v>
      </c>
      <c r="B5" s="1453"/>
      <c r="C5" s="1453"/>
      <c r="D5" s="1453"/>
      <c r="E5" s="1453"/>
      <c r="F5" s="823"/>
    </row>
    <row r="6" spans="1:6" ht="14.25" thickBot="1" x14ac:dyDescent="0.3">
      <c r="A6" s="824"/>
      <c r="B6" s="824"/>
      <c r="C6" s="824"/>
      <c r="D6" s="1454" t="s">
        <v>502</v>
      </c>
      <c r="E6" s="1454"/>
      <c r="F6" s="823"/>
    </row>
    <row r="7" spans="1:6" ht="15" customHeight="1" thickBot="1" x14ac:dyDescent="0.25">
      <c r="A7" s="1178" t="s">
        <v>532</v>
      </c>
      <c r="B7" s="1179" t="s">
        <v>805</v>
      </c>
      <c r="C7" s="1179" t="s">
        <v>797</v>
      </c>
      <c r="D7" s="1179" t="s">
        <v>806</v>
      </c>
      <c r="E7" s="1180" t="s">
        <v>48</v>
      </c>
      <c r="F7" s="823"/>
    </row>
    <row r="8" spans="1:6" x14ac:dyDescent="0.2">
      <c r="A8" s="1176" t="s">
        <v>533</v>
      </c>
      <c r="B8" s="1177">
        <v>335000</v>
      </c>
      <c r="C8" s="1363">
        <f>4581667+381000</f>
        <v>4962667</v>
      </c>
      <c r="D8" s="1177"/>
      <c r="E8" s="1143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78" t="s">
        <v>539</v>
      </c>
      <c r="B17" s="1179" t="s">
        <v>805</v>
      </c>
      <c r="C17" s="1179" t="s">
        <v>797</v>
      </c>
      <c r="D17" s="1179" t="s">
        <v>806</v>
      </c>
      <c r="E17" s="1180" t="s">
        <v>48</v>
      </c>
      <c r="F17" s="823"/>
    </row>
    <row r="18" spans="1:6" x14ac:dyDescent="0.2">
      <c r="A18" s="1176" t="s">
        <v>540</v>
      </c>
      <c r="B18" s="1177"/>
      <c r="C18" s="1177"/>
      <c r="D18" s="1177"/>
      <c r="E18" s="1143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5" t="s">
        <v>949</v>
      </c>
      <c r="B27" s="1455"/>
      <c r="C27" s="1455"/>
      <c r="D27" s="1455"/>
      <c r="E27" s="1455"/>
    </row>
    <row r="28" spans="1:6" ht="14.25" thickBot="1" x14ac:dyDescent="0.3">
      <c r="A28" s="824"/>
      <c r="B28" s="824"/>
      <c r="C28" s="824"/>
      <c r="D28" s="1454" t="s">
        <v>502</v>
      </c>
      <c r="E28" s="1454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1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3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3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zoomScaleNormal="100" zoomScaleSheetLayoutView="115" zoomScalePageLayoutView="85" workbookViewId="0">
      <selection activeCell="B12" sqref="B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12" t="str">
        <f>CONCATENATE("1. melléklet"," ",ALAPADATOK!A7," ",ALAPADATOK!B7," ",ALAPADATOK!C7," ",ALAPADATOK!D7," ",ALAPADATOK!E7," ",ALAPADATOK!F7," ",ALAPADATOK!G7," ",ALAPADATOK!H7)</f>
        <v>1. melléklet a .. / 2022. ( …… ) önkormányzati rendelethez</v>
      </c>
      <c r="B1" s="1412"/>
      <c r="C1" s="1412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17" t="str">
        <f>CONCATENATE(ALAPADATOK!A3)</f>
        <v>Tiszavasvári Város Önkormányzat</v>
      </c>
      <c r="B3" s="1417"/>
      <c r="C3" s="1417"/>
      <c r="D3" s="1400"/>
      <c r="E3" s="1400"/>
      <c r="F3" s="1400"/>
      <c r="H3" s="334"/>
      <c r="I3" s="335"/>
    </row>
    <row r="4" spans="1:9" s="662" customFormat="1" x14ac:dyDescent="0.25">
      <c r="A4" s="1416" t="str">
        <f>CONCATENATE(ALAPADATOK!D7," ÉVI KÖLTSÉGVETÉS")</f>
        <v>2022. ÉVI KÖLTSÉGVETÉS</v>
      </c>
      <c r="B4" s="1416"/>
      <c r="C4" s="1416"/>
      <c r="D4" s="1401"/>
      <c r="E4" s="1401"/>
      <c r="F4" s="1401"/>
      <c r="H4" s="334"/>
      <c r="I4" s="335"/>
    </row>
    <row r="5" spans="1:9" s="662" customFormat="1" x14ac:dyDescent="0.25">
      <c r="A5" s="1416" t="s">
        <v>714</v>
      </c>
      <c r="B5" s="1416"/>
      <c r="C5" s="1416"/>
      <c r="D5" s="1401"/>
      <c r="E5" s="1401"/>
      <c r="F5" s="1401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14" t="s">
        <v>13</v>
      </c>
      <c r="B7" s="1414"/>
      <c r="C7" s="1414"/>
      <c r="D7" s="809"/>
      <c r="E7" s="809"/>
      <c r="F7" s="809"/>
    </row>
    <row r="8" spans="1:9" ht="15.95" customHeight="1" thickBot="1" x14ac:dyDescent="0.3">
      <c r="A8" s="1209" t="s">
        <v>115</v>
      </c>
      <c r="B8" s="1209"/>
      <c r="C8" s="1019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0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1634262294</v>
      </c>
      <c r="D11" s="267">
        <f>+D12+D13+D14+D17+D18+D19</f>
        <v>1634262294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1634262294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1399">
        <f>SUM(D12:F12)</f>
        <v>296190577</v>
      </c>
      <c r="D12" s="222">
        <f>295696597+1181580-687600</f>
        <v>296190577</v>
      </c>
      <c r="E12" s="222"/>
      <c r="F12" s="222"/>
      <c r="H12" s="336">
        <f>'1.2.sz.mell. '!C12+'1.3.sz.mell.'!C12+'1.4.sz.mell. '!C12+'1.5.sz.mell.'!C12</f>
        <v>296190577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841">
        <f t="shared" si="0"/>
        <v>262755080</v>
      </c>
      <c r="D13" s="859">
        <f>254023920+8379000+651710-299550</f>
        <v>262755080</v>
      </c>
      <c r="E13" s="859"/>
      <c r="F13" s="859"/>
      <c r="H13" s="336">
        <f>'1.2.sz.mell. '!C13+'1.3.sz.mell.'!C13+'1.4.sz.mell. '!C13+'1.5.sz.mell.'!C13</f>
        <v>262755080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841">
        <f t="shared" si="0"/>
        <v>828956137</v>
      </c>
      <c r="D14" s="859">
        <f>SUM(D15:D16)</f>
        <v>828956137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828956137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841">
        <f t="shared" si="0"/>
        <v>640407443</v>
      </c>
      <c r="D15" s="859">
        <f>635476079-1227663+10429183+1536897-3409510-2397543</f>
        <v>640407443</v>
      </c>
      <c r="E15" s="859"/>
      <c r="F15" s="859"/>
      <c r="H15" s="336">
        <f>'1.2.sz.mell. '!C15+'1.3.sz.mell.'!C15+'1.4.sz.mell. '!C15+'1.5.sz.mell.'!C15</f>
        <v>640407443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841">
        <f t="shared" si="0"/>
        <v>188548694</v>
      </c>
      <c r="D16" s="859">
        <f>126258794+1334340+75804541-14848981</f>
        <v>188548694</v>
      </c>
      <c r="E16" s="859"/>
      <c r="F16" s="859"/>
      <c r="H16" s="336">
        <f>'1.2.sz.mell. '!C16+'1.3.sz.mell.'!C16+'1.4.sz.mell. '!C16+'1.5.sz.mell.'!C16</f>
        <v>188548694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407991699</v>
      </c>
      <c r="D20" s="267">
        <f>+D21+D22+D23+D24+D25</f>
        <v>308192680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407991699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290">
        <f t="shared" si="0"/>
        <v>407991699</v>
      </c>
      <c r="D25" s="860">
        <f>255808159+24966440+4143150+23500000-50000000+46879577+2895354</f>
        <v>308192680</v>
      </c>
      <c r="E25" s="859"/>
      <c r="F25" s="859">
        <f>9618799+90180220</f>
        <v>99799019</v>
      </c>
      <c r="H25" s="336">
        <f>'1.2.sz.mell. '!C25+'1.3.sz.mell.'!C25+'1.4.sz.mell. '!C25+'1.5.sz.mell.'!C25</f>
        <v>407991699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408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2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368229537</v>
      </c>
      <c r="D41" s="267">
        <f>SUM(D42:D52)</f>
        <v>69891294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368229537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64734315</v>
      </c>
      <c r="D43" s="860">
        <f>16336984-3004139-2500000</f>
        <v>10832845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64734315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1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2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15082586</v>
      </c>
      <c r="D59" s="267">
        <f>SUM(D60:D62)</f>
        <v>15082586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15082586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290">
        <f t="shared" si="3"/>
        <v>13882586</v>
      </c>
      <c r="D62" s="860">
        <f>1000000-726000+10000000+133028+3475558</f>
        <v>13882586</v>
      </c>
      <c r="E62" s="859"/>
      <c r="F62" s="859"/>
      <c r="H62" s="336">
        <f>'1.2.sz.mell. '!C62+'1.3.sz.mell.'!C62+'1.4.sz.mell. '!C62+'1.5.sz.mell.'!C62</f>
        <v>13882586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1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2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4957119537</v>
      </c>
      <c r="D69" s="270">
        <f>+D11+D20+D27+D34+D41+D53+D59+D64</f>
        <v>4497052994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4957119537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1189060316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1003497787</v>
      </c>
      <c r="D72" s="860">
        <f>850000000+153497787</f>
        <v>1003497787</v>
      </c>
      <c r="E72" s="859"/>
      <c r="F72" s="859"/>
      <c r="H72" s="336">
        <f>'1.2.sz.mell. '!C72+'1.3.sz.mell.'!C72+'1.4.sz.mell. '!C72+'1.5.sz.mell.'!C72</f>
        <v>1003497787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2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1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2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2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2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2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2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2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1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2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2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2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2094509705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2094509705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7051629242</v>
      </c>
      <c r="D94" s="270">
        <f>+D69+D93</f>
        <v>6582571875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7051629242</v>
      </c>
      <c r="I94" s="336">
        <f t="shared" si="4"/>
        <v>0</v>
      </c>
    </row>
    <row r="95" spans="1:9" ht="16.5" customHeight="1" thickBot="1" x14ac:dyDescent="0.3">
      <c r="A95" s="1414" t="s">
        <v>44</v>
      </c>
      <c r="B95" s="1414"/>
      <c r="C95" s="1414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15" t="s">
        <v>116</v>
      </c>
      <c r="B96" s="1415"/>
      <c r="C96" s="953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0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3">
        <f t="shared" ref="C99:C160" si="5">SUM(D99:F99)</f>
        <v>3067208101</v>
      </c>
      <c r="D99" s="275">
        <f>+D100+D101+D102+D103+D104+D117</f>
        <v>1090700116</v>
      </c>
      <c r="E99" s="111">
        <f>+E100+E101+E102+E103+E104+E117</f>
        <v>218199916</v>
      </c>
      <c r="F99" s="280">
        <f>F100+F101+F102+F103+F104+F117</f>
        <v>1758308069</v>
      </c>
      <c r="H99" s="336">
        <f>'1.2.sz.mell. '!C99+'1.3.sz.mell.'!C99+'1.4.sz.mell. '!C100+'1.5.sz.mell.'!C100</f>
        <v>3067208101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373">
        <f t="shared" si="5"/>
        <v>1267250778</v>
      </c>
      <c r="D100" s="863">
        <f>47896992-18600298+18784340+1037700+1247173-6502834+3889130+4660788+3068267+1340000</f>
        <v>56821258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1267250778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373">
        <f t="shared" si="5"/>
        <v>214274564</v>
      </c>
      <c r="D101" s="860">
        <f>8163648-2868694+281775+160844+234715-1216730+922188+722422+418841+101156</f>
        <v>6920165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214274564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59">
        <f>SUM(D102:F102)</f>
        <v>1196861314</v>
      </c>
      <c r="D102" s="861">
        <f>408709299+107725-6192766+8896325+96499-4800000+156702535+1660697+19544478+21732876+21199039+10530986-14122</f>
        <v>638173571</v>
      </c>
      <c r="E102" s="173">
        <f>41258155-14357224-3876450</f>
        <v>23024481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1196861314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49000000</v>
      </c>
      <c r="D103" s="861">
        <f>56500000-3000000-4500000</f>
        <v>49000000</v>
      </c>
      <c r="E103" s="173"/>
      <c r="F103" s="173"/>
      <c r="H103" s="336">
        <f>'1.2.sz.mell. '!C103+'1.3.sz.mell.'!C103+'1.4.sz.mell. '!C104+'1.5.sz.mell.'!C104</f>
        <v>49000000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258604322</v>
      </c>
      <c r="D104" s="861">
        <f>SUM(D105:D116)</f>
        <v>258567999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258604322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24580953</v>
      </c>
      <c r="D107" s="861">
        <f>24566831+14122</f>
        <v>24580953</v>
      </c>
      <c r="E107" s="173"/>
      <c r="F107" s="173"/>
      <c r="H107" s="336">
        <f>'1.2.sz.mell. '!C107+'1.3.sz.mell.'!C107+'1.4.sz.mell. '!C108+'1.5.sz.mell.'!C108</f>
        <v>24580953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373">
        <f t="shared" si="7"/>
        <v>81217123</v>
      </c>
      <c r="D117" s="256">
        <f>SUM(D118:D119)</f>
        <v>81217123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81217123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373">
        <f t="shared" si="7"/>
        <v>373295</v>
      </c>
      <c r="D118" s="861">
        <f>10000000-8622933+2854876-254000-2206257+540000+13433386-939589-2276958-8283760+630160-4501630</f>
        <v>373295</v>
      </c>
      <c r="E118" s="173"/>
      <c r="F118" s="859"/>
      <c r="H118" s="336">
        <f>'1.2.sz.mell. '!C118+'1.3.sz.mell.'!C118+'1.4.sz.mell. '!C119+'1.5.sz.mell.'!C119</f>
        <v>373295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2906962857</v>
      </c>
      <c r="D120" s="267">
        <f>+D121+D123+D125</f>
        <v>2828600598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2906962857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373">
        <f t="shared" si="5"/>
        <v>962678806</v>
      </c>
      <c r="D121" s="862">
        <f>535995745+200000+18112206+3010000+254000+2425-103156039+16979802+163950980+242480422+7404828+900400</f>
        <v>886134769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962678806</v>
      </c>
      <c r="I121" s="337">
        <f t="shared" si="6"/>
        <v>0</v>
      </c>
      <c r="K121" s="929"/>
    </row>
    <row r="122" spans="1:11" ht="12" customHeight="1" thickBot="1" x14ac:dyDescent="0.3">
      <c r="A122" s="12" t="s">
        <v>93</v>
      </c>
      <c r="B122" s="9" t="s">
        <v>299</v>
      </c>
      <c r="C122" s="373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373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59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5974170958</v>
      </c>
      <c r="D134" s="267">
        <f>+D99+D120</f>
        <v>3919300714</v>
      </c>
      <c r="E134" s="112">
        <f>+E99+E120</f>
        <v>220965115</v>
      </c>
      <c r="F134" s="112">
        <f>+F99+F120</f>
        <v>1833905129</v>
      </c>
      <c r="H134" s="336">
        <f>'1.2.sz.mell. '!C134+'1.3.sz.mell.'!C134+'1.4.sz.mell. '!C135+'1.5.sz.mell.'!C135</f>
        <v>5974170958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1028491534</v>
      </c>
      <c r="D135" s="267">
        <f>+D136+D137+D138</f>
        <v>1028491534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1028491534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1003497787</v>
      </c>
      <c r="D137" s="101">
        <f>850000000+153497787</f>
        <v>1003497787</v>
      </c>
      <c r="E137" s="101"/>
      <c r="F137" s="101"/>
      <c r="H137" s="336">
        <f>'1.2.sz.mell. '!C137+'1.3.sz.mell.'!C137+'1.4.sz.mell. '!C138+'1.5.sz.mell.'!C138</f>
        <v>1003497787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6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6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1077458284</v>
      </c>
      <c r="D159" s="278">
        <f>+D135+D139+D146+D151+D157+D158</f>
        <v>1077458284</v>
      </c>
      <c r="E159" s="194">
        <f>+E135+E139+E146+E151+E157+E158</f>
        <v>0</v>
      </c>
      <c r="F159" s="1117">
        <f>+F135+F139+F146+F151+F157+F158</f>
        <v>0</v>
      </c>
      <c r="G159" s="195"/>
      <c r="H159" s="336">
        <f>'1.2.sz.mell. '!C159+'1.3.sz.mell.'!C159+'1.4.sz.mell. '!C160+'1.5.sz.mell.'!C160</f>
        <v>1077458284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7051629242</v>
      </c>
      <c r="D160" s="278">
        <f>+D134+D159</f>
        <v>4996758998</v>
      </c>
      <c r="E160" s="194">
        <f>+E134+E159</f>
        <v>220965115</v>
      </c>
      <c r="F160" s="1117">
        <f>+F134+F159</f>
        <v>1833905129</v>
      </c>
      <c r="H160" s="336">
        <f>'1.2.sz.mell. '!C160+'1.3.sz.mell.'!C160+'1.4.sz.mell. '!C161+'1.5.sz.mell.'!C161</f>
        <v>7051629242</v>
      </c>
      <c r="I160" s="336">
        <f t="shared" si="6"/>
        <v>0</v>
      </c>
    </row>
    <row r="161" spans="1:6" x14ac:dyDescent="0.25">
      <c r="A161" s="1416" t="s">
        <v>308</v>
      </c>
      <c r="B161" s="1416"/>
      <c r="C161" s="1416"/>
    </row>
    <row r="162" spans="1:6" ht="15" customHeight="1" thickBot="1" x14ac:dyDescent="0.3">
      <c r="A162" s="1413" t="s">
        <v>117</v>
      </c>
      <c r="B162" s="1413"/>
      <c r="C162" s="1019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25.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29"/>
    </row>
    <row r="167" spans="1:6" x14ac:dyDescent="0.25">
      <c r="C167" s="1398">
        <f>C160-C94</f>
        <v>0</v>
      </c>
    </row>
  </sheetData>
  <mergeCells count="9">
    <mergeCell ref="A1:C1"/>
    <mergeCell ref="A162:B162"/>
    <mergeCell ref="A7:C7"/>
    <mergeCell ref="A95:C95"/>
    <mergeCell ref="A96:B96"/>
    <mergeCell ref="A161:C161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CONCATENATE("13. melléklet ",ALAPADATOK!A7," ",ALAPADATOK!B7," ",ALAPADATOK!C7," ",ALAPADATOK!D7," ",ALAPADATOK!E7," ",ALAPADATOK!F7," ",ALAPADATOK!G7," ",ALAPADATOK!H7)</f>
        <v>13. melléklet a .. / 2022. ( ……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49" t="s">
        <v>1076</v>
      </c>
      <c r="B3" s="1449"/>
      <c r="C3" s="1449"/>
      <c r="D3" s="1449"/>
      <c r="E3" s="1449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49" t="s">
        <v>790</v>
      </c>
      <c r="B5" s="1449"/>
      <c r="C5" s="1449"/>
      <c r="D5" s="1449"/>
      <c r="E5" s="1449"/>
      <c r="F5" s="823"/>
    </row>
    <row r="6" spans="1:6" ht="14.25" thickBot="1" x14ac:dyDescent="0.3">
      <c r="A6" s="733"/>
      <c r="B6" s="733"/>
      <c r="C6" s="733"/>
      <c r="D6" s="1450" t="s">
        <v>502</v>
      </c>
      <c r="E6" s="1450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1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5" t="s">
        <v>950</v>
      </c>
      <c r="B27" s="1455"/>
      <c r="C27" s="1455"/>
      <c r="D27" s="1455"/>
      <c r="E27" s="1455"/>
    </row>
    <row r="28" spans="1:6" ht="14.25" thickBot="1" x14ac:dyDescent="0.3">
      <c r="A28" s="733"/>
      <c r="B28" s="733"/>
      <c r="C28" s="733"/>
      <c r="D28" s="1456" t="s">
        <v>502</v>
      </c>
      <c r="E28" s="1456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3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3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25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CONCATENATE("8.6. melléklet ",ALAPADATOK!A7," ",ALAPADATOK!B7," ",ALAPADATOK!C7," ",ALAPADATOK!D7," ",ALAPADATOK!E7," ",ALAPADATOK!F7," ",ALAPADATOK!G7," ",ALAPADATOK!H7)</f>
        <v>8.6. melléklet a .. / 2022. ( ……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55" t="s">
        <v>951</v>
      </c>
      <c r="B3" s="1455"/>
      <c r="C3" s="1455"/>
      <c r="D3" s="1455"/>
      <c r="E3" s="1455"/>
      <c r="F3" s="823"/>
    </row>
    <row r="4" spans="1:6" ht="14.25" thickBot="1" x14ac:dyDescent="0.3">
      <c r="A4" s="733"/>
      <c r="B4" s="733"/>
      <c r="C4" s="733"/>
      <c r="D4" s="1456" t="s">
        <v>502</v>
      </c>
      <c r="E4" s="1456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3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3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55" t="s">
        <v>789</v>
      </c>
      <c r="B25" s="1455"/>
      <c r="C25" s="1455"/>
      <c r="D25" s="1455"/>
      <c r="E25" s="1455"/>
    </row>
    <row r="26" spans="1:6" ht="14.25" thickBot="1" x14ac:dyDescent="0.3">
      <c r="A26" s="733"/>
      <c r="B26" s="733"/>
      <c r="C26" s="733"/>
      <c r="D26" s="1456" t="s">
        <v>502</v>
      </c>
      <c r="E26" s="1456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3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3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B19" sqref="B19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57" t="str">
        <f>CONCATENATE("4. melléklet"," ",ALAPADATOK!A7," ",ALAPADATOK!B7," ",ALAPADATOK!C7," ",ALAPADATOK!D7," ",ALAPADATOK!E7," ",ALAPADATOK!F7," ",ALAPADATOK!G7," ",ALAPADATOK!H7)</f>
        <v>4. melléklet a .. / 2022. ( …… ) önkormányzati rendelethez</v>
      </c>
      <c r="B1" s="1457"/>
      <c r="C1" s="1457"/>
    </row>
    <row r="2" spans="1:6" x14ac:dyDescent="0.2">
      <c r="A2" s="1285"/>
      <c r="B2" s="1285"/>
      <c r="C2" s="1285"/>
    </row>
    <row r="3" spans="1:6" s="1" customFormat="1" ht="16.5" customHeight="1" thickBot="1" x14ac:dyDescent="0.25">
      <c r="A3" s="1423" t="s">
        <v>1032</v>
      </c>
      <c r="B3" s="1423"/>
      <c r="C3" s="1423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1634262294</v>
      </c>
      <c r="D7" s="342">
        <f>'9.1.1. sz. mell. '!C7+'9.1.2. sz. mell.'!C7</f>
        <v>1634262294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1378">
        <f>295696597+1181580-687600</f>
        <v>296190577</v>
      </c>
      <c r="D8" s="342">
        <f>'9.1.1. sz. mell. '!C8+'9.1.2. sz. mell.'!C8</f>
        <v>296190577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1160">
        <f>254023920+8379000+651710-299550</f>
        <v>262755080</v>
      </c>
      <c r="D9" s="342">
        <f>'9.1.1. sz. mell. '!C9+'9.1.2. sz. mell.'!C9</f>
        <v>262755080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1160">
        <f>SUM(C11:C12)</f>
        <v>828956137</v>
      </c>
      <c r="D10" s="342">
        <f>'9.1.1. sz. mell. '!C10+'9.1.2. sz. mell.'!C10</f>
        <v>828956137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1160">
        <f>635476079-1227663+10429183+1536897-3409510-2397543</f>
        <v>640407443</v>
      </c>
      <c r="D11" s="342">
        <f>'9.1.1. sz. mell. '!C11+'9.1.2. sz. mell.'!C11</f>
        <v>640407443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1160">
        <f>126258794+1334340+75804541-14848981</f>
        <v>188548694</v>
      </c>
      <c r="D12" s="342">
        <f>'9.1.1. sz. mell. '!C12+'9.1.2. sz. mell.'!C12</f>
        <v>188548694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0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862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0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4457224442</v>
      </c>
      <c r="D65" s="342">
        <f>'9.1.1. sz. mell. '!C65+'9.1.2. sz. mell.'!C65</f>
        <v>4457224442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  <c r="D66" s="342">
        <f>'9.1.1. sz. mell. '!C66+'9.1.2. sz. mell.'!C66</f>
        <v>1189060316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0">
        <f>850000000+153497787</f>
        <v>1003497787</v>
      </c>
      <c r="D68" s="342">
        <f>'9.1.1. sz. mell. '!C68+'9.1.2. sz. mell.'!C68</f>
        <v>1003497787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  <c r="D89" s="342">
        <f>'9.1.1. sz. mell. '!C89+'9.1.2. sz. mell.'!C89</f>
        <v>2085518881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6542743323</v>
      </c>
      <c r="D90" s="342">
        <f>'9.1.1. sz. mell. '!C90+'9.1.2. sz. mell.'!C90</f>
        <v>6542743323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60" t="s">
        <v>53</v>
      </c>
      <c r="B92" s="1461"/>
      <c r="C92" s="1462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1078267075</v>
      </c>
      <c r="D93" s="342">
        <f>'9.1.1. sz. mell. '!C92+'9.1.2. sz. mell.'!C93</f>
        <v>1078267075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863">
        <f>47896992+4143150+1130220+576417+2264502+450961+204000</f>
        <v>56666242</v>
      </c>
      <c r="D94" s="342">
        <f>'9.1.1. sz. mell. '!C93+'9.1.2. sz. mell.'!C94</f>
        <v>56666242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860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861">
        <f>408709299+107725+1951101+96499+300000+152229913+670207+19544478+17936098+18447539+3296000</f>
        <v>623288859</v>
      </c>
      <c r="D96" s="342">
        <f>'9.1.1. sz. mell. '!C95+'9.1.2. sz. mell.'!C96</f>
        <v>623288859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1">
        <f>56500000-3000000-4500000</f>
        <v>49000000</v>
      </c>
      <c r="D97" s="342">
        <f>'9.1.1. sz. mell. '!C96+'9.1.2. sz. mell.'!C97</f>
        <v>49000000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1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0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860">
        <f>SUM(C112:C113)</f>
        <v>81217123</v>
      </c>
      <c r="D111" s="342">
        <f>'9.1.1. sz. mell. '!C110+'9.1.2. sz. mell.'!C111</f>
        <v>81217123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861">
        <f>10000000-8622933+2600876-1666257+13433386-939589-2276958-8283760+630160-4501630</f>
        <v>373295</v>
      </c>
      <c r="D112" s="342">
        <f>'9.1.1. sz. mell. '!C111+'9.1.2. sz. mell.'!C112</f>
        <v>373295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862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3894771928</v>
      </c>
      <c r="D128" s="342">
        <f>'9.1.1. sz. mell. '!C127+'9.1.2. sz. mell.'!C128</f>
        <v>3894771928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1028491534</v>
      </c>
      <c r="D129" s="342">
        <f>'9.1.1. sz. mell. '!C128+'9.1.2. sz. mell.'!C129</f>
        <v>1028491534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860">
        <f>850000000+153497787</f>
        <v>1003497787</v>
      </c>
      <c r="D131" s="342">
        <f>'9.1.1. sz. mell. '!C130+'9.1.2. sz. mell.'!C131</f>
        <v>1003497787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1077458284</v>
      </c>
      <c r="D153" s="342">
        <f>'9.1.1. sz. mell. '!C152+'9.1.2. sz. mell.'!C153</f>
        <v>1077458284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4972230212</v>
      </c>
      <c r="D154" s="342">
        <f>'9.1.1. sz. mell. '!C153+'9.1.2. sz. mell.'!C154</f>
        <v>4972230212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58" t="s">
        <v>465</v>
      </c>
      <c r="B156" s="1459"/>
      <c r="C156" s="1309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58" t="s">
        <v>754</v>
      </c>
      <c r="B157" s="1459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17" sqref="B17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57" t="str">
        <f>CONCATENATE("5. melléklet"," ",ALAPADATOK!A7," ",ALAPADATOK!B7," ",ALAPADATOK!C7," ",ALAPADATOK!D7," ",ALAPADATOK!E7," ",ALAPADATOK!F7," ",ALAPADATOK!G7," ",ALAPADATOK!H7)</f>
        <v>5. melléklet a .. / 2022. ( …… ) önkormányzati rendelethez</v>
      </c>
      <c r="B1" s="1457"/>
      <c r="C1" s="1457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3" t="s">
        <v>1034</v>
      </c>
      <c r="B3" s="1423"/>
      <c r="C3" s="1423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1326034743</v>
      </c>
    </row>
    <row r="8" spans="1:6" s="38" customFormat="1" ht="12" customHeight="1" x14ac:dyDescent="0.2">
      <c r="A8" s="198" t="s">
        <v>86</v>
      </c>
      <c r="B8" s="184" t="s">
        <v>182</v>
      </c>
      <c r="C8" s="1402">
        <f>295696597+1181580-687600</f>
        <v>296190577</v>
      </c>
    </row>
    <row r="9" spans="1:6" s="39" customFormat="1" ht="12" customHeight="1" x14ac:dyDescent="0.2">
      <c r="A9" s="199" t="s">
        <v>87</v>
      </c>
      <c r="B9" s="185" t="s">
        <v>183</v>
      </c>
      <c r="C9" s="1158">
        <f>254023920+8379000+651710-299550</f>
        <v>262755080</v>
      </c>
    </row>
    <row r="10" spans="1:6" s="39" customFormat="1" ht="22.5" x14ac:dyDescent="0.2">
      <c r="A10" s="199" t="s">
        <v>88</v>
      </c>
      <c r="B10" s="185" t="s">
        <v>766</v>
      </c>
      <c r="C10" s="1158">
        <f>SUM(C11:C12)</f>
        <v>520728586</v>
      </c>
    </row>
    <row r="11" spans="1:6" s="39" customFormat="1" ht="12" customHeight="1" x14ac:dyDescent="0.2">
      <c r="A11" s="199" t="s">
        <v>764</v>
      </c>
      <c r="B11" s="185" t="s">
        <v>767</v>
      </c>
      <c r="C11" s="1158">
        <f>323323762+10429183+824490-2397543</f>
        <v>332179892</v>
      </c>
    </row>
    <row r="12" spans="1:6" s="39" customFormat="1" ht="12" customHeight="1" x14ac:dyDescent="0.2">
      <c r="A12" s="199" t="s">
        <v>765</v>
      </c>
      <c r="B12" s="185" t="s">
        <v>768</v>
      </c>
      <c r="C12" s="1160">
        <f>126258794+1334340+75804541-14848981</f>
        <v>188548694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0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862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860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3731820648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0">
        <f>850000000+153497787</f>
        <v>1003497787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5817339529</v>
      </c>
      <c r="D90" s="33"/>
    </row>
    <row r="91" spans="1:4" s="32" customFormat="1" ht="16.5" customHeight="1" thickBot="1" x14ac:dyDescent="0.25">
      <c r="A91" s="1460" t="s">
        <v>53</v>
      </c>
      <c r="B91" s="1461"/>
      <c r="C91" s="1462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912641493</v>
      </c>
    </row>
    <row r="93" spans="1:4" ht="12" customHeight="1" x14ac:dyDescent="0.2">
      <c r="A93" s="206" t="s">
        <v>86</v>
      </c>
      <c r="B93" s="7" t="s">
        <v>46</v>
      </c>
      <c r="C93" s="863">
        <f>44363489+894000+576417+2264502-660000+204000</f>
        <v>47642408</v>
      </c>
    </row>
    <row r="94" spans="1:4" ht="12" customHeight="1" x14ac:dyDescent="0.2">
      <c r="A94" s="199" t="s">
        <v>87</v>
      </c>
      <c r="B94" s="5" t="s">
        <v>135</v>
      </c>
      <c r="C94" s="860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861">
        <f>317246579+107725+1951101+134755109+1223520+18944478+17936098-8000000+3296000</f>
        <v>487460610</v>
      </c>
    </row>
    <row r="96" spans="1:4" ht="12" customHeight="1" x14ac:dyDescent="0.2">
      <c r="A96" s="199" t="s">
        <v>89</v>
      </c>
      <c r="B96" s="8" t="s">
        <v>136</v>
      </c>
      <c r="C96" s="861">
        <f>56500000-3000000-4500000</f>
        <v>49000000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860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81217123</v>
      </c>
    </row>
    <row r="111" spans="1:3" ht="12" customHeight="1" x14ac:dyDescent="0.2">
      <c r="A111" s="200" t="s">
        <v>411</v>
      </c>
      <c r="B111" s="5" t="s">
        <v>458</v>
      </c>
      <c r="C111" s="861">
        <f>10000000-8622933+2854876-254000-1666257+13433386-939589-2276958-8283760+630160-4501630</f>
        <v>373295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862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3521277521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1026823534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860">
        <f>850000000+153497787</f>
        <v>1003497787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1075790284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4597067805</v>
      </c>
      <c r="D153" s="766"/>
    </row>
    <row r="154" spans="1:4" ht="14.25" customHeight="1" thickBot="1" x14ac:dyDescent="0.25">
      <c r="A154" s="97" t="s">
        <v>465</v>
      </c>
      <c r="B154" s="98"/>
      <c r="C154" s="1309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C96" sqref="C96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57" t="str">
        <f>CONCATENATE("10. melléklet"," ",ALAPADATOK!A7," ",ALAPADATOK!B7," ",ALAPADATOK!C7," ",ALAPADATOK!D7," ",ALAPADATOK!E7," ",ALAPADATOK!F7," ",ALAPADATOK!G7," ",ALAPADATOK!H7)</f>
        <v>10. melléklet a .. / 2022. ( …… ) önkormányzati rendelethez</v>
      </c>
      <c r="B1" s="1457"/>
      <c r="C1" s="1457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3" t="s">
        <v>1035</v>
      </c>
      <c r="B3" s="1423"/>
      <c r="C3" s="1423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8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8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60" t="s">
        <v>53</v>
      </c>
      <c r="B92" s="1461"/>
      <c r="C92" s="1462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377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0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87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06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07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378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58" t="s">
        <v>754</v>
      </c>
      <c r="B156" s="1459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21" sqref="B2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63" t="str">
        <f>CONCATENATE("6. melléklet"," ",ALAPADATOK!A7," ",ALAPADATOK!B7," ",ALAPADATOK!C7," ",ALAPADATOK!D7," ",ALAPADATOK!E7," ",ALAPADATOK!F7," ",ALAPADATOK!G7," ",ALAPADATOK!H7)</f>
        <v>6. melléklet a .. / 2022. ( …… ) önkormányzati rendelethez</v>
      </c>
      <c r="B1" s="1463"/>
      <c r="C1" s="1463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23" t="s">
        <v>1036</v>
      </c>
      <c r="B3" s="1423"/>
      <c r="C3" s="1423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255580192</v>
      </c>
      <c r="D37" s="351">
        <f>'9.2.1. sz. mell'!C37+'9.2.2. sz.  mell'!C39+'9.2.3. sz. mell.'!C37</f>
        <v>255580192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851">
        <f>228893476-3278940+9870431+36785200+23000+1270000+34000-18233674</f>
        <v>255363493</v>
      </c>
      <c r="D40" s="351">
        <f>'9.2.1. sz. mell'!C40+'9.2.2. sz.  mell'!C42+'9.2.3. sz. mell.'!C40</f>
        <v>255363493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301782640</v>
      </c>
      <c r="D41" s="351">
        <f>'9.2.1. sz. mell'!C41+'9.2.2. sz.  mell'!C43+'9.2.3. sz. mell.'!C41</f>
        <v>301782640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299017441</v>
      </c>
      <c r="D45" s="351">
        <f>'9.2.1. sz. mell'!C45+'9.2.2. sz.  mell'!C47+'9.2.3. sz. mell.'!C45</f>
        <v>299017441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49">
        <f>166097510-1748000+8563501+34000</f>
        <v>172947011</v>
      </c>
      <c r="D46" s="351">
        <f>'9.2.1. sz. mell'!C46+'9.2.2. sz.  mell'!C48+'9.2.3. sz. mell.'!C46</f>
        <v>172947011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5">
        <f>41258155-1260000+72899034+23000+1270000-18233674</f>
        <v>95956515</v>
      </c>
      <c r="D48" s="351">
        <f>'9.2.1. sz. mell'!C48+'9.2.2. sz.  mell'!C50+'9.2.3. sz. mell.'!C48</f>
        <v>95956515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301782640</v>
      </c>
      <c r="D57" s="351">
        <f>'9.2.1. sz. mell'!C57+'9.2.2. sz.  mell'!C59+'9.2.3. sz. mell.'!C57</f>
        <v>301782640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58" t="s">
        <v>465</v>
      </c>
      <c r="B59" s="1459"/>
      <c r="C59" s="1309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08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B20" sqref="B2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63" t="str">
        <f>CONCATENATE("7. melléklet"," ",ALAPADATOK!A7," ",ALAPADATOK!B7," ",ALAPADATOK!C7," ",ALAPADATOK!D7," ",ALAPADATOK!E7," ",ALAPADATOK!F7," ",ALAPADATOK!G7," ",ALAPADATOK!H7)</f>
        <v>7. melléklet a .. / 2022. ( …… ) önkormányzati rendelethez</v>
      </c>
      <c r="B1" s="1463"/>
      <c r="C1" s="1463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3" t="s">
        <v>1037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24269521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6">
        <f>4174296+36785200+23000+1270000+34000-18233674</f>
        <v>24052822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69971969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69183869</v>
      </c>
    </row>
    <row r="46" spans="1:3" ht="12" customHeight="1" x14ac:dyDescent="0.2">
      <c r="A46" s="212" t="s">
        <v>86</v>
      </c>
      <c r="B46" s="6" t="s">
        <v>46</v>
      </c>
      <c r="C46" s="849">
        <f>7226713+34000</f>
        <v>7260713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5">
        <f>5246895+72499034+23000+1270000-18233674</f>
        <v>60805255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69971969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3" t="str">
        <f>CONCATENATE("9.2.2. melléklet ",ALAPADATOK!A7," ",ALAPADATOK!B7," ",ALAPADATOK!C7," ",ALAPADATOK!D7," ",ALAPADATOK!E7," ",ALAPADATOK!F7," ",ALAPADATOK!G7," ",ALAPADATOK!H7)</f>
        <v>9.2.2. melléklet a .. / 2022. ( ……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3" t="str">
        <f>CONCATENATE("16. melléklet"," ",ALAPADATOK!A7," ",ALAPADATOK!B7," ",ALAPADATOK!C7," ",ALAPADATOK!D7," ",ALAPADATOK!E7," ",ALAPADATOK!F7," ",ALAPADATOK!G7," ",ALAPADATOK!H7)</f>
        <v>16. melléklet a .. / 2022. ( …… ) önkormányzati rendelethez</v>
      </c>
      <c r="B1" s="1463"/>
      <c r="C1" s="1463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3" t="s">
        <v>1038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77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58" t="s">
        <v>465</v>
      </c>
      <c r="B59" s="1459"/>
      <c r="C59" s="1309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topLeftCell="A31" workbookViewId="0">
      <selection activeCell="C49" sqref="C49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customWidth="1"/>
    <col min="6" max="6" width="9.83203125" style="793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63" t="str">
        <f>CONCATENATE("13. melléklet"," ",ALAPADATOK!A7," ",ALAPADATOK!B7," ",ALAPADATOK!C7," ",ALAPADATOK!D7," ",ALAPADATOK!E7," ",ALAPADATOK!F7," ",ALAPADATOK!G7," ",ALAPADATOK!H7)</f>
        <v>13.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23" t="s">
        <v>1039</v>
      </c>
      <c r="B3" s="1423"/>
      <c r="C3" s="1423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49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0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0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58" t="s">
        <v>465</v>
      </c>
      <c r="B55" s="1459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topLeftCell="A7" zoomScale="115" zoomScaleNormal="115" zoomScaleSheetLayoutView="100" workbookViewId="0">
      <selection activeCell="B10" sqref="B10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CONCATENATE("2. melléklet"," ",ALAPADATOK!A7," ",ALAPADATOK!B7," ",ALAPADATOK!C7," ",ALAPADATOK!D7," ",ALAPADATOK!E7," ",ALAPADATOK!F7," ",ALAPADATOK!G7," ",ALAPADATOK!H7)</f>
        <v>2. melléklet a .. / 2022. ( …… ) önkormányzati rendelethez</v>
      </c>
      <c r="B1" s="1412"/>
      <c r="C1" s="1412"/>
    </row>
    <row r="2" spans="1:6" s="811" customFormat="1" x14ac:dyDescent="0.25">
      <c r="A2" s="690"/>
      <c r="B2" s="690"/>
      <c r="C2" s="690"/>
    </row>
    <row r="3" spans="1:6" s="671" customFormat="1" x14ac:dyDescent="0.25">
      <c r="A3" s="1417" t="str">
        <f>CONCATENATE(ALAPADATOK!A3)</f>
        <v>Tiszavasvári Város Önkormányzat</v>
      </c>
      <c r="B3" s="1417"/>
      <c r="C3" s="1417"/>
    </row>
    <row r="4" spans="1:6" s="671" customFormat="1" x14ac:dyDescent="0.25">
      <c r="A4" s="1416" t="str">
        <f>CONCATENATE(ALAPADATOK!D7," ÉVI KÖLTSÉGVETÉS")</f>
        <v>2022. ÉVI KÖLTSÉGVETÉS</v>
      </c>
      <c r="B4" s="1416"/>
      <c r="C4" s="1416"/>
    </row>
    <row r="5" spans="1:6" s="671" customFormat="1" x14ac:dyDescent="0.25">
      <c r="A5" s="1416" t="s">
        <v>715</v>
      </c>
      <c r="B5" s="1416"/>
      <c r="C5" s="1416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809"/>
      <c r="E7" s="809"/>
      <c r="F7" s="809"/>
    </row>
    <row r="8" spans="1:6" ht="15.95" customHeight="1" thickBot="1" x14ac:dyDescent="0.3">
      <c r="A8" s="1413" t="s">
        <v>115</v>
      </c>
      <c r="B8" s="1413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1326034743</v>
      </c>
      <c r="D11" s="267">
        <f>+D12+D13+D14+D17+D18+D19</f>
        <v>1326034743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157">
        <f t="shared" si="0"/>
        <v>296190577</v>
      </c>
      <c r="D12" s="862">
        <f>295696597+1181580-687600</f>
        <v>296190577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841">
        <f t="shared" si="0"/>
        <v>262755080</v>
      </c>
      <c r="D13" s="860">
        <f>254023920+8379000+651710-299550</f>
        <v>262755080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841">
        <f t="shared" si="0"/>
        <v>520728586</v>
      </c>
      <c r="D14" s="860">
        <f>SUM(D15:D16)</f>
        <v>520728586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841">
        <f t="shared" si="0"/>
        <v>332179892</v>
      </c>
      <c r="D15" s="860">
        <f>323323762+10429183+824490-2397543</f>
        <v>332179892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841">
        <f t="shared" si="0"/>
        <v>188548694</v>
      </c>
      <c r="D16" s="859">
        <f>126258794+1334340+75804541-14848981</f>
        <v>188548694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289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0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148179220</v>
      </c>
      <c r="D41" s="267">
        <f>SUM(D42:D52)</f>
        <v>38146096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61194880</v>
      </c>
      <c r="D43" s="860">
        <f>15786984-3004139-2500000</f>
        <v>10282845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3837537840</v>
      </c>
      <c r="D69" s="270">
        <f>+D11+D20+D27+D34+D41+D53+D59+D64</f>
        <v>3727504716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1003497787</v>
      </c>
      <c r="D72" s="860">
        <f>850000000+153497787</f>
        <v>1003497787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2092263263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5929801103</v>
      </c>
      <c r="D94" s="270">
        <f>+D69+D93</f>
        <v>5813023597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14" t="s">
        <v>44</v>
      </c>
      <c r="B95" s="1414"/>
      <c r="C95" s="1414"/>
      <c r="D95" s="170"/>
      <c r="E95" s="170"/>
      <c r="F95" s="809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1865739371</v>
      </c>
      <c r="D99" s="275">
        <f>+D100+D101+D102+D103+D104+D117</f>
        <v>855010284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289">
        <f t="shared" si="3"/>
        <v>603806075</v>
      </c>
      <c r="D100" s="285">
        <f>44363489-6630792+1037700-20730155-8272054+839690+4660788+6957306+1040000</f>
        <v>23265972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290">
        <f t="shared" si="3"/>
        <v>99764155</v>
      </c>
      <c r="D101" s="256">
        <f>6548579-1030563+160844-3141046-1562315+102025+722422+283862+101156</f>
        <v>2184964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791615111</v>
      </c>
      <c r="D102" s="259">
        <f>317246579+107725-3431322+10000-5100000+131465820+5923613+18944478+19059848-11411500+4460074-14357224-3876450</f>
        <v>459041641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49000000</v>
      </c>
      <c r="D103" s="259">
        <f>56500000-3000000-4500000</f>
        <v>49000000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81217123</v>
      </c>
      <c r="D117" s="256">
        <f>SUM(D118:D119)</f>
        <v>81217123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290">
        <f t="shared" si="3"/>
        <v>373295</v>
      </c>
      <c r="D118" s="861">
        <f>10000000-8622933+2854876-254000-2206257+540000+13433386-939589-2276958-8283760+630160-4501630</f>
        <v>373295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2619259478</v>
      </c>
      <c r="D120" s="267">
        <f>+D121+D123+D125</f>
        <v>2613833066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289">
        <f>SUM(D121:F121)</f>
        <v>727714842</v>
      </c>
      <c r="D121" s="271">
        <f>438159730+200000+50000+1201000+254000+2425-141638515+16426488+163950980+242099422+1000000+900400</f>
        <v>722605930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4484998849</v>
      </c>
      <c r="D134" s="267">
        <f>+D99+D120</f>
        <v>3468843350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1026823534</v>
      </c>
      <c r="D135" s="267">
        <f>+D136+D137+D138</f>
        <v>1026823534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1003497787</v>
      </c>
      <c r="D137" s="101">
        <f>850000000+153497787</f>
        <v>1003497787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6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6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1075790284</v>
      </c>
      <c r="D159" s="278">
        <f>+D135+D139+D146+D151+D157+D158</f>
        <v>1075790284</v>
      </c>
      <c r="E159" s="194">
        <f>+E135+E139+E146+E151+E157+E158</f>
        <v>0</v>
      </c>
      <c r="F159" s="1117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5560789133</v>
      </c>
      <c r="D160" s="278">
        <f>+D134+D159</f>
        <v>4544633634</v>
      </c>
      <c r="E160" s="194">
        <f>+E134+E159</f>
        <v>14379609</v>
      </c>
      <c r="F160" s="1117">
        <f>+F134+F159</f>
        <v>1001775890</v>
      </c>
    </row>
    <row r="161" spans="1:6" x14ac:dyDescent="0.25">
      <c r="A161" s="1416" t="s">
        <v>308</v>
      </c>
      <c r="B161" s="1416"/>
      <c r="C161" s="1416"/>
    </row>
    <row r="162" spans="1:6" ht="9.75" customHeight="1" thickBot="1" x14ac:dyDescent="0.3">
      <c r="A162" s="1413" t="s">
        <v>117</v>
      </c>
      <c r="B162" s="1413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topLeftCell="A31" workbookViewId="0">
      <selection activeCell="C38" sqref="C3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CONCATENATE("14. melléklet"," ",ALAPADATOK!A7," ",ALAPADATOK!B7," ",ALAPADATOK!C7," ",ALAPADATOK!D7," ",ALAPADATOK!E7," ",ALAPADATOK!F7," ",ALAPADATOK!G7," ",ALAPADATOK!H7)</f>
        <v>14.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3" customHeight="1" thickBot="1" x14ac:dyDescent="0.25">
      <c r="A3" s="1423" t="s">
        <v>1040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49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0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0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58" t="s">
        <v>465</v>
      </c>
      <c r="B56" s="1459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13" workbookViewId="0">
      <selection activeCell="C38" sqref="C38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63" t="str">
        <f>CONCATENATE("9.3.2. melléklet"," ",ALAPADATOK!A7," ",ALAPADATOK!B7," ",ALAPADATOK!C7," ",ALAPADATOK!D7," ",ALAPADATOK!E7," ",ALAPADATOK!F7," ",ALAPADATOK!G7," ",ALAPADATOK!H7)</f>
        <v>9.3.2. melléklet a .. / 2022. ( …… ) önkormányzati rendelethez</v>
      </c>
      <c r="B1" s="1463"/>
      <c r="C1" s="1463"/>
    </row>
    <row r="2" spans="1:3" ht="16.5" thickBot="1" x14ac:dyDescent="0.25">
      <c r="A2" s="76"/>
      <c r="B2" s="78"/>
      <c r="C2" s="957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5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5" t="s">
        <v>25</v>
      </c>
      <c r="B43" s="956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C24" sqref="C24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63" t="str">
        <f>CONCATENATE("8. melléklet"," ",ALAPADATOK!A7," ",ALAPADATOK!B7," ",ALAPADATOK!C7," ",ALAPADATOK!D7," ",ALAPADATOK!E7," ",ALAPADATOK!F7," ",ALAPADATOK!G7," ",ALAPADATOK!H7)</f>
        <v>8. melléklet a .. / 2022. ( …… ) önkormányzati rendelethez</v>
      </c>
      <c r="B1" s="1463"/>
      <c r="C1" s="1463"/>
    </row>
    <row r="2" spans="1:16" s="77" customFormat="1" ht="21" customHeight="1" x14ac:dyDescent="0.2">
      <c r="A2" s="76"/>
      <c r="B2" s="78"/>
      <c r="C2" s="954"/>
      <c r="E2" s="793"/>
      <c r="F2" s="793"/>
    </row>
    <row r="3" spans="1:16" s="217" customFormat="1" ht="36" customHeight="1" thickBot="1" x14ac:dyDescent="0.25">
      <c r="A3" s="1423" t="s">
        <v>1077</v>
      </c>
      <c r="B3" s="1423"/>
      <c r="C3" s="1423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14229732</v>
      </c>
      <c r="E7" s="499">
        <f>'9.4.1. sz. mell EKIK'!C7+'9.4.2. sz. mell EKIK'!C7</f>
        <v>14229732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44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850">
        <f>11296835-2500000</f>
        <v>8796835</v>
      </c>
      <c r="E9" s="499">
        <f>'9.4.1. sz. mell EKIK'!C9+'9.4.2. sz. mell EKIK'!C9</f>
        <v>8796835</v>
      </c>
      <c r="F9" s="499">
        <f t="shared" si="0"/>
        <v>0</v>
      </c>
      <c r="K9" s="217"/>
      <c r="L9" s="217"/>
      <c r="M9" s="1344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75811769</v>
      </c>
      <c r="E36" s="499">
        <f>'9.4.1. sz. mell EKIK'!C36+'9.4.2. sz. mell EKIK'!C36</f>
        <v>75811769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+C38+C39+C40</f>
        <v>114214365</v>
      </c>
      <c r="E37" s="499">
        <f>'9.4.1. sz. mell EKIK'!C37+'9.4.2. sz. mell EKIK'!C37</f>
        <v>114214365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111328704-2185107+1201000+1198544-697865+1+1181260-3211898+2500000+2615630</f>
        <v>113930269</v>
      </c>
      <c r="E40" s="499">
        <f>'9.4.1. sz. mell EKIK'!C40+'9.4.2. sz. mell EKIK'!C40</f>
        <v>113930269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1">
        <f>+C36+C37</f>
        <v>190026134</v>
      </c>
      <c r="E41" s="499">
        <f>'9.4.1. sz. mell EKIK'!C41+'9.4.2. sz. mell EKIK'!C41</f>
        <v>190026134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60" t="s">
        <v>53</v>
      </c>
      <c r="B44" s="1461"/>
      <c r="C44" s="1462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127898866</v>
      </c>
      <c r="E45" s="499">
        <f>'9.4.1. sz. mell EKIK'!C45+'9.4.2. sz. mell EKIK'!C45</f>
        <v>127898866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49">
        <f>56715808-1383600+1037700+692866+450000</f>
        <v>57512774</v>
      </c>
      <c r="E46" s="499">
        <f>'9.4.1. sz. mell EKIK'!C46+'9.4.2. sz. mell EKIK'!C46</f>
        <v>57512774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0">
        <f>9106816-214458+160844+107394+101156</f>
        <v>9261752</v>
      </c>
      <c r="E47" s="499">
        <f>'9.4.1. sz. mell EKIK'!C47+'9.4.2. sz. mell EKIK'!C47</f>
        <v>9261752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5">
        <f>61195180-587049+10000-697865+1204074-8972</f>
        <v>61115368</v>
      </c>
      <c r="E48" s="499">
        <f>'9.4.1. sz. mell EKIK'!C48+'9.4.2. sz. mell EKIK'!C48</f>
        <v>61115368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855">
        <v>8972</v>
      </c>
      <c r="E50" s="499">
        <f>'9.4.1. sz. mell EKIK'!C50+'9.4.2. sz. mell EKIK'!C50</f>
        <v>8972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62127268</v>
      </c>
      <c r="E51" s="499">
        <f>'9.4.1. sz. mell EKIK'!C51+'9.4.2. sz. mell EKIK'!C51</f>
        <v>62127268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49">
        <f>58071807+1201000+112339+381000-1238693+860400</f>
        <v>59387853</v>
      </c>
      <c r="E52" s="499">
        <f>'9.4.1. sz. mell EKIK'!C52+'9.4.2. sz. mell EKIK'!C52</f>
        <v>59387853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0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190026134</v>
      </c>
      <c r="E57" s="499">
        <f>'9.4.1. sz. mell EKIK'!C57+'9.4.2. sz. mell EKIK'!C57</f>
        <v>190026134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66" t="s">
        <v>465</v>
      </c>
      <c r="B59" s="1467"/>
      <c r="C59" s="1201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64" t="s">
        <v>952</v>
      </c>
      <c r="B60" s="1465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CONCATENATE("9. melléklet"," ",ALAPADATOK!A7," ",ALAPADATOK!B7," ",ALAPADATOK!C7," ",ALAPADATOK!D7," ",ALAPADATOK!E7," ",ALAPADATOK!F7," ",ALAPADATOK!G7," ",ALAPADATOK!H7)</f>
        <v>9. melléklet a .. / 2022. ( ……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3" customHeight="1" thickBot="1" x14ac:dyDescent="0.25">
      <c r="A3" s="1423" t="s">
        <v>1078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9862850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5">
        <f>10387400-2500000</f>
        <v>7887400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9975188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110550295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104833737-2185107+1201000+1198544-697865+800260+2500000+2615630</f>
        <v>110266199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120525483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60" t="s">
        <v>53</v>
      </c>
      <c r="B44" s="1461"/>
      <c r="C44" s="1462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115211783</v>
      </c>
    </row>
    <row r="46" spans="1:3" ht="12" customHeight="1" x14ac:dyDescent="0.2">
      <c r="A46" s="212" t="s">
        <v>86</v>
      </c>
      <c r="B46" s="6" t="s">
        <v>46</v>
      </c>
      <c r="C46" s="849">
        <f>56250808-1383600+1037700+692866+450000</f>
        <v>57047774</v>
      </c>
    </row>
    <row r="47" spans="1:3" ht="12" customHeight="1" x14ac:dyDescent="0.2">
      <c r="A47" s="212" t="s">
        <v>87</v>
      </c>
      <c r="B47" s="5" t="s">
        <v>135</v>
      </c>
      <c r="C47" s="850">
        <f>8981266-214458+160844+107394+101156</f>
        <v>9136202</v>
      </c>
    </row>
    <row r="48" spans="1:3" ht="12" customHeight="1" x14ac:dyDescent="0.2">
      <c r="A48" s="212" t="s">
        <v>88</v>
      </c>
      <c r="B48" s="5" t="s">
        <v>111</v>
      </c>
      <c r="C48" s="855">
        <f>49098647-587049+10000-697865+1204074-8972</f>
        <v>49018835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855">
        <v>8972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5313700</v>
      </c>
    </row>
    <row r="52" spans="1:6" ht="12" customHeight="1" x14ac:dyDescent="0.2">
      <c r="A52" s="212" t="s">
        <v>92</v>
      </c>
      <c r="B52" s="6" t="s">
        <v>159</v>
      </c>
      <c r="C52" s="849">
        <f>3139962+1201000+112338+860400</f>
        <v>5313700</v>
      </c>
    </row>
    <row r="53" spans="1:6" ht="12" customHeight="1" x14ac:dyDescent="0.2">
      <c r="A53" s="212" t="s">
        <v>93</v>
      </c>
      <c r="B53" s="5" t="s">
        <v>139</v>
      </c>
      <c r="C53" s="1170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120525483</v>
      </c>
    </row>
    <row r="58" spans="1:6" ht="14.25" customHeight="1" thickBot="1" x14ac:dyDescent="0.25">
      <c r="C58" s="585"/>
    </row>
    <row r="59" spans="1:6" x14ac:dyDescent="0.2">
      <c r="A59" s="1466" t="s">
        <v>465</v>
      </c>
      <c r="B59" s="1467"/>
      <c r="C59" s="1201">
        <f>19.75-0.5+0.4</f>
        <v>19.649999999999999</v>
      </c>
      <c r="E59" s="499"/>
      <c r="F59" s="499"/>
    </row>
    <row r="60" spans="1:6" ht="13.5" customHeight="1" thickBot="1" x14ac:dyDescent="0.25">
      <c r="A60" s="1464" t="s">
        <v>952</v>
      </c>
      <c r="B60" s="1465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topLeftCell="A34"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63" t="str">
        <f>CONCATENATE("16. melléklet"," ",ALAPADATOK!A7," ",ALAPADATOK!B7," ",ALAPADATOK!C7," ",ALAPADATOK!D7," ",ALAPADATOK!E7," ",ALAPADATOK!F7," ",ALAPADATOK!G7," ",ALAPADATOK!H7)</f>
        <v>16. melléklet a .. / 2022. ( …… ) önkormányzati rendelethez</v>
      </c>
      <c r="B1" s="1463"/>
      <c r="C1" s="1463"/>
    </row>
    <row r="2" spans="1:8" s="77" customFormat="1" ht="21" customHeight="1" x14ac:dyDescent="0.2">
      <c r="A2" s="76"/>
      <c r="B2" s="78"/>
      <c r="C2" s="957"/>
    </row>
    <row r="3" spans="1:8" s="217" customFormat="1" ht="36.75" customHeight="1" thickBot="1" x14ac:dyDescent="0.25">
      <c r="A3" s="1423" t="s">
        <v>1079</v>
      </c>
      <c r="B3" s="1423"/>
      <c r="C3" s="1423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44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44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379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6494967+1+381000-3211898</f>
        <v>3664070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topLeftCell="A28"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CONCATENATE("24. melléklet"," ",ALAPADATOK!A7," ",ALAPADATOK!B7," ",ALAPADATOK!C7," ",ALAPADATOK!D7," ",ALAPADATOK!E7," ",ALAPADATOK!F7," ",ALAPADATOK!G7," ",ALAPADATOK!H7)</f>
        <v>24.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  <c r="E2" s="793"/>
      <c r="F2" s="793"/>
    </row>
    <row r="3" spans="1:6" s="217" customFormat="1" ht="33" customHeight="1" thickBot="1" x14ac:dyDescent="0.25">
      <c r="A3" s="1423" t="s">
        <v>1041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66" t="s">
        <v>465</v>
      </c>
      <c r="B56" s="1467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64" t="s">
        <v>952</v>
      </c>
      <c r="B57" s="1465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CONCATENATE("25. melléklet"," ",ALAPADATOK!A7," ",ALAPADATOK!B7," ",ALAPADATOK!C7," ",ALAPADATOK!D7," ",ALAPADATOK!E7," ",ALAPADATOK!F7," ",ALAPADATOK!G7," ",ALAPADATOK!H7)</f>
        <v>25.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3" customHeight="1" thickBot="1" x14ac:dyDescent="0.25">
      <c r="A3" s="1423" t="s">
        <v>1042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166233753-6383081-28971201-51490300+5293958</f>
        <v>84683129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66" t="s">
        <v>465</v>
      </c>
      <c r="B56" s="1467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64" t="s">
        <v>952</v>
      </c>
      <c r="B57" s="1465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CONCATENATE("19. melléklet"," ",ALAPADATOK!A7," ",ALAPADATOK!B7," ",ALAPADATOK!C7," ",ALAPADATOK!D7," ",ALAPADATOK!E7," ",ALAPADATOK!F7," ",ALAPADATOK!G7," ",ALAPADATOK!H7)</f>
        <v>19. melléklet a .. / 2022. ( ……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957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5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5" t="s">
        <v>25</v>
      </c>
      <c r="B43" s="956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CONCATENATE("10. melléklet"," ",ALAPADATOK!A7," ",ALAPADATOK!B7," ",ALAPADATOK!C7," ",ALAPADATOK!D7," ",ALAPADATOK!E7," ",ALAPADATOK!F7," ",ALAPADATOK!G7," ",ALAPADATOK!H7)</f>
        <v>10.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  <c r="E2" s="793"/>
      <c r="F2" s="793"/>
    </row>
    <row r="3" spans="1:6" s="217" customFormat="1" ht="33" customHeight="1" thickBot="1" x14ac:dyDescent="0.25">
      <c r="A3" s="1423" t="s">
        <v>1043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  <c r="E19" s="499">
        <f>'9.6.1. sz. mell Kornisné Kp. '!C19+'9.6.2. sz. mell Kornisné Kp.'!C19+'9.6.3. sz. mell Kornisné Kp '!C21</f>
        <v>118042014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850">
        <f>90180220+24966440+2895354</f>
        <v>118042014</v>
      </c>
      <c r="E22" s="499">
        <f>'9.6.1. sz. mell Kornisné Kp. '!C22+'9.6.2. sz. mell Kornisné Kp.'!C22+'9.6.3. sz. mell Kornisné Kp '!C24</f>
        <v>118042014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1403">
        <f>133028+3475558</f>
        <v>3608586</v>
      </c>
      <c r="E34" s="499">
        <f>'9.6.1. sz. mell Kornisné Kp. '!C34+'9.6.2. sz. mell Kornisné Kp.'!C34+'9.6.3. sz. mell Kornisné Kp '!C36</f>
        <v>3608586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7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341018672</v>
      </c>
      <c r="E36" s="499">
        <f>'9.6.1. sz. mell Kornisné Kp. '!C36+'9.6.2. sz. mell Kornisné Kp.'!C36+'9.6.3. sz. mell Kornisné Kp '!C38</f>
        <v>341018672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854">
        <v>5873512</v>
      </c>
      <c r="E38" s="499">
        <f>'9.6.1. sz. mell Kornisné Kp. '!C38+'9.6.2. sz. mell Kornisné Kp.'!C38+'9.6.3. sz. mell Kornisné Kp '!C40</f>
        <v>5873512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1404">
        <v>156911</v>
      </c>
      <c r="E39" s="499">
        <f>'9.6.1. sz. mell Kornisné Kp. '!C39+'9.6.2. sz. mell Kornisné Kp.'!C39+'9.6.3. sz. mell Kornisné Kp '!C41</f>
        <v>156911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0">
        <f>+C36+C37</f>
        <v>1009738427</v>
      </c>
      <c r="E41" s="499">
        <f>'9.6.1. sz. mell Kornisné Kp. '!C41+'9.6.2. sz. mell Kornisné Kp.'!C41+'9.6.3. sz. mell Kornisné Kp '!C43</f>
        <v>1009738427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988338690</v>
      </c>
      <c r="E43" s="499">
        <f>'9.6.1. sz. mell Kornisné Kp. '!C43+'9.6.2. sz. mell Kornisné Kp.'!C43+'9.6.3. sz. mell Kornisné Kp '!C47</f>
        <v>988338690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615034869-10221506+1817900+16966440+9270677+1533000+3049440-5000000+300000</f>
        <v>632750820</v>
      </c>
      <c r="E44" s="499">
        <f>'9.6.1. sz. mell Kornisné Kp. '!C44+'9.6.2. sz. mell Kornisné Kp.'!C44+'9.6.3. sz. mell Kornisné Kp '!C48</f>
        <v>632750820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0">
        <f>221374740-1501444+886325+8000000+6435021+2440940-3869603+160000+2540000+133028+6731500+6070912-14122</f>
        <v>249387297</v>
      </c>
      <c r="E46" s="499">
        <f>'9.6.1. sz. mell Kornisné Kp. '!C46+'9.6.2. sz. mell Kornisné Kp.'!C46+'9.6.3. sz. mell Kornisné Kp '!C50</f>
        <v>249387297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0">
        <v>14122</v>
      </c>
      <c r="E48" s="499">
        <f>'9.6.1. sz. mell Kornisné Kp. '!C48+'9.6.2. sz. mell Kornisné Kp.'!C48+'9.6.3. sz. mell Kornisné Kp '!C52</f>
        <v>14122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1009738427</v>
      </c>
      <c r="E55" s="499">
        <f>'9.6.1. sz. mell Kornisné Kp. '!C55+'9.6.2. sz. mell Kornisné Kp.'!C55+'9.6.3. sz. mell Kornisné Kp '!C59</f>
        <v>1009738427</v>
      </c>
      <c r="F55" s="499">
        <f t="shared" si="0"/>
        <v>0</v>
      </c>
    </row>
    <row r="56" spans="1:6" ht="13.5" thickBot="1" x14ac:dyDescent="0.25">
      <c r="A56" s="1458" t="s">
        <v>465</v>
      </c>
      <c r="B56" s="1459"/>
      <c r="C56" s="1171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72" t="s">
        <v>693</v>
      </c>
      <c r="B57" s="1473"/>
      <c r="C57" s="594">
        <v>2</v>
      </c>
      <c r="E57" s="499"/>
      <c r="F57" s="499"/>
    </row>
    <row r="58" spans="1:6" s="333" customFormat="1" ht="19.899999999999999" customHeight="1" thickBot="1" x14ac:dyDescent="0.25">
      <c r="A58" s="1468" t="s">
        <v>522</v>
      </c>
      <c r="B58" s="1469"/>
      <c r="C58" s="958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70" t="s">
        <v>953</v>
      </c>
      <c r="B59" s="1471"/>
      <c r="C59" s="958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topLeftCell="A31" zoomScale="112" zoomScaleNormal="112" workbookViewId="0">
      <selection activeCell="B57" sqref="B5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CONCATENATE("15. melléklet"," ",ALAPADATOK!A7," ",ALAPADATOK!B7," ",ALAPADATOK!C7," ",ALAPADATOK!D7," ",ALAPADATOK!E7," ",ALAPADATOK!F7," ",ALAPADATOK!G7," ",ALAPADATOK!H7)</f>
        <v>15. melléklet a .. / 2022. ( ……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5.25" customHeight="1" thickBot="1" x14ac:dyDescent="0.25">
      <c r="A3" s="1423" t="s">
        <v>1044</v>
      </c>
      <c r="B3" s="1423"/>
      <c r="C3" s="1423"/>
    </row>
    <row r="4" spans="1:3" ht="13.5" thickBot="1" x14ac:dyDescent="0.25">
      <c r="A4" s="1286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7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854">
        <v>144481249</v>
      </c>
    </row>
    <row r="45" spans="1:3" s="1389" customFormat="1" ht="12" customHeight="1" x14ac:dyDescent="0.2">
      <c r="A45" s="1387" t="s">
        <v>87</v>
      </c>
      <c r="B45" s="1388" t="s">
        <v>135</v>
      </c>
      <c r="C45" s="571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571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C17" sqref="C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customWidth="1"/>
    <col min="5" max="5" width="15.83203125" style="181" customWidth="1"/>
    <col min="6" max="6" width="15.33203125" style="18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CONCATENATE("3. melléklet"," ",ALAPADATOK!A7," ",ALAPADATOK!B7," ",ALAPADATOK!C7," ",ALAPADATOK!D7," ",ALAPADATOK!E7," ",ALAPADATOK!F7," ",ALAPADATOK!G7," ",ALAPADATOK!H7)</f>
        <v>3. melléklet a .. / 2022. ( …… ) önkormányzati rendelethez</v>
      </c>
      <c r="B1" s="1412"/>
      <c r="C1" s="1412"/>
    </row>
    <row r="2" spans="1:6" s="811" customFormat="1" x14ac:dyDescent="0.25">
      <c r="A2" s="690"/>
      <c r="B2" s="690"/>
      <c r="C2" s="690"/>
    </row>
    <row r="3" spans="1:6" s="671" customFormat="1" x14ac:dyDescent="0.25">
      <c r="A3" s="1417" t="str">
        <f>CONCATENATE(ALAPADATOK!A3)</f>
        <v>Tiszavasvári Város Önkormányzat</v>
      </c>
      <c r="B3" s="1417"/>
      <c r="C3" s="1417"/>
      <c r="E3" s="671" t="s">
        <v>710</v>
      </c>
    </row>
    <row r="4" spans="1:6" s="671" customFormat="1" x14ac:dyDescent="0.25">
      <c r="A4" s="1416" t="str">
        <f>CONCATENATE(ALAPADATOK!D7," ÉVI KÖLTSÉGVETÉS")</f>
        <v>2022. ÉVI KÖLTSÉGVETÉS</v>
      </c>
      <c r="B4" s="1416"/>
      <c r="C4" s="1416"/>
      <c r="E4" s="671" t="s">
        <v>987</v>
      </c>
    </row>
    <row r="5" spans="1:6" s="671" customFormat="1" x14ac:dyDescent="0.25">
      <c r="A5" s="1416" t="s">
        <v>716</v>
      </c>
      <c r="B5" s="1416"/>
      <c r="C5" s="1416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170"/>
      <c r="E7" s="170"/>
      <c r="F7" s="170"/>
    </row>
    <row r="8" spans="1:6" ht="15.95" customHeight="1" thickBot="1" x14ac:dyDescent="0.3">
      <c r="A8" s="1418"/>
      <c r="B8" s="1418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298617235</v>
      </c>
      <c r="D20" s="267">
        <f>+D21+D22+D23+D24+D25</f>
        <v>198818216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298617235</v>
      </c>
      <c r="D25" s="256">
        <f>131199793+400000+24966440+4143150+7500000+27713479+2895354</f>
        <v>198818216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0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3808586</v>
      </c>
      <c r="D59" s="267">
        <f>SUM(D60:D62)</f>
        <v>3808586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841">
        <f t="shared" si="0"/>
        <v>3608586</v>
      </c>
      <c r="D62" s="256">
        <f>133028+3475558</f>
        <v>3608586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1119081697</v>
      </c>
      <c r="D69" s="270">
        <f>+D11+D20+D27+D34+D41+D53+D59+D64</f>
        <v>769148278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1121328139</v>
      </c>
      <c r="D94" s="270">
        <f>+D69+D93</f>
        <v>769148278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14" t="s">
        <v>44</v>
      </c>
      <c r="B95" s="1414"/>
      <c r="C95" s="1414"/>
      <c r="D95" s="809"/>
      <c r="E95" s="809"/>
      <c r="F95" s="809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971744072</v>
      </c>
      <c r="D99" s="275">
        <f>+D100+D101+D102+D103+D104+D117</f>
        <v>210464667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7">
        <f t="shared" si="2"/>
        <v>497758405</v>
      </c>
      <c r="D100" s="863">
        <f>3533503-10221506+18784340+13413827+1769220+3049440-3889039+300000</f>
        <v>26739785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370196543</v>
      </c>
      <c r="D102" s="861">
        <f>91462720-1501444+8886325+96499+300000+24836715-4262916+600000+2673028+32610539+6070912-14122</f>
        <v>161758256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18267415</v>
      </c>
      <c r="D104" s="861">
        <f>SUM(D105:D116)</f>
        <v>18267415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841">
        <f t="shared" si="2"/>
        <v>14122</v>
      </c>
      <c r="D107" s="861">
        <v>14122</v>
      </c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289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290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8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1257470352</v>
      </c>
      <c r="D134" s="267">
        <f>+D99+D120</f>
        <v>423993506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6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6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7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1259138352</v>
      </c>
      <c r="D160" s="278">
        <f>+D134+D159</f>
        <v>425661506</v>
      </c>
      <c r="E160" s="194">
        <f>+E134+E159</f>
        <v>108914</v>
      </c>
      <c r="F160" s="1117">
        <f>+F134+F159</f>
        <v>833367932</v>
      </c>
    </row>
    <row r="161" spans="1:4" x14ac:dyDescent="0.25">
      <c r="A161" s="1416" t="s">
        <v>308</v>
      </c>
      <c r="B161" s="1416"/>
      <c r="C161" s="1416"/>
    </row>
    <row r="162" spans="1:4" ht="15" customHeight="1" thickBot="1" x14ac:dyDescent="0.3">
      <c r="A162" s="1413" t="s">
        <v>117</v>
      </c>
      <c r="B162" s="1413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topLeftCell="A37" zoomScale="145" zoomScaleNormal="145" workbookViewId="0">
      <selection activeCell="E56" sqref="E5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CONCATENATE("16. melléklet"," ",ALAPADATOK!A7," ",ALAPADATOK!B7," ",ALAPADATOK!C7," ",ALAPADATOK!D7," ",ALAPADATOK!E7," ",ALAPADATOK!F7," ",ALAPADATOK!G7," ",ALAPADATOK!H7)</f>
        <v>16. melléklet a .. / 2022. ( ……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4.5" customHeight="1" thickBot="1" x14ac:dyDescent="0.25">
      <c r="A3" s="1423" t="s">
        <v>1045</v>
      </c>
      <c r="B3" s="1423"/>
      <c r="C3" s="1423"/>
    </row>
    <row r="4" spans="1:3" ht="13.5" thickBot="1" x14ac:dyDescent="0.25">
      <c r="A4" s="1286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386">
        <f>133028+3475558</f>
        <v>3608586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7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327841322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814366380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793322493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470553620-10221506+1817900+16966440+9270677+1533000+3049440-5000000+300000</f>
        <v>488269571</v>
      </c>
    </row>
    <row r="45" spans="1:3" ht="12" customHeight="1" x14ac:dyDescent="0.2">
      <c r="A45" s="212" t="s">
        <v>87</v>
      </c>
      <c r="B45" s="5" t="s">
        <v>135</v>
      </c>
      <c r="C45" s="571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196240154-1501444+886325+8000000+6155411+1206500-3869603+160000+2540000+133028+5000000+20000+1143000+6070912-14122</f>
        <v>222170161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14122</v>
      </c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577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814366380</v>
      </c>
    </row>
    <row r="56" spans="1:5" ht="13.5" thickBot="1" x14ac:dyDescent="0.25">
      <c r="A56" s="1458" t="s">
        <v>465</v>
      </c>
      <c r="B56" s="1459"/>
      <c r="C56" s="1171">
        <f>110-3.33+3</f>
        <v>109.67</v>
      </c>
    </row>
    <row r="57" spans="1:5" ht="13.5" thickBot="1" x14ac:dyDescent="0.25">
      <c r="A57" s="1472" t="s">
        <v>694</v>
      </c>
      <c r="B57" s="1473"/>
      <c r="C57" s="594">
        <v>2</v>
      </c>
    </row>
    <row r="58" spans="1:5" ht="13.5" customHeight="1" thickBot="1" x14ac:dyDescent="0.25">
      <c r="A58" s="1470" t="s">
        <v>953</v>
      </c>
      <c r="B58" s="1471"/>
      <c r="C58" s="958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E10" sqref="E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CONCATENATE("9.6.3. melléklet"," ",ALAPADATOK!A7," ",ALAPADATOK!B7," ",ALAPADATOK!C7," ",ALAPADATOK!D7," ",ALAPADATOK!E7," ",ALAPADATOK!F7," ",ALAPADATOK!G7," ",ALAPADATOK!H7)</f>
        <v>9.6.3. melléklet a .. / 2022. ( ……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954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5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5" t="s">
        <v>25</v>
      </c>
      <c r="B43" s="956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74"/>
      <c r="B62" s="1475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28" zoomScaleNormal="100" workbookViewId="0">
      <selection activeCell="C50" sqref="C5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63" t="str">
        <f>CONCATENATE("17. melléklet"," ",ALAPADATOK!A7," ",ALAPADATOK!B7," ",ALAPADATOK!C7," ",ALAPADATOK!D7," ",ALAPADATOK!E7," ",ALAPADATOK!F7," ",ALAPADATOK!G7," ",ALAPADATOK!H7)</f>
        <v>17. melléklet a .. / 2022. ( …… ) önkormányzati rendelethez</v>
      </c>
      <c r="B1" s="1463"/>
      <c r="C1" s="1463"/>
    </row>
    <row r="2" spans="1:13" s="77" customFormat="1" ht="21" customHeight="1" x14ac:dyDescent="0.2">
      <c r="A2" s="76"/>
      <c r="B2" s="78"/>
      <c r="C2" s="954"/>
      <c r="E2" s="793"/>
      <c r="F2" s="793"/>
    </row>
    <row r="3" spans="1:13" s="217" customFormat="1" ht="36" customHeight="1" thickBot="1" x14ac:dyDescent="0.25">
      <c r="A3" s="1423" t="s">
        <v>1080</v>
      </c>
      <c r="B3" s="1423"/>
      <c r="C3" s="1423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44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44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44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853">
        <f>+C38+C39+C40</f>
        <v>118597072</v>
      </c>
      <c r="E37" s="499">
        <f>'9.7.1. sz. mell TIB  '!C37+'9.7.2. sz. mell TIB'!C40</f>
        <v>118597072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110066135-484352+381000+4686060+3311738+352000</f>
        <v>118312581</v>
      </c>
      <c r="E40" s="499">
        <f>'9.7.1. sz. mell TIB  '!C40+'9.7.2. sz. mell TIB'!C43</f>
        <v>118312581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853">
        <f>+C36+C37</f>
        <v>120022744</v>
      </c>
      <c r="E41" s="499">
        <f>'9.7.1. sz. mell TIB  '!C41+'9.7.2. sz. mell TIB'!C44</f>
        <v>120022744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116656944</v>
      </c>
      <c r="E43" s="499">
        <f>'9.7.1. sz. mell TIB  '!C43+'9.7.2. sz. mell TIB'!C48</f>
        <v>116656944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  <c r="E44" s="499">
        <f>'9.7.1. sz. mell TIB  '!C44+'9.7.2. sz. mell TIB'!C49</f>
        <v>85910697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  <c r="E46" s="499">
        <f>'9.7.1. sz. mell TIB  '!C46+'9.7.2. sz. mell TIB'!C51</f>
        <v>17201254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  <c r="E49" s="499">
        <f>'9.7.1. sz. mell TIB  '!C49+'9.7.2. sz. mell TIB'!C54</f>
        <v>3365800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  <c r="E50" s="499">
        <f>'9.7.1. sz. mell TIB  '!C50+'9.7.2. sz. mell TIB'!C55</f>
        <v>3365800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120022744</v>
      </c>
      <c r="E55" s="499">
        <f>'9.7.1. sz. mell TIB  '!C55+'9.7.2. sz. mell TIB'!C60</f>
        <v>120022744</v>
      </c>
      <c r="F55" s="499">
        <f t="shared" si="0"/>
        <v>0</v>
      </c>
    </row>
    <row r="56" spans="1:6" ht="13.5" thickBot="1" x14ac:dyDescent="0.25">
      <c r="A56" s="1458" t="s">
        <v>465</v>
      </c>
      <c r="B56" s="1459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topLeftCell="A34" zoomScale="118" zoomScaleNormal="118" workbookViewId="0">
      <selection activeCell="H56" sqref="H5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CONCATENATE("18. melléklet"," ",ALAPADATOK!A7," ",ALAPADATOK!B7," ",ALAPADATOK!C7," ",ALAPADATOK!D7," ",ALAPADATOK!E7," ",ALAPADATOK!F7," ",ALAPADATOK!G7," ",ALAPADATOK!H7)</f>
        <v>18. melléklet a .. / 2022. ( ……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6" customHeight="1" thickBot="1" x14ac:dyDescent="0.25">
      <c r="A3" s="1423" t="s">
        <v>1081</v>
      </c>
      <c r="B3" s="1423"/>
      <c r="C3" s="1423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44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44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45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118597072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110066135-484352+381000+4686060+3311738+352000</f>
        <v>118312581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120022744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116656944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</row>
    <row r="45" spans="1:3" ht="12" customHeight="1" x14ac:dyDescent="0.2">
      <c r="A45" s="212" t="s">
        <v>87</v>
      </c>
      <c r="B45" s="5" t="s">
        <v>135</v>
      </c>
      <c r="C45" s="850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</row>
    <row r="50" spans="1:3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120022744</v>
      </c>
    </row>
    <row r="56" spans="1:3" ht="13.5" thickBot="1" x14ac:dyDescent="0.25">
      <c r="A56" s="1458" t="s">
        <v>465</v>
      </c>
      <c r="B56" s="1459"/>
      <c r="C56" s="136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H56" sqref="H56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63" t="str">
        <f>CONCATENATE("9.7.2. melléklet"," ",ALAPADATOK!A7," ",ALAPADATOK!B7," ",ALAPADATOK!C7," ",ALAPADATOK!D7," ",ALAPADATOK!E7," ",ALAPADATOK!F7," ",ALAPADATOK!G7," ",ALAPADATOK!H7)</f>
        <v>9.7.2. melléklet a .. / 2022. ( …… ) önkormányzati rendelethez</v>
      </c>
      <c r="B1" s="1463"/>
      <c r="C1" s="1463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E13" sqref="E13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76" t="str">
        <f>CONCATENATE("11. melléklet"," ",ALAPADATOK!A7," ",ALAPADATOK!B7," ",ALAPADATOK!C7," ",ALAPADATOK!D7," ",ALAPADATOK!E7," ",ALAPADATOK!F7," ",ALAPADATOK!G7," ",ALAPADATOK!H7)</f>
        <v>11. melléklet a .. / 2022. ( …… ) önkormányzati rendelethez</v>
      </c>
      <c r="B1" s="1476"/>
      <c r="C1" s="1476"/>
      <c r="D1" s="1476"/>
      <c r="E1" s="1476"/>
      <c r="F1" s="1476"/>
      <c r="G1" s="1476"/>
      <c r="H1" s="1476"/>
      <c r="I1" s="1476"/>
      <c r="J1" s="1476"/>
      <c r="K1" s="1476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488" t="s">
        <v>365</v>
      </c>
      <c r="B4" s="1488"/>
      <c r="C4" s="1488"/>
      <c r="D4" s="1488"/>
      <c r="E4" s="1488"/>
      <c r="F4" s="1488"/>
      <c r="G4" s="1488"/>
      <c r="H4" s="1488"/>
      <c r="I4" s="1488"/>
      <c r="J4" s="1488"/>
      <c r="K4" s="1488"/>
    </row>
    <row r="5" spans="1:11" ht="19.5" x14ac:dyDescent="0.35">
      <c r="A5" s="1488" t="s">
        <v>817</v>
      </c>
      <c r="B5" s="1488"/>
      <c r="C5" s="1488"/>
      <c r="D5" s="1488"/>
      <c r="E5" s="1488"/>
      <c r="F5" s="1488"/>
      <c r="G5" s="1488"/>
      <c r="H5" s="1488"/>
      <c r="I5" s="1488"/>
      <c r="J5" s="1488"/>
      <c r="K5" s="1488"/>
    </row>
    <row r="6" spans="1:11" ht="13.5" thickBot="1" x14ac:dyDescent="0.25">
      <c r="A6" s="1211"/>
      <c r="B6" s="1211"/>
      <c r="C6" s="1211"/>
      <c r="D6" s="1211"/>
      <c r="E6" s="1211"/>
      <c r="F6" s="1211"/>
      <c r="G6" s="1211"/>
      <c r="H6" s="1211"/>
      <c r="I6" s="1211"/>
      <c r="J6" s="1211"/>
      <c r="K6" s="1211"/>
    </row>
    <row r="7" spans="1:11" ht="15.95" customHeight="1" x14ac:dyDescent="0.2">
      <c r="A7" s="1477" t="s">
        <v>995</v>
      </c>
      <c r="B7" s="1480" t="s">
        <v>380</v>
      </c>
      <c r="C7" s="1481"/>
      <c r="D7" s="1482"/>
      <c r="E7" s="1483" t="s">
        <v>381</v>
      </c>
      <c r="F7" s="1484"/>
      <c r="G7" s="1484"/>
      <c r="H7" s="1484"/>
      <c r="I7" s="1484"/>
      <c r="J7" s="1484"/>
      <c r="K7" s="1485"/>
    </row>
    <row r="8" spans="1:11" ht="15.95" customHeight="1" x14ac:dyDescent="0.2">
      <c r="A8" s="1478"/>
      <c r="B8" s="1489" t="s">
        <v>1046</v>
      </c>
      <c r="C8" s="1489" t="s">
        <v>1052</v>
      </c>
      <c r="D8" s="1489" t="s">
        <v>1051</v>
      </c>
      <c r="E8" s="1489" t="s">
        <v>1047</v>
      </c>
      <c r="F8" s="1489" t="s">
        <v>1053</v>
      </c>
      <c r="G8" s="1489" t="s">
        <v>1048</v>
      </c>
      <c r="H8" s="1486" t="s">
        <v>137</v>
      </c>
      <c r="I8" s="1489" t="s">
        <v>1050</v>
      </c>
      <c r="J8" s="1489" t="s">
        <v>1049</v>
      </c>
      <c r="K8" s="1491" t="s">
        <v>1051</v>
      </c>
    </row>
    <row r="9" spans="1:11" ht="15.95" customHeight="1" x14ac:dyDescent="0.2">
      <c r="A9" s="1479"/>
      <c r="B9" s="1490"/>
      <c r="C9" s="1490"/>
      <c r="D9" s="1490"/>
      <c r="E9" s="1490"/>
      <c r="F9" s="1490"/>
      <c r="G9" s="1490"/>
      <c r="H9" s="1487"/>
      <c r="I9" s="1490"/>
      <c r="J9" s="1490"/>
      <c r="K9" s="1492"/>
    </row>
    <row r="10" spans="1:11" ht="15.95" customHeight="1" x14ac:dyDescent="0.2">
      <c r="A10" s="637" t="s">
        <v>366</v>
      </c>
      <c r="B10" s="1192">
        <f>26965328+913769</f>
        <v>27879097</v>
      </c>
      <c r="C10" s="1192">
        <f>K10-B10</f>
        <v>84683129</v>
      </c>
      <c r="D10" s="1365">
        <f>B10+C10</f>
        <v>112562226</v>
      </c>
      <c r="E10" s="1188">
        <f>71998629-3504528-20794165-11522884</f>
        <v>36177052</v>
      </c>
      <c r="F10" s="1188">
        <f>11651828-543202-3177036-2075587</f>
        <v>5856003</v>
      </c>
      <c r="G10" s="1188">
        <v>70492848</v>
      </c>
      <c r="H10" s="1188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2">
        <f>9458552+274000</f>
        <v>9732552</v>
      </c>
      <c r="C11" s="1192">
        <f t="shared" ref="C11:C14" si="0">K11-B11</f>
        <v>335534307</v>
      </c>
      <c r="D11" s="881">
        <f t="shared" ref="D11:D14" si="1">B11+C11</f>
        <v>345266859</v>
      </c>
      <c r="E11" s="1188">
        <v>225286182</v>
      </c>
      <c r="F11" s="1188">
        <v>39770476</v>
      </c>
      <c r="G11" s="1188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2">
        <f>78595865-2500000</f>
        <v>76095865</v>
      </c>
      <c r="C12" s="1192">
        <f t="shared" si="0"/>
        <v>113930269</v>
      </c>
      <c r="D12" s="1365">
        <f t="shared" si="1"/>
        <v>190026134</v>
      </c>
      <c r="E12" s="1188">
        <f>57062774+450000</f>
        <v>57512774</v>
      </c>
      <c r="F12" s="1188">
        <f>9160596+101156</f>
        <v>9261752</v>
      </c>
      <c r="G12" s="1191">
        <f>59920266+1204074-8972</f>
        <v>61115368</v>
      </c>
      <c r="H12" s="1191">
        <v>8972</v>
      </c>
      <c r="I12" s="1188"/>
      <c r="J12" s="1188">
        <f>59572529+1201000+112338+1+381000+860400</f>
        <v>62127268</v>
      </c>
      <c r="K12" s="856">
        <f t="shared" si="2"/>
        <v>190026134</v>
      </c>
    </row>
    <row r="13" spans="1:11" s="300" customFormat="1" ht="18" customHeight="1" x14ac:dyDescent="0.2">
      <c r="A13" s="638" t="s">
        <v>488</v>
      </c>
      <c r="B13" s="1185">
        <f>305282069+34028646+1234440+133028+3475558+2895354</f>
        <v>347049095</v>
      </c>
      <c r="C13" s="1192">
        <f t="shared" si="0"/>
        <v>662689332</v>
      </c>
      <c r="D13" s="1365">
        <f t="shared" si="1"/>
        <v>1009738427</v>
      </c>
      <c r="E13" s="1192">
        <f>615034869-10221506+1817900+16966440+9270677+1533000+3049440-5000000+300000</f>
        <v>632750820</v>
      </c>
      <c r="F13" s="1192">
        <f>105575946-1567191+281775+1426643+237615+820163-588500</f>
        <v>106186451</v>
      </c>
      <c r="G13" s="1192">
        <f>221374740-1501444+886325+8000000+6435021+2440940-3869603+160000+2540000+133028+6731500+6070912-14122</f>
        <v>249387297</v>
      </c>
      <c r="H13" s="1188">
        <v>14122</v>
      </c>
      <c r="I13" s="1188"/>
      <c r="J13" s="1188">
        <f>14882031-195000+9062206-1206500-1143000</f>
        <v>21399737</v>
      </c>
      <c r="K13" s="856">
        <f t="shared" si="2"/>
        <v>1009738427</v>
      </c>
    </row>
    <row r="14" spans="1:11" s="300" customFormat="1" ht="18" customHeight="1" x14ac:dyDescent="0.2">
      <c r="A14" s="638" t="s">
        <v>478</v>
      </c>
      <c r="B14" s="1185">
        <f>1460163+200000+50000</f>
        <v>1710163</v>
      </c>
      <c r="C14" s="1192">
        <f t="shared" si="0"/>
        <v>118312581</v>
      </c>
      <c r="D14" s="1365">
        <f t="shared" si="1"/>
        <v>120022744</v>
      </c>
      <c r="E14" s="1380">
        <f>85558697+352000</f>
        <v>85910697</v>
      </c>
      <c r="F14" s="1380">
        <v>13544993</v>
      </c>
      <c r="G14" s="1380">
        <f>17241254-40000</f>
        <v>17201254</v>
      </c>
      <c r="H14" s="1189"/>
      <c r="I14" s="1189"/>
      <c r="J14" s="1189">
        <f>25000+200000+50000+3050800+40000</f>
        <v>3365800</v>
      </c>
      <c r="K14" s="856">
        <f t="shared" si="2"/>
        <v>120022744</v>
      </c>
    </row>
    <row r="15" spans="1:11" s="300" customFormat="1" ht="18" customHeight="1" x14ac:dyDescent="0.2">
      <c r="A15" s="638" t="s">
        <v>489</v>
      </c>
      <c r="B15" s="1342">
        <f>'9.2. sz. mell. '!C36+'9.2. sz. mell. '!C38</f>
        <v>46419147</v>
      </c>
      <c r="C15" s="1191">
        <f t="shared" ref="C15" si="3">K15-B15</f>
        <v>255363493</v>
      </c>
      <c r="D15" s="881">
        <f>SUM(B15:C15)</f>
        <v>301782640</v>
      </c>
      <c r="E15" s="1189">
        <f>'9.2. sz. mell. '!C46</f>
        <v>172947011</v>
      </c>
      <c r="F15" s="1189">
        <f>'9.2. sz. mell. '!C47</f>
        <v>30113915</v>
      </c>
      <c r="G15" s="1395">
        <f>'9.2. sz. mell. '!C48</f>
        <v>95956515</v>
      </c>
      <c r="H15" s="858"/>
      <c r="I15" s="858"/>
      <c r="J15" s="1189">
        <f>'9.2. sz. mell. '!C52</f>
        <v>2765199</v>
      </c>
      <c r="K15" s="856">
        <f t="shared" ref="K15" si="4">SUM(E15:J15)</f>
        <v>301782640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508885919</v>
      </c>
      <c r="C16" s="926">
        <f t="shared" si="5"/>
        <v>1570513111</v>
      </c>
      <c r="D16" s="926">
        <f t="shared" si="5"/>
        <v>2079399030</v>
      </c>
      <c r="E16" s="926">
        <f t="shared" si="5"/>
        <v>1210584536</v>
      </c>
      <c r="F16" s="926">
        <f t="shared" si="5"/>
        <v>204733590</v>
      </c>
      <c r="G16" s="926">
        <f t="shared" si="5"/>
        <v>573563483</v>
      </c>
      <c r="H16" s="842">
        <f t="shared" si="5"/>
        <v>59417</v>
      </c>
      <c r="I16" s="842">
        <f t="shared" si="5"/>
        <v>0</v>
      </c>
      <c r="J16" s="842">
        <f t="shared" si="5"/>
        <v>90458004</v>
      </c>
      <c r="K16" s="848">
        <f>SUM(K10:K15)</f>
        <v>2079399030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A2" sqref="A2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493" t="str">
        <f>CONCATENATE("20. melléklet"," ",ALAPADATOK!A7," ",ALAPADATOK!B7," ",ALAPADATOK!C7," ",ALAPADATOK!D7," ",ALAPADATOK!E7," ",ALAPADATOK!F7," ",ALAPADATOK!G7," ",ALAPADATOK!H7)</f>
        <v>20. melléklet a .. / 2022. ( …… ) önkormányzati rendelethez</v>
      </c>
      <c r="B1" s="1493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494" t="s">
        <v>361</v>
      </c>
      <c r="B7" s="1494"/>
    </row>
    <row r="8" spans="1:5" ht="19.5" x14ac:dyDescent="0.35">
      <c r="A8" s="1495" t="s">
        <v>818</v>
      </c>
      <c r="B8" s="1495"/>
    </row>
    <row r="9" spans="1:5" ht="20.25" thickBot="1" x14ac:dyDescent="0.4">
      <c r="A9" s="1278"/>
      <c r="B9" s="1278"/>
    </row>
    <row r="10" spans="1:5" s="421" customFormat="1" ht="33" customHeight="1" thickBot="1" x14ac:dyDescent="0.25">
      <c r="A10" s="1199" t="s">
        <v>58</v>
      </c>
      <c r="B10" s="1325" t="s">
        <v>1054</v>
      </c>
    </row>
    <row r="11" spans="1:5" ht="16.5" thickBot="1" x14ac:dyDescent="0.3">
      <c r="A11" s="384" t="s">
        <v>55</v>
      </c>
      <c r="B11" s="1172">
        <f>10000000-8622933+2854876-254000-1666257+13433386-939589-2276958-8283760+630160-4501630</f>
        <v>373295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3" t="s">
        <v>593</v>
      </c>
      <c r="B13" s="864">
        <f>10000000-10000000</f>
        <v>0</v>
      </c>
      <c r="C13" s="357"/>
      <c r="D13" s="356"/>
    </row>
    <row r="14" spans="1:5" x14ac:dyDescent="0.2">
      <c r="A14" s="1173" t="s">
        <v>594</v>
      </c>
      <c r="B14" s="864">
        <v>300000</v>
      </c>
      <c r="C14" s="357"/>
      <c r="D14" s="356"/>
    </row>
    <row r="15" spans="1:5" x14ac:dyDescent="0.2">
      <c r="A15" s="1173" t="s">
        <v>595</v>
      </c>
      <c r="B15" s="864">
        <v>1000000</v>
      </c>
      <c r="C15" s="357"/>
      <c r="D15" s="356"/>
    </row>
    <row r="16" spans="1:5" x14ac:dyDescent="0.2">
      <c r="A16" s="1173" t="s">
        <v>915</v>
      </c>
      <c r="B16" s="864">
        <v>756000</v>
      </c>
      <c r="C16" s="357"/>
      <c r="D16" s="356"/>
    </row>
    <row r="17" spans="1:4" x14ac:dyDescent="0.2">
      <c r="A17" s="1174" t="s">
        <v>746</v>
      </c>
      <c r="B17" s="864">
        <v>44914861</v>
      </c>
      <c r="C17" s="357"/>
      <c r="D17" s="356"/>
    </row>
    <row r="18" spans="1:4" x14ac:dyDescent="0.2">
      <c r="A18" s="1174" t="s">
        <v>921</v>
      </c>
      <c r="B18" s="864">
        <f>7942716-540000</f>
        <v>7402716</v>
      </c>
      <c r="C18" s="357"/>
      <c r="D18" s="356"/>
    </row>
    <row r="19" spans="1:4" x14ac:dyDescent="0.2">
      <c r="A19" s="1174" t="s">
        <v>919</v>
      </c>
      <c r="B19" s="864">
        <f>1620970-96499</f>
        <v>1524471</v>
      </c>
      <c r="C19" s="357"/>
      <c r="D19" s="356"/>
    </row>
    <row r="20" spans="1:4" x14ac:dyDescent="0.2">
      <c r="A20" s="1174" t="s">
        <v>920</v>
      </c>
      <c r="B20" s="864">
        <v>628000</v>
      </c>
      <c r="C20" s="357"/>
      <c r="D20" s="356"/>
    </row>
    <row r="21" spans="1:4" x14ac:dyDescent="0.2">
      <c r="A21" s="1174" t="s">
        <v>914</v>
      </c>
      <c r="B21" s="864">
        <f>650000-250000</f>
        <v>400000</v>
      </c>
      <c r="C21" s="357"/>
      <c r="D21" s="356"/>
    </row>
    <row r="22" spans="1:4" x14ac:dyDescent="0.2">
      <c r="A22" s="1175" t="s">
        <v>513</v>
      </c>
      <c r="B22" s="864">
        <v>3712000</v>
      </c>
      <c r="C22" s="357"/>
      <c r="D22" s="356"/>
    </row>
    <row r="23" spans="1:4" x14ac:dyDescent="0.2">
      <c r="A23" s="1152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1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3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05">
        <f>SUM(B13:B31)</f>
        <v>80843828</v>
      </c>
    </row>
    <row r="33" spans="1:2" ht="16.5" thickBot="1" x14ac:dyDescent="0.3">
      <c r="A33" s="384" t="s">
        <v>364</v>
      </c>
      <c r="B33" s="385">
        <f>SUM(B11,B32)</f>
        <v>81217123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C12" sqref="C12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496" t="str">
        <f>CONCATENATE("12. melléklet"," ",ALAPADATOK!A7," ",ALAPADATOK!B7," ",ALAPADATOK!C7," ",ALAPADATOK!D7," ",ALAPADATOK!E7," ",ALAPADATOK!F7," ",ALAPADATOK!G7," ",ALAPADATOK!H7)</f>
        <v>12. melléklet a .. / 2022. ( …… ) önkormányzati rendelethez</v>
      </c>
      <c r="B1" s="1496"/>
      <c r="C1" s="1496"/>
      <c r="D1" s="1496"/>
      <c r="E1" s="1496"/>
      <c r="F1" s="1496"/>
      <c r="G1" s="1496"/>
      <c r="H1" s="1496"/>
    </row>
    <row r="2" spans="1:13" x14ac:dyDescent="0.25">
      <c r="H2" s="939" t="s">
        <v>782</v>
      </c>
    </row>
    <row r="3" spans="1:13" ht="35.25" customHeight="1" x14ac:dyDescent="0.25">
      <c r="A3" s="1497" t="s">
        <v>819</v>
      </c>
      <c r="B3" s="1498"/>
      <c r="C3" s="1498"/>
      <c r="D3" s="1498"/>
      <c r="E3" s="1498"/>
      <c r="F3" s="1498"/>
      <c r="G3" s="1498"/>
      <c r="H3" s="1498"/>
      <c r="M3" s="771" t="s">
        <v>819</v>
      </c>
    </row>
    <row r="5" spans="1:13" ht="15.95" customHeight="1" thickBot="1" x14ac:dyDescent="0.3">
      <c r="A5" s="1414" t="s">
        <v>1055</v>
      </c>
      <c r="B5" s="1414"/>
      <c r="C5" s="1414"/>
      <c r="D5" s="1414"/>
      <c r="E5" s="1414"/>
      <c r="F5" s="1414"/>
      <c r="G5" s="1414"/>
      <c r="H5" s="1414"/>
    </row>
    <row r="6" spans="1:13" ht="38.1" customHeight="1" thickBot="1" x14ac:dyDescent="0.3">
      <c r="A6" s="20" t="s">
        <v>64</v>
      </c>
      <c r="B6" s="21" t="s">
        <v>15</v>
      </c>
      <c r="C6" s="1049" t="s">
        <v>922</v>
      </c>
      <c r="D6" s="1049" t="s">
        <v>923</v>
      </c>
      <c r="E6" s="1061"/>
      <c r="F6" s="1061"/>
      <c r="G6" s="1061"/>
      <c r="H6" s="1063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5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5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1634262294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6">
        <v>218098142</v>
      </c>
      <c r="D9" s="1086">
        <v>256986904</v>
      </c>
      <c r="E9" s="543">
        <v>227512539</v>
      </c>
      <c r="F9" s="544"/>
      <c r="G9" s="544"/>
      <c r="H9" s="408">
        <f>'1.1.sz.mell. '!C12</f>
        <v>296190577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7">
        <v>238466411</v>
      </c>
      <c r="D10" s="1087">
        <v>250568625</v>
      </c>
      <c r="E10" s="545">
        <v>218107294</v>
      </c>
      <c r="F10" s="546"/>
      <c r="G10" s="546"/>
      <c r="H10" s="290">
        <f>'1.1.sz.mell. '!C13</f>
        <v>262755080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7">
        <v>784493453</v>
      </c>
      <c r="D11" s="1087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828956137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7">
        <v>0</v>
      </c>
      <c r="D12" s="1087">
        <v>616722342</v>
      </c>
      <c r="E12" s="545"/>
      <c r="F12" s="546"/>
      <c r="G12" s="546"/>
      <c r="H12" s="290">
        <f>'1.1.sz.mell. '!C15</f>
        <v>640407443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7">
        <v>0</v>
      </c>
      <c r="D13" s="1087">
        <v>177251308</v>
      </c>
      <c r="E13" s="545"/>
      <c r="F13" s="546"/>
      <c r="G13" s="546"/>
      <c r="H13" s="290">
        <f>'1.1.sz.mell. '!C16</f>
        <v>188548694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7">
        <v>34753573</v>
      </c>
      <c r="D14" s="1087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7">
        <v>48323486</v>
      </c>
      <c r="D15" s="1087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8"/>
      <c r="D16" s="1088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89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407991699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6"/>
      <c r="D18" s="1086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7"/>
      <c r="D19" s="1087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7"/>
      <c r="D20" s="1087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7"/>
      <c r="D21" s="1087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7">
        <v>185927249</v>
      </c>
      <c r="D22" s="1087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407991699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8">
        <f>44046085</f>
        <v>44046085</v>
      </c>
      <c r="D23" s="1088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89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6">
        <v>370138900</v>
      </c>
      <c r="D25" s="1086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099"/>
      <c r="D26" s="1090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7"/>
      <c r="D27" s="1087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7"/>
      <c r="D28" s="1087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7">
        <v>656538089</v>
      </c>
      <c r="D29" s="1087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8">
        <v>647953089</v>
      </c>
      <c r="D30" s="1088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89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1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7">
        <v>81767339</v>
      </c>
      <c r="D33" s="1087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7">
        <v>343010735</v>
      </c>
      <c r="D34" s="1087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7">
        <v>39072</v>
      </c>
      <c r="D35" s="1087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7">
        <v>31727403</v>
      </c>
      <c r="D36" s="1087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7">
        <v>158400</v>
      </c>
      <c r="D37" s="1087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8">
        <v>13530790</v>
      </c>
      <c r="D38" s="1088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89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368229537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6">
        <v>8179095</v>
      </c>
      <c r="D40" s="1086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7">
        <v>77258808</v>
      </c>
      <c r="D41" s="1087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64734315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7">
        <v>17781177</v>
      </c>
      <c r="D42" s="1087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7">
        <v>965935</v>
      </c>
      <c r="D43" s="1087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7">
        <v>175322036</v>
      </c>
      <c r="D44" s="1087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7">
        <v>21427421</v>
      </c>
      <c r="D45" s="1087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7">
        <v>7222000</v>
      </c>
      <c r="D46" s="1087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7">
        <v>167</v>
      </c>
      <c r="D47" s="1087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7"/>
      <c r="D48" s="1087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7">
        <v>1209667</v>
      </c>
      <c r="D49" s="1087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8">
        <v>5226899</v>
      </c>
      <c r="D50" s="1088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89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0"/>
      <c r="D52" s="1092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7">
        <v>5202984</v>
      </c>
      <c r="D53" s="1087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7">
        <v>177050</v>
      </c>
      <c r="D54" s="1087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7"/>
      <c r="D55" s="1087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8">
        <v>145100</v>
      </c>
      <c r="D56" s="1088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89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15082586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1"/>
      <c r="D58" s="1093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7">
        <v>15332864</v>
      </c>
      <c r="D59" s="1087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7">
        <v>2791293</v>
      </c>
      <c r="D60" s="1087">
        <v>1954048</v>
      </c>
      <c r="E60" s="545">
        <f>4075000+140433</f>
        <v>4215433</v>
      </c>
      <c r="F60" s="546"/>
      <c r="G60" s="546"/>
      <c r="H60" s="290">
        <f>'1.1.sz.mell. '!C62</f>
        <v>13882586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8"/>
      <c r="D61" s="1088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89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0"/>
      <c r="D63" s="1092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099"/>
      <c r="D64" s="1090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099"/>
      <c r="D65" s="1090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2"/>
      <c r="D66" s="1094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4957119537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1189060316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6">
        <v>30020437</v>
      </c>
      <c r="D69" s="1086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7"/>
      <c r="D70" s="1087">
        <v>821155240</v>
      </c>
      <c r="E70" s="545">
        <v>100000000</v>
      </c>
      <c r="F70" s="546"/>
      <c r="G70" s="546"/>
      <c r="H70" s="290">
        <f>'1.1.sz.mell. '!C72</f>
        <v>1003497787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2"/>
      <c r="D71" s="1094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5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0"/>
      <c r="D73" s="1092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099"/>
      <c r="D74" s="1090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099"/>
      <c r="D75" s="1090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2"/>
      <c r="D76" s="1094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6">
        <v>367267935</v>
      </c>
      <c r="D78" s="1086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2"/>
      <c r="D79" s="1094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6">
        <v>45672254</v>
      </c>
      <c r="D81" s="1086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099"/>
      <c r="D82" s="1090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2"/>
      <c r="D83" s="1094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5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0"/>
      <c r="D85" s="1092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099"/>
      <c r="D86" s="1090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099"/>
      <c r="D87" s="1090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2"/>
      <c r="D88" s="1094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2094509705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7051629242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14" t="s">
        <v>44</v>
      </c>
      <c r="B93" s="1414"/>
      <c r="C93" s="1414"/>
      <c r="D93" s="1414"/>
      <c r="E93" s="1414"/>
      <c r="F93" s="1414"/>
      <c r="G93" s="1414"/>
      <c r="H93" s="1414"/>
    </row>
    <row r="94" spans="1:11" s="268" customFormat="1" ht="36.75" customHeight="1" thickBot="1" x14ac:dyDescent="0.25">
      <c r="A94" s="20" t="s">
        <v>14</v>
      </c>
      <c r="B94" s="405" t="s">
        <v>45</v>
      </c>
      <c r="C94" s="1049" t="str">
        <f t="shared" ref="C94:H94" si="0">C6</f>
        <v>2019. évi tény</v>
      </c>
      <c r="D94" s="1049" t="str">
        <f t="shared" si="0"/>
        <v>2020. évi várható adat</v>
      </c>
      <c r="E94" s="1049">
        <f t="shared" si="0"/>
        <v>0</v>
      </c>
      <c r="F94" s="1049">
        <f t="shared" si="0"/>
        <v>0</v>
      </c>
      <c r="G94" s="1049">
        <f t="shared" si="0"/>
        <v>0</v>
      </c>
      <c r="H94" s="1049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7">
        <f>SUM(C97:C101,C114)</f>
        <v>2286219244</v>
      </c>
      <c r="D96" s="1047">
        <f>SUM(D97:D101,D114)</f>
        <v>2234422838</v>
      </c>
      <c r="E96" s="1056"/>
      <c r="F96" s="1058"/>
      <c r="G96" s="1047"/>
      <c r="H96" s="1065">
        <f>'1.1.sz.mell. '!C99</f>
        <v>3067208101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3">
        <v>1036807081</v>
      </c>
      <c r="D97" s="1050">
        <v>1107374684</v>
      </c>
      <c r="E97" s="1062"/>
      <c r="F97" s="1066"/>
      <c r="G97" s="1066"/>
      <c r="H97" s="1074">
        <f>'1.1.sz.mell. '!C100</f>
        <v>1267250778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4">
        <v>207856870</v>
      </c>
      <c r="D98" s="1072">
        <v>200144461</v>
      </c>
      <c r="E98" s="1067"/>
      <c r="F98" s="1073"/>
      <c r="G98" s="1073"/>
      <c r="H98" s="1074">
        <f>'1.1.sz.mell. '!C101</f>
        <v>214274564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4">
        <v>803850676</v>
      </c>
      <c r="D99" s="1072">
        <v>742294097</v>
      </c>
      <c r="E99" s="1070"/>
      <c r="F99" s="1048"/>
      <c r="G99" s="1073"/>
      <c r="H99" s="1074">
        <f>'1.1.sz.mell. '!C102</f>
        <v>1196861314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4">
        <v>47275053</v>
      </c>
      <c r="D100" s="1072">
        <v>46911174</v>
      </c>
      <c r="E100" s="1070"/>
      <c r="F100" s="1048"/>
      <c r="G100" s="1048"/>
      <c r="H100" s="1074">
        <f>'1.1.sz.mell. '!C103</f>
        <v>49000000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3">
        <f>SUM(C102:C113)</f>
        <v>190429564</v>
      </c>
      <c r="D101" s="1043">
        <f>SUM(D102:D113)</f>
        <v>137698422</v>
      </c>
      <c r="E101" s="1043">
        <f>SUM(E102:E113)</f>
        <v>0</v>
      </c>
      <c r="F101" s="1043">
        <f>SUM(F102:F113)</f>
        <v>0</v>
      </c>
      <c r="G101" s="1043">
        <f>SUM(G102:G113)</f>
        <v>0</v>
      </c>
      <c r="H101" s="1043">
        <f>'1.1.sz.mell. '!C104</f>
        <v>258604322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4">
        <v>9463052</v>
      </c>
      <c r="D102" s="1072">
        <v>792176</v>
      </c>
      <c r="E102" s="1070"/>
      <c r="F102" s="1048"/>
      <c r="G102" s="1048"/>
      <c r="H102" s="1074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4"/>
      <c r="D103" s="1072"/>
      <c r="E103" s="1070"/>
      <c r="F103" s="1048"/>
      <c r="G103" s="1048"/>
      <c r="H103" s="1074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4"/>
      <c r="D104" s="1072"/>
      <c r="E104" s="1070"/>
      <c r="F104" s="1048"/>
      <c r="G104" s="1048"/>
      <c r="H104" s="1074">
        <f>'1.1.sz.mell. '!C107</f>
        <v>24580953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4"/>
      <c r="D105" s="1072"/>
      <c r="E105" s="1070"/>
      <c r="F105" s="1048"/>
      <c r="G105" s="1048"/>
      <c r="H105" s="1074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4"/>
      <c r="D106" s="1072"/>
      <c r="E106" s="1070"/>
      <c r="F106" s="1048"/>
      <c r="G106" s="1048"/>
      <c r="H106" s="1074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4"/>
      <c r="D107" s="1072"/>
      <c r="E107" s="1070"/>
      <c r="F107" s="1048"/>
      <c r="G107" s="1048"/>
      <c r="H107" s="1074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4">
        <v>4012934</v>
      </c>
      <c r="D108" s="1072">
        <v>1352500</v>
      </c>
      <c r="E108" s="1070"/>
      <c r="F108" s="1048"/>
      <c r="G108" s="1048"/>
      <c r="H108" s="1074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4"/>
      <c r="D109" s="1072"/>
      <c r="E109" s="1070"/>
      <c r="F109" s="1048"/>
      <c r="G109" s="1048"/>
      <c r="H109" s="1074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4">
        <v>15400000</v>
      </c>
      <c r="D110" s="1072"/>
      <c r="E110" s="1070"/>
      <c r="F110" s="1048"/>
      <c r="G110" s="1048"/>
      <c r="H110" s="1074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4"/>
      <c r="D111" s="1072"/>
      <c r="E111" s="1070"/>
      <c r="F111" s="1048"/>
      <c r="G111" s="1048"/>
      <c r="H111" s="1074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4"/>
      <c r="D112" s="1072"/>
      <c r="E112" s="1070"/>
      <c r="F112" s="1048"/>
      <c r="G112" s="1048"/>
      <c r="H112" s="1074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4">
        <v>161553578</v>
      </c>
      <c r="D113" s="1072">
        <v>135553746</v>
      </c>
      <c r="E113" s="1067"/>
      <c r="F113" s="1073"/>
      <c r="G113" s="1048"/>
      <c r="H113" s="1074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4"/>
      <c r="D114" s="1072"/>
      <c r="E114" s="1067"/>
      <c r="F114" s="1073"/>
      <c r="G114" s="1073"/>
      <c r="H114" s="1074">
        <f>'1.1.sz.mell. '!C117</f>
        <v>81217123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4"/>
      <c r="D115" s="1072"/>
      <c r="E115" s="1070"/>
      <c r="F115" s="1048"/>
      <c r="G115" s="1073"/>
      <c r="H115" s="1074">
        <f>'1.1.sz.mell. '!C118</f>
        <v>373295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5"/>
      <c r="D116" s="1064"/>
      <c r="E116" s="1051"/>
      <c r="F116" s="1069"/>
      <c r="G116" s="1069"/>
      <c r="H116" s="1074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7">
        <f>C118+C120+C122</f>
        <v>478464804</v>
      </c>
      <c r="D117" s="1047">
        <f>D118+D120+D122</f>
        <v>401828104</v>
      </c>
      <c r="E117" s="1045"/>
      <c r="F117" s="1052"/>
      <c r="G117" s="1071"/>
      <c r="H117" s="1068">
        <f>'1.1.sz.mell. '!C120</f>
        <v>2906962857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6">
        <v>211704361</v>
      </c>
      <c r="D118" s="1050">
        <v>223119190</v>
      </c>
      <c r="E118" s="1046"/>
      <c r="F118" s="1059"/>
      <c r="G118" s="1059"/>
      <c r="H118" s="1074">
        <f>'1.1.sz.mell. '!C121</f>
        <v>962678806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4"/>
      <c r="D119" s="1072"/>
      <c r="E119" s="1046"/>
      <c r="F119" s="1059"/>
      <c r="G119" s="1059"/>
      <c r="H119" s="1074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4">
        <v>259516521</v>
      </c>
      <c r="D120" s="1072">
        <v>174642005</v>
      </c>
      <c r="E120" s="1067"/>
      <c r="F120" s="1073"/>
      <c r="G120" s="1073"/>
      <c r="H120" s="1074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4"/>
      <c r="D121" s="1072"/>
      <c r="E121" s="1067"/>
      <c r="F121" s="1057"/>
      <c r="G121" s="1067"/>
      <c r="H121" s="1074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4">
        <f>SUM(C123:C130)</f>
        <v>7243922</v>
      </c>
      <c r="D122" s="1104">
        <f>SUM(D123:D130)</f>
        <v>4066909</v>
      </c>
      <c r="E122" s="1067"/>
      <c r="F122" s="1067"/>
      <c r="G122" s="1067"/>
      <c r="H122" s="1074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4"/>
      <c r="D123" s="1072"/>
      <c r="E123" s="1053"/>
      <c r="F123" s="1053"/>
      <c r="G123" s="1067"/>
      <c r="H123" s="1074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4"/>
      <c r="D124" s="1072"/>
      <c r="E124" s="1053"/>
      <c r="F124" s="1053"/>
      <c r="G124" s="1067"/>
      <c r="H124" s="1074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4"/>
      <c r="D125" s="1072"/>
      <c r="E125" s="1053"/>
      <c r="F125" s="1053"/>
      <c r="G125" s="1067"/>
      <c r="H125" s="1074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4">
        <v>308980</v>
      </c>
      <c r="D126" s="1072"/>
      <c r="E126" s="1053"/>
      <c r="F126" s="1053"/>
      <c r="G126" s="1067"/>
      <c r="H126" s="1074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4"/>
      <c r="D127" s="1072"/>
      <c r="E127" s="1053"/>
      <c r="F127" s="1053"/>
      <c r="G127" s="1067"/>
      <c r="H127" s="1074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4"/>
      <c r="D128" s="1072"/>
      <c r="E128" s="1053"/>
      <c r="F128" s="1053"/>
      <c r="G128" s="1067"/>
      <c r="H128" s="1074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4"/>
      <c r="D129" s="1072"/>
      <c r="E129" s="1053"/>
      <c r="F129" s="1053"/>
      <c r="G129" s="1067"/>
      <c r="H129" s="1074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5">
        <v>6934942</v>
      </c>
      <c r="D130" s="1064">
        <v>4066909</v>
      </c>
      <c r="E130" s="1070"/>
      <c r="F130" s="1070"/>
      <c r="G130" s="1070"/>
      <c r="H130" s="1074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7">
        <f>C117+C96</f>
        <v>2764684048</v>
      </c>
      <c r="D131" s="1047">
        <f>D117+D96</f>
        <v>2636250942</v>
      </c>
      <c r="E131" s="1045"/>
      <c r="F131" s="1052"/>
      <c r="G131" s="1052"/>
      <c r="H131" s="1068">
        <f>'1.1.sz.mell. '!C134</f>
        <v>5974170958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7">
        <f>SUM(C133:C135)</f>
        <v>16952500</v>
      </c>
      <c r="D132" s="1047">
        <f>SUM(D133:D135)</f>
        <v>847193674</v>
      </c>
      <c r="E132" s="1045"/>
      <c r="F132" s="1052"/>
      <c r="G132" s="1052"/>
      <c r="H132" s="1068">
        <f>'1.1.sz.mell. '!C135</f>
        <v>1028491534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7">
        <v>16952500</v>
      </c>
      <c r="D133" s="1054">
        <v>26038434</v>
      </c>
      <c r="E133" s="1067"/>
      <c r="F133" s="1067"/>
      <c r="G133" s="1067"/>
      <c r="H133" s="1074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8"/>
      <c r="D134" s="1055">
        <v>821155240</v>
      </c>
      <c r="E134" s="1053"/>
      <c r="F134" s="1053"/>
      <c r="G134" s="1053"/>
      <c r="H134" s="1074">
        <f>'1.1.sz.mell. '!C137</f>
        <v>1003497787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09"/>
      <c r="D135" s="1042"/>
      <c r="E135" s="1053"/>
      <c r="F135" s="1053"/>
      <c r="G135" s="1053"/>
      <c r="H135" s="1044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0">
        <f>SUM(C137:C142)</f>
        <v>0</v>
      </c>
      <c r="D136" s="1060">
        <f>SUM(D137:D142)</f>
        <v>0</v>
      </c>
      <c r="E136" s="1060">
        <f>SUM(E137:E142)</f>
        <v>0</v>
      </c>
      <c r="F136" s="1060">
        <f>SUM(F137:F142)</f>
        <v>0</v>
      </c>
      <c r="G136" s="1060">
        <f>SUM(G137:G142)</f>
        <v>0</v>
      </c>
      <c r="H136" s="1060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7"/>
      <c r="D137" s="1054"/>
      <c r="E137" s="1053"/>
      <c r="F137" s="1053"/>
      <c r="G137" s="1053"/>
      <c r="H137" s="1074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8"/>
      <c r="D138" s="1055"/>
      <c r="E138" s="1053"/>
      <c r="F138" s="1053"/>
      <c r="G138" s="1053"/>
      <c r="H138" s="1074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8"/>
      <c r="D139" s="1055"/>
      <c r="E139" s="1053"/>
      <c r="F139" s="1053"/>
      <c r="G139" s="1053"/>
      <c r="H139" s="1074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8"/>
      <c r="D140" s="1055"/>
      <c r="E140" s="1053"/>
      <c r="F140" s="1053"/>
      <c r="G140" s="1053"/>
      <c r="H140" s="1074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8"/>
      <c r="D141" s="1055"/>
      <c r="E141" s="1053"/>
      <c r="F141" s="1053"/>
      <c r="G141" s="1053"/>
      <c r="H141" s="1074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09"/>
      <c r="D142" s="1042"/>
      <c r="E142" s="1053"/>
      <c r="F142" s="1053"/>
      <c r="G142" s="1053"/>
      <c r="H142" s="1044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7">
        <f t="shared" ref="C143" si="1">SUM(C144:C147)</f>
        <v>41904332</v>
      </c>
      <c r="D143" s="1047">
        <f t="shared" ref="D143:K143" si="2">SUM(D144:D147)</f>
        <v>45672254</v>
      </c>
      <c r="E143" s="1047">
        <f t="shared" si="2"/>
        <v>0</v>
      </c>
      <c r="F143" s="1047">
        <f t="shared" si="2"/>
        <v>0</v>
      </c>
      <c r="G143" s="1047">
        <f t="shared" si="2"/>
        <v>0</v>
      </c>
      <c r="H143" s="1047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7"/>
      <c r="D144" s="1054"/>
      <c r="E144" s="1053"/>
      <c r="F144" s="1053"/>
      <c r="G144" s="1053"/>
      <c r="H144" s="1075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8">
        <v>41904332</v>
      </c>
      <c r="D145" s="1055">
        <v>45672254</v>
      </c>
      <c r="E145" s="1053"/>
      <c r="F145" s="1053"/>
      <c r="G145" s="1053"/>
      <c r="H145" s="1074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8"/>
      <c r="D146" s="1055"/>
      <c r="E146" s="1053"/>
      <c r="F146" s="1053"/>
      <c r="G146" s="1053"/>
      <c r="H146" s="1075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09"/>
      <c r="D147" s="1042"/>
      <c r="E147" s="1053"/>
      <c r="F147" s="1053"/>
      <c r="G147" s="1053"/>
      <c r="H147" s="1076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7">
        <f>SUM(C149:C153)</f>
        <v>0</v>
      </c>
      <c r="D148" s="1077">
        <f>SUM(D149:D153)</f>
        <v>0</v>
      </c>
      <c r="E148" s="1077">
        <f>SUM(E149:E153)</f>
        <v>0</v>
      </c>
      <c r="F148" s="1077">
        <f>SUM(F149:F153)</f>
        <v>0</v>
      </c>
      <c r="G148" s="1077">
        <f>SUM(G149:G153)</f>
        <v>0</v>
      </c>
      <c r="H148" s="1077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7"/>
      <c r="D149" s="1054"/>
      <c r="E149" s="1053"/>
      <c r="F149" s="1053"/>
      <c r="G149" s="1053"/>
      <c r="H149" s="1075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8"/>
      <c r="D150" s="1055"/>
      <c r="E150" s="1053"/>
      <c r="F150" s="1053"/>
      <c r="G150" s="1053"/>
      <c r="H150" s="1075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8"/>
      <c r="D151" s="1055"/>
      <c r="E151" s="1053"/>
      <c r="F151" s="1053"/>
      <c r="G151" s="1053"/>
      <c r="H151" s="1075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8"/>
      <c r="D152" s="1055"/>
      <c r="E152" s="1053"/>
      <c r="F152" s="1053"/>
      <c r="G152" s="1053"/>
      <c r="H152" s="1075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09"/>
      <c r="D153" s="1042"/>
      <c r="E153" s="1078"/>
      <c r="F153" s="1078"/>
      <c r="G153" s="1053"/>
      <c r="H153" s="1076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0"/>
      <c r="D154" s="1079"/>
      <c r="E154" s="1080"/>
      <c r="F154" s="1081"/>
      <c r="G154" s="1082"/>
      <c r="H154" s="1068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0"/>
      <c r="D155" s="1079"/>
      <c r="E155" s="1080"/>
      <c r="F155" s="1081"/>
      <c r="G155" s="1082"/>
      <c r="H155" s="1068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7">
        <f>C132+C136+C143+C148+C154+C155</f>
        <v>58856832</v>
      </c>
      <c r="D156" s="1047">
        <f>D132+D136+D143+D148+D154+D155</f>
        <v>892865928</v>
      </c>
      <c r="E156" s="1083"/>
      <c r="F156" s="1084"/>
      <c r="G156" s="1084"/>
      <c r="H156" s="1068">
        <f>'1.1.sz.mell. '!C159</f>
        <v>1077458284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7">
        <f>C156+C131</f>
        <v>2823540880</v>
      </c>
      <c r="D157" s="1047">
        <f>D156+D131</f>
        <v>3529116870</v>
      </c>
      <c r="E157" s="1083"/>
      <c r="F157" s="1084"/>
      <c r="G157" s="1084"/>
      <c r="H157" s="1068">
        <f>'1.1.sz.mell. '!C160</f>
        <v>7051629242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22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01" t="str">
        <f>CONCATENATE("15. tájékoztató tábla ",ALAPADATOK!A7," ",ALAPADATOK!B7," ",ALAPADATOK!C7," ",ALAPADATOK!D7," ",ALAPADATOK!E7," ",ALAPADATOK!F7," ",ALAPADATOK!G7," ",ALAPADATOK!H7)</f>
        <v>15. tájékoztató tábla a .. / 2022. ( …… ) önkormányzati rendelethez</v>
      </c>
      <c r="B1" s="1501"/>
      <c r="C1" s="1501"/>
      <c r="D1" s="1501"/>
      <c r="E1" s="1501"/>
      <c r="F1" s="1501"/>
      <c r="G1" s="1501"/>
      <c r="H1" s="1501"/>
      <c r="I1" s="1501"/>
    </row>
    <row r="2" spans="1:9" x14ac:dyDescent="0.2">
      <c r="G2" s="1510" t="s">
        <v>782</v>
      </c>
      <c r="H2" s="1510"/>
      <c r="I2" s="1510"/>
    </row>
    <row r="3" spans="1:9" ht="27.75" customHeight="1" x14ac:dyDescent="0.2">
      <c r="A3" s="1502" t="s">
        <v>7</v>
      </c>
      <c r="B3" s="1502"/>
      <c r="C3" s="1502"/>
      <c r="D3" s="1502"/>
      <c r="E3" s="1502"/>
      <c r="F3" s="1502"/>
      <c r="G3" s="1502"/>
      <c r="H3" s="1502"/>
      <c r="I3" s="1502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03" t="s">
        <v>64</v>
      </c>
      <c r="B5" s="1505" t="s">
        <v>72</v>
      </c>
      <c r="C5" s="1503" t="s">
        <v>73</v>
      </c>
      <c r="D5" s="1503" t="s">
        <v>924</v>
      </c>
      <c r="E5" s="1507" t="s">
        <v>63</v>
      </c>
      <c r="F5" s="1508"/>
      <c r="G5" s="1508"/>
      <c r="H5" s="1509"/>
      <c r="I5" s="1505" t="s">
        <v>48</v>
      </c>
    </row>
    <row r="6" spans="1:9" s="229" customFormat="1" ht="17.25" customHeight="1" thickBot="1" x14ac:dyDescent="0.25">
      <c r="A6" s="1504"/>
      <c r="B6" s="1506"/>
      <c r="C6" s="1506"/>
      <c r="D6" s="1504"/>
      <c r="E6" s="882">
        <v>2021</v>
      </c>
      <c r="F6" s="882">
        <v>2022</v>
      </c>
      <c r="G6" s="882">
        <v>2023</v>
      </c>
      <c r="H6" s="883" t="s">
        <v>925</v>
      </c>
      <c r="I6" s="1506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0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0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54" t="s">
        <v>36</v>
      </c>
      <c r="B28" s="1355" t="s">
        <v>1083</v>
      </c>
      <c r="C28" s="1356">
        <v>2021</v>
      </c>
      <c r="D28" s="1357">
        <v>0</v>
      </c>
      <c r="E28" s="1357">
        <v>0</v>
      </c>
      <c r="F28" s="1357">
        <v>0</v>
      </c>
      <c r="G28" s="1357">
        <v>13750000</v>
      </c>
      <c r="H28" s="1357">
        <v>153250000</v>
      </c>
      <c r="I28" s="1358">
        <f>SUM(D28:H28)</f>
        <v>167000000</v>
      </c>
    </row>
    <row r="29" spans="1:10" ht="13.5" thickBot="1" x14ac:dyDescent="0.25">
      <c r="A29" s="1499" t="s">
        <v>49</v>
      </c>
      <c r="B29" s="1500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8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H18" sqref="H18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01" t="str">
        <f>CONCATENATE("3. tájékoztató tábla ",ALAPADATOK!A7," ",ALAPADATOK!B7," ",ALAPADATOK!C7," ",ALAPADATOK!D7," ",ALAPADATOK!E7," ",ALAPADATOK!F7," ",ALAPADATOK!G7," ",ALAPADATOK!H7)</f>
        <v>3. tájékoztató tábla a .. / 2022. ( …… ) önkormányzati rendelethez</v>
      </c>
      <c r="B1" s="1501"/>
      <c r="C1" s="1501"/>
      <c r="D1" s="1501"/>
      <c r="E1" s="630"/>
      <c r="F1" s="630"/>
      <c r="G1" s="630"/>
      <c r="H1" s="630"/>
      <c r="I1" s="630"/>
    </row>
    <row r="3" spans="1:9" ht="31.5" customHeight="1" x14ac:dyDescent="0.25">
      <c r="B3" s="1511" t="s">
        <v>547</v>
      </c>
      <c r="C3" s="1511"/>
      <c r="D3" s="1511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12"/>
      <c r="C33" s="1512"/>
      <c r="D33" s="1512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12" t="str">
        <f>CONCATENATE("4. melléklet"," ",ALAPADATOK!A7," ",ALAPADATOK!B7," ",ALAPADATOK!C7," ",ALAPADATOK!D7," ",ALAPADATOK!E7," ",ALAPADATOK!F7," ",ALAPADATOK!G7," ",ALAPADATOK!H7)</f>
        <v>4. melléklet a .. / 2022. ( …… ) önkormányzati rendelethez</v>
      </c>
      <c r="B1" s="1412"/>
      <c r="C1" s="1412"/>
    </row>
    <row r="2" spans="1:4" s="811" customFormat="1" x14ac:dyDescent="0.25">
      <c r="A2" s="690"/>
      <c r="B2" s="690"/>
      <c r="C2" s="690"/>
    </row>
    <row r="3" spans="1:4" s="671" customFormat="1" x14ac:dyDescent="0.25">
      <c r="A3" s="1417" t="str">
        <f>CONCATENATE(ALAPADATOK!A3)</f>
        <v>Tiszavasvári Város Önkormányzat</v>
      </c>
      <c r="B3" s="1417"/>
      <c r="C3" s="1417"/>
      <c r="D3" s="671" t="s">
        <v>710</v>
      </c>
    </row>
    <row r="4" spans="1:4" s="671" customFormat="1" x14ac:dyDescent="0.25">
      <c r="A4" s="1416" t="str">
        <f>CONCATENATE(ALAPADATOK!D7," ÉVI KÖLTSÉGVETÉS")</f>
        <v>2022. ÉVI KÖLTSÉGVETÉS</v>
      </c>
      <c r="B4" s="1416"/>
      <c r="C4" s="1416"/>
      <c r="D4" s="671" t="s">
        <v>987</v>
      </c>
    </row>
    <row r="5" spans="1:4" s="671" customFormat="1" x14ac:dyDescent="0.25">
      <c r="A5" s="1416" t="s">
        <v>718</v>
      </c>
      <c r="B5" s="1416"/>
      <c r="C5" s="1416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14" t="s">
        <v>13</v>
      </c>
      <c r="B7" s="1414"/>
      <c r="C7" s="1414"/>
    </row>
    <row r="8" spans="1:4" ht="15.95" customHeight="1" thickBot="1" x14ac:dyDescent="0.3">
      <c r="A8" s="1413" t="s">
        <v>115</v>
      </c>
      <c r="B8" s="1413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0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87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16" t="s">
        <v>308</v>
      </c>
      <c r="B163" s="1416"/>
      <c r="C163" s="1416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I16" sqref="I16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13" t="str">
        <f>CONCATENATE("13. melléklet ",ALAPADATOK!A7," ",ALAPADATOK!B7," ",ALAPADATOK!C7," ",ALAPADATOK!D7," ",ALAPADATOK!E7," ",ALAPADATOK!F7," ",ALAPADATOK!G7," ",ALAPADATOK!H7)</f>
        <v>13. melléklet a .. / 2022. ( …… ) önkormányzati rendelethez</v>
      </c>
      <c r="B1" s="1513"/>
      <c r="C1" s="1513"/>
      <c r="D1" s="1513"/>
      <c r="E1" s="1513"/>
      <c r="F1" s="1513"/>
      <c r="G1" s="1513"/>
      <c r="H1" s="1513"/>
      <c r="I1" s="1513"/>
      <c r="J1" s="1513"/>
      <c r="K1" s="1513"/>
      <c r="L1" s="1513"/>
      <c r="M1" s="1513"/>
      <c r="N1" s="1513"/>
      <c r="O1" s="1513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39" t="s">
        <v>782</v>
      </c>
    </row>
    <row r="3" spans="1:17" ht="36" customHeight="1" x14ac:dyDescent="0.3">
      <c r="A3" s="1514" t="s">
        <v>936</v>
      </c>
      <c r="B3" s="1515"/>
      <c r="C3" s="1515"/>
      <c r="D3" s="1515"/>
      <c r="E3" s="1515"/>
      <c r="F3" s="1515"/>
      <c r="G3" s="1515"/>
      <c r="H3" s="1515"/>
      <c r="I3" s="1515"/>
      <c r="J3" s="1515"/>
      <c r="K3" s="1515"/>
      <c r="L3" s="1515"/>
      <c r="M3" s="1515"/>
      <c r="N3" s="1515"/>
      <c r="O3" s="1515"/>
    </row>
    <row r="4" spans="1:17" ht="36" customHeight="1" thickBot="1" x14ac:dyDescent="0.35">
      <c r="A4" s="1514"/>
      <c r="B4" s="1514"/>
      <c r="C4" s="1514"/>
      <c r="D4" s="1514"/>
      <c r="E4" s="1514"/>
      <c r="F4" s="1514"/>
      <c r="G4" s="1514"/>
      <c r="H4" s="1514"/>
      <c r="I4" s="1514"/>
      <c r="J4" s="1514"/>
      <c r="K4" s="1514"/>
      <c r="L4" s="1514"/>
      <c r="M4" s="1514"/>
      <c r="N4" s="1514"/>
      <c r="O4" s="1514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16" t="s">
        <v>1061</v>
      </c>
      <c r="C6" s="1517"/>
      <c r="D6" s="1517"/>
      <c r="E6" s="1517"/>
      <c r="F6" s="1517"/>
      <c r="G6" s="1517"/>
      <c r="H6" s="1517"/>
      <c r="I6" s="1517"/>
      <c r="J6" s="1517"/>
      <c r="K6" s="1517"/>
      <c r="L6" s="1517"/>
      <c r="M6" s="1517"/>
      <c r="N6" s="1517"/>
      <c r="O6" s="1518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48966750+129648454+37137-153464+345294+307380+2609349-18233674</f>
        <v>163527226</v>
      </c>
      <c r="O7" s="1405">
        <f t="shared" ref="O7:O15" si="0">SUM(C7:N7)</f>
        <v>1634262294</v>
      </c>
      <c r="P7" s="359">
        <f>'1.1.sz.mell. '!C11</f>
        <v>1634262294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1800000+2080533+3200000+27952619+18926958+2895354</f>
        <v>56855464</v>
      </c>
      <c r="O8" s="361">
        <f t="shared" si="0"/>
        <v>407991699</v>
      </c>
      <c r="P8" s="362">
        <f>'1.1.sz.mell. '!C20</f>
        <v>407991699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6350000+24149629-367673+769675+3211898-2500000</f>
        <v>31613529</v>
      </c>
      <c r="O11" s="361">
        <f t="shared" si="0"/>
        <v>368229537</v>
      </c>
      <c r="P11" s="362">
        <f>'1.1.sz.mell. '!C41</f>
        <v>368229537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f>100000+3475558</f>
        <v>3575558</v>
      </c>
      <c r="O13" s="361">
        <f t="shared" si="0"/>
        <v>15082586</v>
      </c>
      <c r="P13" s="362">
        <f>'1.1.sz.mell. '!C59</f>
        <v>15082586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48966750+35000000+167000000+153497787</f>
        <v>404464537</v>
      </c>
      <c r="O15" s="361">
        <f t="shared" si="0"/>
        <v>2094509705</v>
      </c>
      <c r="P15" s="364">
        <f>'1.1.sz.mell. '!C93</f>
        <v>2094509705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733912019</v>
      </c>
      <c r="O16" s="1181">
        <f>SUM(C16:N16)</f>
        <v>7051629242</v>
      </c>
      <c r="P16" s="366">
        <f>SUM(P7:P15)</f>
        <v>7051629242</v>
      </c>
      <c r="Q16" s="367">
        <f t="shared" si="1"/>
        <v>0</v>
      </c>
    </row>
    <row r="17" spans="1:17" s="42" customFormat="1" ht="15" customHeight="1" thickBot="1" x14ac:dyDescent="0.25">
      <c r="A17" s="41"/>
      <c r="B17" s="1516" t="s">
        <v>1062</v>
      </c>
      <c r="C17" s="1517"/>
      <c r="D17" s="1517"/>
      <c r="E17" s="1517"/>
      <c r="F17" s="1517"/>
      <c r="G17" s="1517"/>
      <c r="H17" s="1517"/>
      <c r="I17" s="1517"/>
      <c r="J17" s="1517"/>
      <c r="K17" s="1517"/>
      <c r="L17" s="1517"/>
      <c r="M17" s="1517"/>
      <c r="N17" s="1517"/>
      <c r="O17" s="1518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105000000-2325039+1565358+172950+123510-1300567+972282+4660788+3068267+1340000</f>
        <v>113277549</v>
      </c>
      <c r="O18" s="361">
        <f t="shared" ref="O18:O28" si="4">SUM(C18:N18)</f>
        <v>1267250778</v>
      </c>
      <c r="P18" s="427">
        <f>'1.1.sz.mell. '!C100</f>
        <v>1267250778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18000000-358592+40251+26809+28054-243346+230547+722422+418841+101156</f>
        <v>18966142</v>
      </c>
      <c r="O19" s="361">
        <f t="shared" si="4"/>
        <v>214274564</v>
      </c>
      <c r="P19" s="427">
        <f>'1.1.sz.mell. '!C101</f>
        <v>214274564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82500000+37137-774101+1112038-960000+31340507+415175+600000+3676958+21732876+21199039+10530986-14122-18233674</f>
        <v>153162819</v>
      </c>
      <c r="O20" s="1405">
        <f t="shared" si="4"/>
        <v>1196861314</v>
      </c>
      <c r="P20" s="427">
        <f>'1.1.sz.mell. '!C102</f>
        <v>1196861314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20000000-3000000-4500000</f>
        <v>12500000</v>
      </c>
      <c r="O21" s="361">
        <f t="shared" si="4"/>
        <v>49000000</v>
      </c>
      <c r="P21" s="427">
        <f>'1.1.sz.mell. '!C103</f>
        <v>49000000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15184698+3378195+1954614-323416+1777403+812329+5752070+14122</f>
        <v>28550015</v>
      </c>
      <c r="O22" s="361">
        <f t="shared" si="4"/>
        <v>258604322</v>
      </c>
      <c r="P22" s="362">
        <f>'1.1.sz.mell. '!C104</f>
        <v>258604322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360000000+2264024-103156039+16679802+163950980+242515422+7404828+900400</f>
        <v>690559417</v>
      </c>
      <c r="O23" s="361">
        <f t="shared" si="4"/>
        <v>962678806</v>
      </c>
      <c r="P23" s="362">
        <f>'1.1.sz.mell. '!C121</f>
        <v>962678806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109320327-18622933-2206257-337038-1099589-2995358-8283760+630160-4501630</f>
        <v>71903922</v>
      </c>
      <c r="O26" s="361">
        <f t="shared" si="4"/>
        <v>81217123</v>
      </c>
      <c r="P26" s="362">
        <f>'1.1.sz.mell. '!C117</f>
        <v>81217123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6250000+80000000+153497787</f>
        <v>239747787</v>
      </c>
      <c r="O27" s="361">
        <f t="shared" si="4"/>
        <v>1077458284</v>
      </c>
      <c r="P27" s="364">
        <f>'1.1.sz.mell. '!C159</f>
        <v>1077458284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2907656390</v>
      </c>
      <c r="O28" s="1181">
        <f t="shared" si="4"/>
        <v>7051629242</v>
      </c>
      <c r="P28" s="366">
        <f>SUM(P18:P27)</f>
        <v>7051629242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C10" sqref="C10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8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21" t="str">
        <f>CONCATENATE("14. melléklet ",ALAPADATOK!A7," ",ALAPADATOK!B7," ",ALAPADATOK!C7," ",ALAPADATOK!D7," ",ALAPADATOK!E7," ",ALAPADATOK!F7," ",ALAPADATOK!G7," ",ALAPADATOK!H7)</f>
        <v>14. melléklet a .. / 2022. ( …… ) önkormányzati rendelethez</v>
      </c>
      <c r="B1" s="1521"/>
      <c r="C1" s="1521"/>
      <c r="D1" s="1521"/>
    </row>
    <row r="2" spans="1:4" ht="17.25" customHeight="1" x14ac:dyDescent="0.2">
      <c r="C2" s="235"/>
      <c r="D2" s="939" t="s">
        <v>782</v>
      </c>
    </row>
    <row r="3" spans="1:4" ht="42" customHeight="1" x14ac:dyDescent="0.2">
      <c r="A3" s="1522" t="s">
        <v>960</v>
      </c>
      <c r="B3" s="1522"/>
      <c r="C3" s="1522"/>
      <c r="D3" s="1522"/>
    </row>
    <row r="4" spans="1:4" ht="33" customHeight="1" thickBot="1" x14ac:dyDescent="0.3">
      <c r="C4" s="236"/>
      <c r="D4" s="921"/>
    </row>
    <row r="5" spans="1:4" ht="45" customHeight="1" thickBot="1" x14ac:dyDescent="0.25">
      <c r="A5" s="1326" t="s">
        <v>761</v>
      </c>
      <c r="B5" s="1327" t="s">
        <v>820</v>
      </c>
      <c r="C5" s="1328" t="s">
        <v>745</v>
      </c>
      <c r="D5" s="1329" t="s">
        <v>900</v>
      </c>
    </row>
    <row r="6" spans="1:4" x14ac:dyDescent="0.2">
      <c r="A6" s="963" t="s">
        <v>16</v>
      </c>
      <c r="B6" s="980" t="s">
        <v>821</v>
      </c>
      <c r="C6" s="962" t="s">
        <v>369</v>
      </c>
      <c r="D6" s="1206">
        <f>176568750+1181580-633330</f>
        <v>177117000</v>
      </c>
    </row>
    <row r="7" spans="1:4" x14ac:dyDescent="0.2">
      <c r="A7" s="964" t="s">
        <v>17</v>
      </c>
      <c r="B7" s="981" t="s">
        <v>822</v>
      </c>
      <c r="C7" s="978" t="s">
        <v>823</v>
      </c>
      <c r="D7" s="1013">
        <v>19779480</v>
      </c>
    </row>
    <row r="8" spans="1:4" x14ac:dyDescent="0.2">
      <c r="A8" s="964" t="s">
        <v>18</v>
      </c>
      <c r="B8" s="981" t="s">
        <v>832</v>
      </c>
      <c r="C8" s="978" t="s">
        <v>824</v>
      </c>
      <c r="D8" s="1013">
        <v>35440000</v>
      </c>
    </row>
    <row r="9" spans="1:4" ht="15" customHeight="1" x14ac:dyDescent="0.2">
      <c r="A9" s="964" t="s">
        <v>19</v>
      </c>
      <c r="B9" s="981" t="s">
        <v>831</v>
      </c>
      <c r="C9" s="978" t="s">
        <v>825</v>
      </c>
      <c r="D9" s="1013">
        <v>7111416</v>
      </c>
    </row>
    <row r="10" spans="1:4" x14ac:dyDescent="0.2">
      <c r="A10" s="964" t="s">
        <v>20</v>
      </c>
      <c r="B10" s="981" t="s">
        <v>828</v>
      </c>
      <c r="C10" s="978" t="s">
        <v>826</v>
      </c>
      <c r="D10" s="1013">
        <f>20759151+633330</f>
        <v>21392481</v>
      </c>
    </row>
    <row r="11" spans="1:4" x14ac:dyDescent="0.2">
      <c r="A11" s="964" t="s">
        <v>21</v>
      </c>
      <c r="B11" s="981" t="s">
        <v>829</v>
      </c>
      <c r="C11" s="978" t="s">
        <v>827</v>
      </c>
      <c r="D11" s="1013">
        <v>35197200</v>
      </c>
    </row>
    <row r="12" spans="1:4" ht="17.25" customHeight="1" x14ac:dyDescent="0.2">
      <c r="A12" s="964" t="s">
        <v>22</v>
      </c>
      <c r="B12" s="981" t="s">
        <v>830</v>
      </c>
      <c r="C12" s="978" t="s">
        <v>370</v>
      </c>
      <c r="D12" s="1013">
        <v>153000</v>
      </c>
    </row>
    <row r="13" spans="1:4" ht="17.25" customHeight="1" thickBot="1" x14ac:dyDescent="0.25">
      <c r="A13" s="972" t="s">
        <v>23</v>
      </c>
      <c r="B13" s="984"/>
      <c r="C13" s="986" t="s">
        <v>901</v>
      </c>
      <c r="D13" s="1014"/>
    </row>
    <row r="14" spans="1:4" ht="32.25" thickBot="1" x14ac:dyDescent="0.25">
      <c r="A14" s="965" t="s">
        <v>24</v>
      </c>
      <c r="B14" s="982" t="s">
        <v>86</v>
      </c>
      <c r="C14" s="959" t="s">
        <v>1018</v>
      </c>
      <c r="D14" s="975">
        <f>SUM(D6:D13)</f>
        <v>296190577</v>
      </c>
    </row>
    <row r="15" spans="1:4" x14ac:dyDescent="0.2">
      <c r="A15" s="966" t="s">
        <v>25</v>
      </c>
      <c r="B15" s="989" t="s">
        <v>833</v>
      </c>
      <c r="C15" s="989" t="s">
        <v>834</v>
      </c>
      <c r="D15" s="977">
        <f>33632220+38960</f>
        <v>33671180</v>
      </c>
    </row>
    <row r="16" spans="1:4" x14ac:dyDescent="0.2">
      <c r="A16" s="964" t="s">
        <v>26</v>
      </c>
      <c r="B16" s="990" t="s">
        <v>835</v>
      </c>
      <c r="C16" s="990" t="s">
        <v>836</v>
      </c>
      <c r="D16" s="1013">
        <f>144872700+486150</f>
        <v>145358850</v>
      </c>
    </row>
    <row r="17" spans="1:5" ht="31.5" x14ac:dyDescent="0.2">
      <c r="A17" s="964" t="s">
        <v>27</v>
      </c>
      <c r="B17" s="990" t="s">
        <v>1006</v>
      </c>
      <c r="C17" s="1197" t="s">
        <v>837</v>
      </c>
      <c r="D17" s="1013">
        <f>7776000-864000-302400</f>
        <v>6609600</v>
      </c>
    </row>
    <row r="18" spans="1:5" ht="31.5" x14ac:dyDescent="0.2">
      <c r="A18" s="964" t="s">
        <v>28</v>
      </c>
      <c r="B18" s="990" t="s">
        <v>1007</v>
      </c>
      <c r="C18" s="1197" t="s">
        <v>838</v>
      </c>
      <c r="D18" s="1013">
        <f>6444000+1476750-483300</f>
        <v>7437450</v>
      </c>
    </row>
    <row r="19" spans="1:5" ht="16.5" thickBot="1" x14ac:dyDescent="0.25">
      <c r="A19" s="967" t="s">
        <v>29</v>
      </c>
      <c r="B19" s="1006" t="s">
        <v>840</v>
      </c>
      <c r="C19" s="987" t="s">
        <v>839</v>
      </c>
      <c r="D19" s="1013">
        <f>61299000+8379000</f>
        <v>69678000</v>
      </c>
    </row>
    <row r="20" spans="1:5" ht="32.25" thickBot="1" x14ac:dyDescent="0.25">
      <c r="A20" s="965" t="s">
        <v>30</v>
      </c>
      <c r="B20" s="982" t="s">
        <v>87</v>
      </c>
      <c r="C20" s="959" t="s">
        <v>1017</v>
      </c>
      <c r="D20" s="975">
        <f>SUM(D15:D19)</f>
        <v>262755080</v>
      </c>
    </row>
    <row r="21" spans="1:5" ht="31.5" customHeight="1" thickBot="1" x14ac:dyDescent="0.25">
      <c r="A21" s="960" t="s">
        <v>31</v>
      </c>
      <c r="B21" s="961" t="s">
        <v>842</v>
      </c>
      <c r="C21" s="988" t="s">
        <v>841</v>
      </c>
      <c r="D21" s="1015">
        <v>127982119</v>
      </c>
    </row>
    <row r="22" spans="1:5" x14ac:dyDescent="0.2">
      <c r="A22" s="966" t="s">
        <v>32</v>
      </c>
      <c r="B22" s="1011" t="s">
        <v>845</v>
      </c>
      <c r="C22" s="989" t="s">
        <v>843</v>
      </c>
      <c r="D22" s="977">
        <f>6560000+249920</f>
        <v>6809920</v>
      </c>
    </row>
    <row r="23" spans="1:5" x14ac:dyDescent="0.2">
      <c r="A23" s="964" t="s">
        <v>33</v>
      </c>
      <c r="B23" s="1012" t="s">
        <v>846</v>
      </c>
      <c r="C23" s="990" t="s">
        <v>844</v>
      </c>
      <c r="D23" s="1013">
        <f>22630000+1107041</f>
        <v>23737041</v>
      </c>
      <c r="E23" s="237"/>
    </row>
    <row r="24" spans="1:5" x14ac:dyDescent="0.2">
      <c r="A24" s="964" t="s">
        <v>34</v>
      </c>
      <c r="B24" s="1012" t="s">
        <v>848</v>
      </c>
      <c r="C24" s="990" t="s">
        <v>847</v>
      </c>
      <c r="D24" s="1013">
        <f>4512480+82280+135140-337850</f>
        <v>4392050</v>
      </c>
    </row>
    <row r="25" spans="1:5" x14ac:dyDescent="0.2">
      <c r="A25" s="964" t="s">
        <v>35</v>
      </c>
      <c r="B25" s="1012" t="s">
        <v>851</v>
      </c>
      <c r="C25" s="990" t="s">
        <v>849</v>
      </c>
      <c r="D25" s="1013">
        <v>25000</v>
      </c>
    </row>
    <row r="26" spans="1:5" x14ac:dyDescent="0.2">
      <c r="A26" s="964" t="s">
        <v>36</v>
      </c>
      <c r="B26" s="1012" t="s">
        <v>852</v>
      </c>
      <c r="C26" s="990" t="s">
        <v>850</v>
      </c>
      <c r="D26" s="1013">
        <f>23595000+982150+378110+378110</f>
        <v>25333370</v>
      </c>
    </row>
    <row r="27" spans="1:5" x14ac:dyDescent="0.2">
      <c r="A27" s="964" t="s">
        <v>37</v>
      </c>
      <c r="B27" s="1012" t="s">
        <v>1008</v>
      </c>
      <c r="C27" s="990" t="s">
        <v>1009</v>
      </c>
      <c r="D27" s="1013">
        <v>3048000</v>
      </c>
    </row>
    <row r="28" spans="1:5" x14ac:dyDescent="0.2">
      <c r="A28" s="964" t="s">
        <v>38</v>
      </c>
      <c r="B28" s="1012" t="s">
        <v>854</v>
      </c>
      <c r="C28" s="990" t="s">
        <v>853</v>
      </c>
      <c r="D28" s="1013">
        <f>3472000+115040-896760</f>
        <v>2690280</v>
      </c>
    </row>
    <row r="29" spans="1:5" x14ac:dyDescent="0.2">
      <c r="A29" s="964" t="s">
        <v>39</v>
      </c>
      <c r="B29" s="1012" t="s">
        <v>855</v>
      </c>
      <c r="C29" s="990" t="s">
        <v>865</v>
      </c>
      <c r="D29" s="1013">
        <v>3000000</v>
      </c>
    </row>
    <row r="30" spans="1:5" x14ac:dyDescent="0.2">
      <c r="A30" s="964" t="s">
        <v>40</v>
      </c>
      <c r="B30" s="995" t="s">
        <v>856</v>
      </c>
      <c r="C30" s="990" t="s">
        <v>866</v>
      </c>
      <c r="D30" s="1013">
        <f>19541200+614152</f>
        <v>20155352</v>
      </c>
    </row>
    <row r="31" spans="1:5" x14ac:dyDescent="0.2">
      <c r="A31" s="964" t="s">
        <v>41</v>
      </c>
      <c r="B31" s="995" t="s">
        <v>895</v>
      </c>
      <c r="C31" s="990" t="s">
        <v>894</v>
      </c>
      <c r="D31" s="1013">
        <v>125358614</v>
      </c>
    </row>
    <row r="32" spans="1:5" ht="16.5" thickBot="1" x14ac:dyDescent="0.25">
      <c r="A32" s="979" t="s">
        <v>42</v>
      </c>
      <c r="B32" s="1008" t="s">
        <v>898</v>
      </c>
      <c r="C32" s="1002" t="s">
        <v>899</v>
      </c>
      <c r="D32" s="1016">
        <v>15950697</v>
      </c>
    </row>
    <row r="33" spans="1:5" ht="32.25" thickBot="1" x14ac:dyDescent="0.25">
      <c r="A33" s="968" t="s">
        <v>43</v>
      </c>
      <c r="B33" s="983" t="s">
        <v>1011</v>
      </c>
      <c r="C33" s="959" t="s">
        <v>1012</v>
      </c>
      <c r="D33" s="969">
        <f>SUM(D22:D32)</f>
        <v>230500324</v>
      </c>
    </row>
    <row r="34" spans="1:5" x14ac:dyDescent="0.2">
      <c r="A34" s="966" t="s">
        <v>779</v>
      </c>
      <c r="B34" s="996" t="s">
        <v>860</v>
      </c>
      <c r="C34" s="997" t="s">
        <v>857</v>
      </c>
      <c r="D34" s="970">
        <f>35700000</f>
        <v>35700000</v>
      </c>
    </row>
    <row r="35" spans="1:5" ht="31.5" x14ac:dyDescent="0.2">
      <c r="A35" s="967" t="s">
        <v>874</v>
      </c>
      <c r="B35" s="996" t="s">
        <v>861</v>
      </c>
      <c r="C35" s="997" t="s">
        <v>858</v>
      </c>
      <c r="D35" s="971">
        <f>33654000</f>
        <v>33654000</v>
      </c>
    </row>
    <row r="36" spans="1:5" ht="16.5" thickBot="1" x14ac:dyDescent="0.25">
      <c r="A36" s="967" t="s">
        <v>875</v>
      </c>
      <c r="B36" s="998" t="s">
        <v>862</v>
      </c>
      <c r="C36" s="999" t="s">
        <v>859</v>
      </c>
      <c r="D36" s="971">
        <f>9248000-1840000</f>
        <v>7408000</v>
      </c>
    </row>
    <row r="37" spans="1:5" ht="16.5" thickBot="1" x14ac:dyDescent="0.25">
      <c r="A37" s="968" t="s">
        <v>876</v>
      </c>
      <c r="B37" s="983" t="s">
        <v>863</v>
      </c>
      <c r="C37" s="1000" t="s">
        <v>864</v>
      </c>
      <c r="D37" s="969">
        <f>SUM(D34:D36)</f>
        <v>76762000</v>
      </c>
      <c r="E37" s="255"/>
    </row>
    <row r="38" spans="1:5" x14ac:dyDescent="0.2">
      <c r="A38" s="963" t="s">
        <v>883</v>
      </c>
      <c r="B38" s="980" t="s">
        <v>867</v>
      </c>
      <c r="C38" s="1001" t="s">
        <v>871</v>
      </c>
      <c r="D38" s="1206">
        <f>148191400+7278600-4442000</f>
        <v>151028000</v>
      </c>
    </row>
    <row r="39" spans="1:5" ht="16.5" thickBot="1" x14ac:dyDescent="0.25">
      <c r="A39" s="972" t="s">
        <v>884</v>
      </c>
      <c r="B39" s="984" t="s">
        <v>868</v>
      </c>
      <c r="C39" s="1002" t="s">
        <v>870</v>
      </c>
      <c r="D39" s="1406">
        <f>53927000+208000</f>
        <v>54135000</v>
      </c>
    </row>
    <row r="40" spans="1:5" ht="30" customHeight="1" thickBot="1" x14ac:dyDescent="0.25">
      <c r="A40" s="973" t="s">
        <v>885</v>
      </c>
      <c r="B40" s="985" t="s">
        <v>869</v>
      </c>
      <c r="C40" s="1003" t="s">
        <v>873</v>
      </c>
      <c r="D40" s="1015">
        <f>SUM(D38:D39)</f>
        <v>205163000</v>
      </c>
    </row>
    <row r="41" spans="1:5" ht="32.25" thickBot="1" x14ac:dyDescent="0.25">
      <c r="A41" s="965" t="s">
        <v>886</v>
      </c>
      <c r="B41" s="982" t="s">
        <v>872</v>
      </c>
      <c r="C41" s="974" t="s">
        <v>1013</v>
      </c>
      <c r="D41" s="975">
        <f>D21+D33+D37+D40</f>
        <v>640407443</v>
      </c>
    </row>
    <row r="42" spans="1:5" x14ac:dyDescent="0.2">
      <c r="A42" s="966" t="s">
        <v>888</v>
      </c>
      <c r="B42" s="1007" t="s">
        <v>877</v>
      </c>
      <c r="C42" s="976" t="s">
        <v>882</v>
      </c>
      <c r="D42" s="977">
        <f>58710960+1334340-5977800</f>
        <v>54067500</v>
      </c>
    </row>
    <row r="43" spans="1:5" x14ac:dyDescent="0.2">
      <c r="A43" s="964" t="s">
        <v>889</v>
      </c>
      <c r="B43" s="996" t="s">
        <v>878</v>
      </c>
      <c r="C43" s="997" t="s">
        <v>881</v>
      </c>
      <c r="D43" s="1013">
        <f>18746144+75851737-9079972</f>
        <v>85517909</v>
      </c>
    </row>
    <row r="44" spans="1:5" ht="16.5" thickBot="1" x14ac:dyDescent="0.25">
      <c r="A44" s="967" t="s">
        <v>891</v>
      </c>
      <c r="B44" s="1004" t="s">
        <v>879</v>
      </c>
      <c r="C44" s="999" t="s">
        <v>880</v>
      </c>
      <c r="D44" s="1407">
        <f>48801690-47196+208791</f>
        <v>48963285</v>
      </c>
    </row>
    <row r="45" spans="1:5" ht="32.25" thickBot="1" x14ac:dyDescent="0.25">
      <c r="A45" s="965" t="s">
        <v>902</v>
      </c>
      <c r="B45" s="982" t="s">
        <v>89</v>
      </c>
      <c r="C45" s="1005" t="s">
        <v>1014</v>
      </c>
      <c r="D45" s="975">
        <f>SUM(D42:D44)</f>
        <v>188548694</v>
      </c>
    </row>
    <row r="46" spans="1:5" ht="31.5" x14ac:dyDescent="0.2">
      <c r="A46" s="963" t="s">
        <v>903</v>
      </c>
      <c r="B46" s="980" t="s">
        <v>887</v>
      </c>
      <c r="C46" s="1009" t="s">
        <v>890</v>
      </c>
      <c r="D46" s="1207">
        <f>28288120+469296</f>
        <v>28757416</v>
      </c>
    </row>
    <row r="47" spans="1:5" x14ac:dyDescent="0.2">
      <c r="A47" s="964" t="s">
        <v>1016</v>
      </c>
      <c r="B47" s="1193" t="s">
        <v>896</v>
      </c>
      <c r="C47" s="1194" t="s">
        <v>897</v>
      </c>
      <c r="D47" s="1195">
        <v>12600000</v>
      </c>
    </row>
    <row r="48" spans="1:5" ht="16.5" thickBot="1" x14ac:dyDescent="0.25">
      <c r="A48" s="972" t="s">
        <v>904</v>
      </c>
      <c r="B48" s="984" t="s">
        <v>984</v>
      </c>
      <c r="C48" s="1196" t="s">
        <v>985</v>
      </c>
      <c r="D48" s="1014">
        <v>951000</v>
      </c>
    </row>
    <row r="49" spans="1:6" ht="32.25" thickBot="1" x14ac:dyDescent="0.25">
      <c r="A49" s="965" t="s">
        <v>905</v>
      </c>
      <c r="B49" s="982" t="s">
        <v>112</v>
      </c>
      <c r="C49" s="1005" t="s">
        <v>1015</v>
      </c>
      <c r="D49" s="975">
        <f>SUM(D46:D48)</f>
        <v>42308416</v>
      </c>
    </row>
    <row r="50" spans="1:6" ht="20.25" customHeight="1" thickBot="1" x14ac:dyDescent="0.25">
      <c r="A50" s="965" t="s">
        <v>983</v>
      </c>
      <c r="B50" s="982" t="s">
        <v>892</v>
      </c>
      <c r="C50" s="1010" t="s">
        <v>893</v>
      </c>
      <c r="D50" s="975">
        <v>-24566831</v>
      </c>
    </row>
    <row r="51" spans="1:6" ht="16.5" thickBot="1" x14ac:dyDescent="0.25">
      <c r="A51" s="965" t="s">
        <v>1010</v>
      </c>
      <c r="B51" s="1519" t="s">
        <v>1063</v>
      </c>
      <c r="C51" s="1520"/>
      <c r="D51" s="1017">
        <f>D14+D20+D41+D45+D49+D50</f>
        <v>1405643379</v>
      </c>
      <c r="F51" s="600"/>
    </row>
    <row r="53" spans="1:6" x14ac:dyDescent="0.25">
      <c r="B53" s="992"/>
      <c r="C53" s="991"/>
    </row>
    <row r="54" spans="1:6" x14ac:dyDescent="0.25">
      <c r="B54" s="992"/>
      <c r="C54" s="991"/>
    </row>
    <row r="55" spans="1:6" x14ac:dyDescent="0.25">
      <c r="B55" s="993"/>
      <c r="C55" s="994"/>
    </row>
    <row r="56" spans="1:6" x14ac:dyDescent="0.25">
      <c r="B56" s="992"/>
      <c r="C56" s="991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zoomScale="130" zoomScaleNormal="130" zoomScaleSheetLayoutView="130" workbookViewId="0">
      <selection activeCell="F13" sqref="F13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23" t="str">
        <f>CONCATENATE("26. melléklet ",ALAPADATOK!A7," ",ALAPADATOK!B7," ",ALAPADATOK!C7," ",ALAPADATOK!D7," ",ALAPADATOK!E7," ",ALAPADATOK!F7," ",ALAPADATOK!G7," ",ALAPADATOK!H7)</f>
        <v>26. melléklet a .. / 2022. ( …… ) önkormányzati rendelethez</v>
      </c>
      <c r="B1" s="1523"/>
      <c r="C1" s="1523"/>
      <c r="D1" s="1523"/>
    </row>
    <row r="2" spans="1:6" x14ac:dyDescent="0.2">
      <c r="D2" s="939" t="s">
        <v>782</v>
      </c>
    </row>
    <row r="3" spans="1:6" ht="45" customHeight="1" x14ac:dyDescent="0.25">
      <c r="A3" s="1524" t="s">
        <v>961</v>
      </c>
      <c r="B3" s="1524"/>
      <c r="C3" s="1524"/>
      <c r="D3" s="1524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25"/>
      <c r="D5" s="1525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30" t="s">
        <v>1082</v>
      </c>
    </row>
    <row r="7" spans="1:6" ht="15.95" customHeight="1" x14ac:dyDescent="0.2">
      <c r="A7" s="1310" t="s">
        <v>16</v>
      </c>
      <c r="B7" s="1311" t="s">
        <v>371</v>
      </c>
      <c r="C7" s="1312" t="s">
        <v>372</v>
      </c>
      <c r="D7" s="1313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2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2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385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2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2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2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2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2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2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2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2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2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2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2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2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2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2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2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2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2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2">
        <v>690537</v>
      </c>
    </row>
    <row r="29" spans="1:6" ht="15.95" customHeight="1" thickBot="1" x14ac:dyDescent="0.25">
      <c r="A29" s="1382" t="s">
        <v>38</v>
      </c>
      <c r="B29" s="1383" t="s">
        <v>1091</v>
      </c>
      <c r="C29" s="1384" t="s">
        <v>372</v>
      </c>
      <c r="D29" s="1385">
        <v>752070</v>
      </c>
    </row>
    <row r="30" spans="1:6" ht="15.95" customHeight="1" thickBot="1" x14ac:dyDescent="0.25">
      <c r="A30" s="1381" t="s">
        <v>38</v>
      </c>
      <c r="B30" s="1526" t="s">
        <v>1064</v>
      </c>
      <c r="C30" s="1527"/>
      <c r="D30" s="1213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tabSelected="1" zoomScaleNormal="100" zoomScaleSheetLayoutView="85" zoomScalePageLayoutView="85" workbookViewId="0">
      <selection activeCell="F14" sqref="F14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5.1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49" t="str">
        <f>CONCATENATE("15. melléklet ",ALAPADATOK!A7," ",ALAPADATOK!B7," ",ALAPADATOK!C7," ",ALAPADATOK!D7," ",ALAPADATOK!E7," ",ALAPADATOK!F7," ",ALAPADATOK!G7," ",ALAPADATOK!H7)</f>
        <v>15. melléklet a .. / 2022. ( …… ) önkormányzati rendelethez</v>
      </c>
      <c r="B1" s="1549"/>
      <c r="C1" s="1549"/>
      <c r="D1" s="1549"/>
      <c r="E1" s="1549"/>
      <c r="F1" s="1549"/>
      <c r="G1" s="1549"/>
      <c r="H1" s="1549"/>
      <c r="I1" s="1549"/>
      <c r="J1" s="1549"/>
      <c r="K1" s="1549"/>
      <c r="L1" s="1549"/>
      <c r="M1" s="1549"/>
      <c r="N1" s="1549"/>
    </row>
    <row r="2" spans="1:193" ht="12.75" customHeight="1" x14ac:dyDescent="0.2">
      <c r="B2" s="305"/>
      <c r="F2" s="306"/>
      <c r="I2" s="305"/>
      <c r="J2" s="1550" t="s">
        <v>782</v>
      </c>
      <c r="K2" s="1550"/>
      <c r="L2" s="1550"/>
      <c r="M2" s="1550"/>
      <c r="N2" s="1550"/>
    </row>
    <row r="3" spans="1:193" ht="17.25" customHeight="1" x14ac:dyDescent="0.35">
      <c r="A3" s="1551" t="s">
        <v>933</v>
      </c>
      <c r="B3" s="1551"/>
      <c r="C3" s="1551"/>
      <c r="D3" s="1551"/>
      <c r="E3" s="1551"/>
      <c r="F3" s="1551"/>
      <c r="G3" s="1551"/>
      <c r="H3" s="1551"/>
      <c r="I3" s="1551"/>
      <c r="J3" s="1551"/>
      <c r="K3" s="1551"/>
      <c r="L3" s="1551"/>
      <c r="M3" s="1551"/>
      <c r="N3" s="1551"/>
      <c r="O3" s="815"/>
    </row>
    <row r="4" spans="1:193" ht="19.5" x14ac:dyDescent="0.35">
      <c r="A4" s="1552" t="s">
        <v>379</v>
      </c>
      <c r="B4" s="1552"/>
      <c r="C4" s="1552"/>
      <c r="D4" s="1552"/>
      <c r="E4" s="1552"/>
      <c r="F4" s="1552"/>
      <c r="G4" s="1552"/>
      <c r="H4" s="1552"/>
      <c r="I4" s="1552"/>
      <c r="J4" s="1552"/>
      <c r="K4" s="1552"/>
      <c r="L4" s="1552"/>
      <c r="M4" s="1552"/>
      <c r="N4" s="1552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56" t="s">
        <v>622</v>
      </c>
      <c r="B6" s="1558" t="s">
        <v>152</v>
      </c>
      <c r="C6" s="1553" t="s">
        <v>380</v>
      </c>
      <c r="D6" s="1554"/>
      <c r="E6" s="1554"/>
      <c r="F6" s="1554"/>
      <c r="G6" s="1554"/>
      <c r="H6" s="1555"/>
      <c r="I6" s="1553" t="s">
        <v>381</v>
      </c>
      <c r="J6" s="1554"/>
      <c r="K6" s="1554"/>
      <c r="L6" s="1554"/>
      <c r="M6" s="1554"/>
      <c r="N6" s="1555"/>
      <c r="O6" s="815"/>
    </row>
    <row r="7" spans="1:193" ht="27" customHeight="1" thickBot="1" x14ac:dyDescent="0.25">
      <c r="A7" s="1557"/>
      <c r="B7" s="1559"/>
      <c r="C7" s="1331" t="s">
        <v>353</v>
      </c>
      <c r="D7" s="1332" t="s">
        <v>9</v>
      </c>
      <c r="E7" s="1332" t="s">
        <v>126</v>
      </c>
      <c r="F7" s="1332" t="s">
        <v>1067</v>
      </c>
      <c r="G7" s="1332" t="s">
        <v>482</v>
      </c>
      <c r="H7" s="1333" t="s">
        <v>1065</v>
      </c>
      <c r="I7" s="1331" t="s">
        <v>1068</v>
      </c>
      <c r="J7" s="1332" t="s">
        <v>1049</v>
      </c>
      <c r="K7" s="1332" t="s">
        <v>1069</v>
      </c>
      <c r="L7" s="1332" t="s">
        <v>110</v>
      </c>
      <c r="M7" s="1332" t="s">
        <v>385</v>
      </c>
      <c r="N7" s="1334" t="s">
        <v>1066</v>
      </c>
      <c r="O7" s="815"/>
    </row>
    <row r="8" spans="1:193" ht="14.25" thickBot="1" x14ac:dyDescent="0.3">
      <c r="A8" s="1530" t="s">
        <v>623</v>
      </c>
      <c r="B8" s="1531"/>
      <c r="C8" s="1532"/>
      <c r="D8" s="1532"/>
      <c r="E8" s="1532"/>
      <c r="F8" s="1532"/>
      <c r="G8" s="1532"/>
      <c r="H8" s="1532"/>
      <c r="I8" s="1532"/>
      <c r="J8" s="1532"/>
      <c r="K8" s="1532"/>
      <c r="L8" s="1532"/>
      <c r="M8" s="1532"/>
      <c r="N8" s="1533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4">
        <v>127000</v>
      </c>
      <c r="D9" s="1215"/>
      <c r="E9" s="1215"/>
      <c r="F9" s="1215"/>
      <c r="G9" s="1215"/>
      <c r="H9" s="1216">
        <f t="shared" ref="H9:H15" si="0">SUM(C9:G9)</f>
        <v>127000</v>
      </c>
      <c r="I9" s="1217">
        <f>32781559+2787150-606000-84537-660000-92070</f>
        <v>34126102</v>
      </c>
      <c r="J9" s="1218">
        <v>2869994</v>
      </c>
      <c r="K9" s="1218"/>
      <c r="L9" s="1218"/>
      <c r="M9" s="1218"/>
      <c r="N9" s="1219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0"/>
      <c r="D10" s="1221"/>
      <c r="E10" s="1221"/>
      <c r="F10" s="1221"/>
      <c r="G10" s="1221"/>
      <c r="H10" s="1219">
        <f t="shared" si="0"/>
        <v>0</v>
      </c>
      <c r="I10" s="1222">
        <v>500000</v>
      </c>
      <c r="J10" s="1221"/>
      <c r="K10" s="1221"/>
      <c r="L10" s="1221"/>
      <c r="M10" s="1221"/>
      <c r="N10" s="1219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0">
        <f>30982865+3078700</f>
        <v>34061565</v>
      </c>
      <c r="D11" s="1221">
        <f>63000000+1499571</f>
        <v>64499571</v>
      </c>
      <c r="E11" s="1221"/>
      <c r="F11" s="1221"/>
      <c r="G11" s="1221"/>
      <c r="H11" s="1223">
        <f t="shared" si="0"/>
        <v>98561136</v>
      </c>
      <c r="I11" s="1222">
        <f>31791596+3278940-3278940+170000+400000+71715-8000000</f>
        <v>24433311</v>
      </c>
      <c r="J11" s="1221">
        <f>7747000+254000+6000+697865</f>
        <v>8704865</v>
      </c>
      <c r="K11" s="1221"/>
      <c r="L11" s="1221"/>
      <c r="M11" s="1221"/>
      <c r="N11" s="1219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0"/>
      <c r="D12" s="1224"/>
      <c r="E12" s="1221"/>
      <c r="F12" s="1221"/>
      <c r="G12" s="1221"/>
      <c r="H12" s="1223">
        <f t="shared" si="0"/>
        <v>0</v>
      </c>
      <c r="I12" s="1222">
        <f>9921632+96499+300000</f>
        <v>10318131</v>
      </c>
      <c r="J12" s="1221"/>
      <c r="K12" s="1221"/>
      <c r="L12" s="1221"/>
      <c r="M12" s="1221"/>
      <c r="N12" s="1219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408">
        <f>1586619919+131199793+48966750-4715+107725-1227663+1466064+951000+1536897+651710+2664490-1840000-4234000+75851737-47196-60000000+50000000-18233674</f>
        <v>1814428837</v>
      </c>
      <c r="D13" s="1221">
        <f>1265000000+40000000+13500100</f>
        <v>1318500100</v>
      </c>
      <c r="E13" s="1221"/>
      <c r="F13" s="1225"/>
      <c r="G13" s="1225"/>
      <c r="H13" s="1223">
        <f t="shared" si="0"/>
        <v>3132928937</v>
      </c>
      <c r="I13" s="1222">
        <f>49106750+15636933+1466064</f>
        <v>66209747</v>
      </c>
      <c r="J13" s="1221"/>
      <c r="K13" s="1225"/>
      <c r="L13" s="1225"/>
      <c r="M13" s="1225"/>
      <c r="N13" s="1219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0"/>
      <c r="D14" s="1226"/>
      <c r="E14" s="1221"/>
      <c r="F14" s="1221"/>
      <c r="G14" s="1221"/>
      <c r="H14" s="1223">
        <f t="shared" ref="H14" si="2">SUM(C14:G14)</f>
        <v>0</v>
      </c>
      <c r="I14" s="1227">
        <v>24566831</v>
      </c>
      <c r="J14" s="1228"/>
      <c r="K14" s="1228"/>
      <c r="L14" s="1228"/>
      <c r="M14" s="1228"/>
      <c r="N14" s="1219">
        <f t="shared" ref="N14" si="3">SUM(I14:M14)</f>
        <v>24566831</v>
      </c>
      <c r="O14" s="815"/>
    </row>
    <row r="15" spans="1:193" ht="13.5" thickBot="1" x14ac:dyDescent="0.25">
      <c r="A15" s="1113" t="s">
        <v>629</v>
      </c>
      <c r="B15" s="1114" t="s">
        <v>386</v>
      </c>
      <c r="C15" s="1229"/>
      <c r="D15" s="1230"/>
      <c r="E15" s="1230"/>
      <c r="F15" s="1230"/>
      <c r="G15" s="1230">
        <v>847491815</v>
      </c>
      <c r="H15" s="1231">
        <f t="shared" si="0"/>
        <v>847491815</v>
      </c>
      <c r="I15" s="1227">
        <v>636000</v>
      </c>
      <c r="J15" s="1228"/>
      <c r="K15" s="1232">
        <f>1588746785-18233674</f>
        <v>1570513111</v>
      </c>
      <c r="L15" s="1228"/>
      <c r="M15" s="1228"/>
      <c r="N15" s="1219">
        <f t="shared" si="1"/>
        <v>1571149111</v>
      </c>
      <c r="O15" s="815"/>
    </row>
    <row r="16" spans="1:193" s="815" customFormat="1" ht="14.25" thickBot="1" x14ac:dyDescent="0.3">
      <c r="A16" s="1534" t="s">
        <v>668</v>
      </c>
      <c r="B16" s="1535" t="s">
        <v>668</v>
      </c>
      <c r="C16" s="1531" t="s">
        <v>668</v>
      </c>
      <c r="D16" s="1531" t="s">
        <v>668</v>
      </c>
      <c r="E16" s="1531" t="s">
        <v>668</v>
      </c>
      <c r="F16" s="1531" t="s">
        <v>668</v>
      </c>
      <c r="G16" s="1531" t="s">
        <v>668</v>
      </c>
      <c r="H16" s="1531" t="s">
        <v>668</v>
      </c>
      <c r="I16" s="1531" t="s">
        <v>668</v>
      </c>
      <c r="J16" s="1531" t="s">
        <v>668</v>
      </c>
      <c r="K16" s="1531" t="s">
        <v>668</v>
      </c>
      <c r="L16" s="1531" t="s">
        <v>668</v>
      </c>
      <c r="M16" s="1531" t="s">
        <v>668</v>
      </c>
      <c r="N16" s="1536" t="s">
        <v>668</v>
      </c>
    </row>
    <row r="17" spans="1:15" s="815" customFormat="1" x14ac:dyDescent="0.2">
      <c r="A17" s="605" t="s">
        <v>669</v>
      </c>
      <c r="B17" s="606" t="s">
        <v>670</v>
      </c>
      <c r="C17" s="1214"/>
      <c r="D17" s="1215"/>
      <c r="E17" s="1215"/>
      <c r="F17" s="1215"/>
      <c r="G17" s="1215"/>
      <c r="H17" s="1216">
        <f t="shared" ref="H17:H23" si="4">SUM(C17:G17)</f>
        <v>0</v>
      </c>
      <c r="I17" s="1233">
        <v>37424697</v>
      </c>
      <c r="J17" s="1215">
        <f>5000000-3937008-1062992</f>
        <v>0</v>
      </c>
      <c r="K17" s="1215"/>
      <c r="L17" s="1215"/>
      <c r="M17" s="1215"/>
      <c r="N17" s="1216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0"/>
      <c r="D18" s="1221"/>
      <c r="E18" s="1221"/>
      <c r="F18" s="1221"/>
      <c r="G18" s="1221"/>
      <c r="H18" s="1223">
        <f t="shared" si="4"/>
        <v>0</v>
      </c>
      <c r="I18" s="1222">
        <v>47000</v>
      </c>
      <c r="J18" s="1221"/>
      <c r="K18" s="1221"/>
      <c r="L18" s="1221"/>
      <c r="M18" s="1221"/>
      <c r="N18" s="1223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0"/>
      <c r="D19" s="1221"/>
      <c r="E19" s="1221"/>
      <c r="F19" s="1221"/>
      <c r="G19" s="1221"/>
      <c r="H19" s="1223">
        <f t="shared" ref="H19" si="6">SUM(C19:G19)</f>
        <v>0</v>
      </c>
      <c r="I19" s="1222">
        <f>10311024-553313</f>
        <v>9757711</v>
      </c>
      <c r="J19" s="1221">
        <f>39476378+212598+553313</f>
        <v>40242289</v>
      </c>
      <c r="K19" s="1221"/>
      <c r="L19" s="1221"/>
      <c r="M19" s="1221"/>
      <c r="N19" s="1223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0"/>
      <c r="D20" s="1221"/>
      <c r="E20" s="1221"/>
      <c r="F20" s="1221"/>
      <c r="G20" s="1221"/>
      <c r="H20" s="1223">
        <f t="shared" si="4"/>
        <v>0</v>
      </c>
      <c r="I20" s="1222"/>
      <c r="J20" s="1221">
        <v>250000</v>
      </c>
      <c r="K20" s="1221"/>
      <c r="L20" s="1221"/>
      <c r="M20" s="1221"/>
      <c r="N20" s="1223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0"/>
      <c r="D21" s="1221"/>
      <c r="E21" s="1221"/>
      <c r="F21" s="1221"/>
      <c r="G21" s="1221"/>
      <c r="H21" s="1223">
        <f t="shared" si="4"/>
        <v>0</v>
      </c>
      <c r="I21" s="1222">
        <f>5592279+15499217+260000+4195588+40000-536710+30000</f>
        <v>25080374</v>
      </c>
      <c r="J21" s="1221">
        <f>46370421+586618264+158386931+536710+980848+264829</f>
        <v>793158003</v>
      </c>
      <c r="K21" s="1221"/>
      <c r="L21" s="1221"/>
      <c r="M21" s="1221"/>
      <c r="N21" s="1223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4"/>
      <c r="D22" s="1221"/>
      <c r="E22" s="1235"/>
      <c r="F22" s="1235"/>
      <c r="G22" s="1236"/>
      <c r="H22" s="1223">
        <f>SUM(C22:G22)</f>
        <v>0</v>
      </c>
      <c r="I22" s="1222">
        <v>337820</v>
      </c>
      <c r="J22" s="1221"/>
      <c r="K22" s="1236"/>
      <c r="L22" s="1236"/>
      <c r="M22" s="1236"/>
      <c r="N22" s="1223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0">
        <f>25525800+1809000</f>
        <v>27334800</v>
      </c>
      <c r="D23" s="1221">
        <v>100000000</v>
      </c>
      <c r="E23" s="1221"/>
      <c r="F23" s="1221"/>
      <c r="G23" s="1221"/>
      <c r="H23" s="1223">
        <f t="shared" si="4"/>
        <v>127334800</v>
      </c>
      <c r="I23" s="1222">
        <v>28137400</v>
      </c>
      <c r="J23" s="1221">
        <f>97670000+1809000</f>
        <v>99479000</v>
      </c>
      <c r="K23" s="1221"/>
      <c r="L23" s="1221"/>
      <c r="M23" s="1221"/>
      <c r="N23" s="1223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4"/>
      <c r="D24" s="1221">
        <v>3482179</v>
      </c>
      <c r="E24" s="1235"/>
      <c r="F24" s="1235"/>
      <c r="G24" s="1236"/>
      <c r="H24" s="1223">
        <f t="shared" ref="H24" si="8">SUM(C24:G24)</f>
        <v>3482179</v>
      </c>
      <c r="I24" s="1222">
        <f>773900+3871338+260000+1056062+40000+2315913</f>
        <v>8317213</v>
      </c>
      <c r="J24" s="1221">
        <f>153782518+40990082-2315913</f>
        <v>192456687</v>
      </c>
      <c r="K24" s="1236"/>
      <c r="L24" s="1236"/>
      <c r="M24" s="1236"/>
      <c r="N24" s="1223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237">
        <v>19166098</v>
      </c>
      <c r="D25" s="1238">
        <f>534833902</f>
        <v>534833902</v>
      </c>
      <c r="E25" s="1238"/>
      <c r="F25" s="1238"/>
      <c r="G25" s="1238"/>
      <c r="H25" s="1239">
        <f t="shared" ref="H25" si="10">SUM(C25:G25)</f>
        <v>554000000</v>
      </c>
      <c r="I25" s="1240">
        <v>19166098</v>
      </c>
      <c r="J25" s="1238">
        <v>534833902</v>
      </c>
      <c r="K25" s="1238"/>
      <c r="L25" s="1238"/>
      <c r="M25" s="1238"/>
      <c r="N25" s="1239">
        <f t="shared" ref="N25" si="11">SUM(I25:M25)</f>
        <v>554000000</v>
      </c>
    </row>
    <row r="26" spans="1:15" ht="14.25" thickBot="1" x14ac:dyDescent="0.3">
      <c r="A26" s="1534" t="s">
        <v>634</v>
      </c>
      <c r="B26" s="1535"/>
      <c r="C26" s="1535"/>
      <c r="D26" s="1535"/>
      <c r="E26" s="1535"/>
      <c r="F26" s="1535"/>
      <c r="G26" s="1535"/>
      <c r="H26" s="1535"/>
      <c r="I26" s="1535"/>
      <c r="J26" s="1535"/>
      <c r="K26" s="1535"/>
      <c r="L26" s="1535"/>
      <c r="M26" s="1535"/>
      <c r="N26" s="1537"/>
      <c r="O26" s="815"/>
    </row>
    <row r="27" spans="1:15" ht="25.5" x14ac:dyDescent="0.2">
      <c r="A27" s="801" t="s">
        <v>635</v>
      </c>
      <c r="B27" s="802" t="s">
        <v>636</v>
      </c>
      <c r="C27" s="1215">
        <v>507601</v>
      </c>
      <c r="D27" s="1241"/>
      <c r="E27" s="1241"/>
      <c r="F27" s="1241"/>
      <c r="G27" s="1241"/>
      <c r="H27" s="1216">
        <f>SUM(C27:G27)</f>
        <v>507601</v>
      </c>
      <c r="I27" s="1233">
        <v>25486091</v>
      </c>
      <c r="J27" s="1241"/>
      <c r="K27" s="1241"/>
      <c r="L27" s="1241"/>
      <c r="M27" s="1241"/>
      <c r="N27" s="1216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1"/>
      <c r="D28" s="1221"/>
      <c r="E28" s="1221"/>
      <c r="F28" s="1221"/>
      <c r="G28" s="1221"/>
      <c r="H28" s="1223">
        <f>SUM(C28:G28)</f>
        <v>0</v>
      </c>
      <c r="I28" s="1222">
        <v>835000</v>
      </c>
      <c r="J28" s="1225"/>
      <c r="K28" s="1225"/>
      <c r="L28" s="1225"/>
      <c r="M28" s="1225"/>
      <c r="N28" s="1223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1">
        <v>1000000</v>
      </c>
      <c r="D29" s="1225"/>
      <c r="E29" s="1236"/>
      <c r="F29" s="1225"/>
      <c r="G29" s="1225"/>
      <c r="H29" s="1223">
        <f>SUM(C29:G29)</f>
        <v>1000000</v>
      </c>
      <c r="I29" s="1242"/>
      <c r="J29" s="1221">
        <v>359410</v>
      </c>
      <c r="K29" s="1225"/>
      <c r="L29" s="1225"/>
      <c r="M29" s="1225"/>
      <c r="N29" s="1223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38"/>
      <c r="D30" s="1243"/>
      <c r="E30" s="1244"/>
      <c r="F30" s="1243"/>
      <c r="G30" s="1243"/>
      <c r="H30" s="1223">
        <f>SUM(C30:G30)</f>
        <v>0</v>
      </c>
      <c r="I30" s="1240">
        <v>9423700</v>
      </c>
      <c r="J30" s="1238"/>
      <c r="K30" s="1243"/>
      <c r="L30" s="1243"/>
      <c r="M30" s="1243"/>
      <c r="N30" s="1223">
        <f>SUM(I30:M30)</f>
        <v>9423700</v>
      </c>
      <c r="O30" s="815"/>
    </row>
    <row r="31" spans="1:15" ht="14.25" thickBot="1" x14ac:dyDescent="0.3">
      <c r="A31" s="1538" t="s">
        <v>645</v>
      </c>
      <c r="B31" s="1539"/>
      <c r="C31" s="1540"/>
      <c r="D31" s="1540"/>
      <c r="E31" s="1540"/>
      <c r="F31" s="1540"/>
      <c r="G31" s="1540"/>
      <c r="H31" s="1540"/>
      <c r="I31" s="1540"/>
      <c r="J31" s="1540"/>
      <c r="K31" s="1540"/>
      <c r="L31" s="1540"/>
      <c r="M31" s="1540"/>
      <c r="N31" s="1541"/>
      <c r="O31" s="815"/>
    </row>
    <row r="32" spans="1:15" ht="25.5" x14ac:dyDescent="0.2">
      <c r="A32" s="801" t="s">
        <v>757</v>
      </c>
      <c r="B32" s="806" t="s">
        <v>758</v>
      </c>
      <c r="C32" s="1233">
        <v>17763750</v>
      </c>
      <c r="D32" s="1215">
        <v>21590900</v>
      </c>
      <c r="E32" s="1214"/>
      <c r="F32" s="1215"/>
      <c r="G32" s="1215"/>
      <c r="H32" s="1216">
        <f>SUM(C32:G32)</f>
        <v>39354650</v>
      </c>
      <c r="I32" s="1233">
        <f>49080136+80000+260000+21600+3706131+498268-63914+43799248+306000+160000+123800+1767420-1000000</f>
        <v>98738689</v>
      </c>
      <c r="J32" s="1215">
        <f>470243389+460000-99693863-42904652+101513834+188982+415960-1049020+35000</f>
        <v>429209630</v>
      </c>
      <c r="K32" s="1215"/>
      <c r="L32" s="1215"/>
      <c r="M32" s="1215"/>
      <c r="N32" s="1216">
        <f>SUM(I32:M32)</f>
        <v>527948319</v>
      </c>
      <c r="O32" s="815"/>
    </row>
    <row r="33" spans="1:15" x14ac:dyDescent="0.2">
      <c r="A33" s="803" t="s">
        <v>640</v>
      </c>
      <c r="B33" s="807" t="s">
        <v>382</v>
      </c>
      <c r="C33" s="1217"/>
      <c r="D33" s="1218"/>
      <c r="E33" s="1245"/>
      <c r="F33" s="1218"/>
      <c r="G33" s="1218"/>
      <c r="H33" s="1219">
        <f>SUM(C33:G33)</f>
        <v>0</v>
      </c>
      <c r="I33" s="1217">
        <f>31945438+2000000+1270000</f>
        <v>35215438</v>
      </c>
      <c r="J33" s="1218">
        <f>381000+165000000</f>
        <v>165381000</v>
      </c>
      <c r="K33" s="1218"/>
      <c r="L33" s="1218"/>
      <c r="M33" s="1218"/>
      <c r="N33" s="1219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46"/>
      <c r="D34" s="1221"/>
      <c r="E34" s="1221"/>
      <c r="F34" s="1221"/>
      <c r="G34" s="1221"/>
      <c r="H34" s="1223">
        <f>SUM(C34:G34)</f>
        <v>0</v>
      </c>
      <c r="I34" s="1222">
        <f>12658308+2436985+44450</f>
        <v>15139743</v>
      </c>
      <c r="J34" s="1221">
        <v>1017270</v>
      </c>
      <c r="K34" s="1221"/>
      <c r="L34" s="1221"/>
      <c r="M34" s="1221"/>
      <c r="N34" s="1219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0">
        <f>5890000+4143150</f>
        <v>10033150</v>
      </c>
      <c r="D35" s="1238"/>
      <c r="E35" s="1238">
        <v>7000000</v>
      </c>
      <c r="F35" s="1238"/>
      <c r="G35" s="1238"/>
      <c r="H35" s="1239">
        <f>SUM(C35:G35)</f>
        <v>17033150</v>
      </c>
      <c r="I35" s="1240">
        <f>58668853+4143150+642188-44450-30000+115500</f>
        <v>63495241</v>
      </c>
      <c r="J35" s="1238">
        <f>29960380+4293870-980848-264829+1000000</f>
        <v>34008573</v>
      </c>
      <c r="K35" s="1238"/>
      <c r="L35" s="1238"/>
      <c r="M35" s="1238"/>
      <c r="N35" s="1231">
        <f>SUM(I35:M35)</f>
        <v>97503814</v>
      </c>
      <c r="O35" s="815"/>
    </row>
    <row r="36" spans="1:15" ht="15.75" thickBot="1" x14ac:dyDescent="0.3">
      <c r="A36" s="1542" t="s">
        <v>646</v>
      </c>
      <c r="B36" s="1543"/>
      <c r="C36" s="1543"/>
      <c r="D36" s="1543"/>
      <c r="E36" s="1543"/>
      <c r="F36" s="1543"/>
      <c r="G36" s="1543"/>
      <c r="H36" s="1543"/>
      <c r="I36" s="1543"/>
      <c r="J36" s="1543"/>
      <c r="K36" s="1543"/>
      <c r="L36" s="1543"/>
      <c r="M36" s="1543"/>
      <c r="N36" s="1544"/>
      <c r="O36" s="815"/>
    </row>
    <row r="37" spans="1:15" x14ac:dyDescent="0.2">
      <c r="A37" s="1111" t="s">
        <v>792</v>
      </c>
      <c r="B37" s="1112" t="s">
        <v>793</v>
      </c>
      <c r="C37" s="1214">
        <f>22269503+16000000+176300+47601</f>
        <v>38493404</v>
      </c>
      <c r="D37" s="1247"/>
      <c r="E37" s="1247"/>
      <c r="F37" s="1247"/>
      <c r="G37" s="1247"/>
      <c r="H37" s="1216">
        <f t="shared" ref="H37:H43" si="12">SUM(C37:G37)</f>
        <v>38493404</v>
      </c>
      <c r="I37" s="1359">
        <f>22304482+3871338+260000+1056062+39317017+40000+1500000+232500+176300+14267500+30000+47601+30000-920283+50800</f>
        <v>82263317</v>
      </c>
      <c r="J37" s="1215">
        <f>914000+153782518+1673065+196850+196850+106300+920283-50800</f>
        <v>157739066</v>
      </c>
      <c r="K37" s="1248"/>
      <c r="L37" s="1248"/>
      <c r="M37" s="1248"/>
      <c r="N37" s="1216">
        <f t="shared" ref="N37:N43" si="13">SUM(I37:M37)</f>
        <v>240002383</v>
      </c>
      <c r="O37" s="815"/>
    </row>
    <row r="38" spans="1:15" x14ac:dyDescent="0.2">
      <c r="A38" s="948" t="s">
        <v>773</v>
      </c>
      <c r="B38" s="949" t="s">
        <v>774</v>
      </c>
      <c r="C38" s="1245">
        <v>2244020</v>
      </c>
      <c r="D38" s="1249"/>
      <c r="E38" s="1249"/>
      <c r="F38" s="1249"/>
      <c r="G38" s="1249"/>
      <c r="H38" s="1219">
        <f t="shared" ref="H38" si="14">SUM(C38:G38)</f>
        <v>2244020</v>
      </c>
      <c r="I38" s="1250">
        <v>32313615</v>
      </c>
      <c r="J38" s="1218"/>
      <c r="K38" s="1251"/>
      <c r="L38" s="1251"/>
      <c r="M38" s="1251"/>
      <c r="N38" s="1219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0"/>
      <c r="D39" s="1220"/>
      <c r="E39" s="1220"/>
      <c r="F39" s="1220"/>
      <c r="G39" s="1220"/>
      <c r="H39" s="1223">
        <f>SUM(C39:G39)</f>
        <v>0</v>
      </c>
      <c r="I39" s="1252">
        <v>47177800</v>
      </c>
      <c r="J39" s="1221">
        <f>39476378+10523622</f>
        <v>50000000</v>
      </c>
      <c r="K39" s="1221"/>
      <c r="L39" s="1221"/>
      <c r="M39" s="1221"/>
      <c r="N39" s="1219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0"/>
      <c r="D40" s="1221"/>
      <c r="E40" s="1221"/>
      <c r="F40" s="1221"/>
      <c r="G40" s="1221"/>
      <c r="H40" s="1223">
        <f t="shared" si="12"/>
        <v>0</v>
      </c>
      <c r="I40" s="1222">
        <f>3600000+200000+260000+40000+10800+600000</f>
        <v>4710800</v>
      </c>
      <c r="J40" s="1221"/>
      <c r="K40" s="1221"/>
      <c r="L40" s="1221"/>
      <c r="M40" s="1221"/>
      <c r="N40" s="1219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0"/>
      <c r="D41" s="1221"/>
      <c r="E41" s="1221"/>
      <c r="F41" s="1221"/>
      <c r="G41" s="1221"/>
      <c r="H41" s="1223">
        <f>SUM(C41:G41)</f>
        <v>0</v>
      </c>
      <c r="I41" s="1222">
        <v>14315587</v>
      </c>
      <c r="J41" s="1221"/>
      <c r="K41" s="1221"/>
      <c r="L41" s="1221"/>
      <c r="M41" s="1221"/>
      <c r="N41" s="1219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0"/>
      <c r="D42" s="1236"/>
      <c r="E42" s="1236"/>
      <c r="F42" s="1236"/>
      <c r="G42" s="1236"/>
      <c r="H42" s="1223">
        <f>SUM(C42:G42)</f>
        <v>0</v>
      </c>
      <c r="I42" s="1222">
        <v>5969000</v>
      </c>
      <c r="J42" s="1221">
        <v>127000</v>
      </c>
      <c r="K42" s="1236"/>
      <c r="L42" s="1236"/>
      <c r="M42" s="1236"/>
      <c r="N42" s="1219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37">
        <v>400000</v>
      </c>
      <c r="D43" s="1238">
        <v>100000</v>
      </c>
      <c r="E43" s="1238"/>
      <c r="F43" s="1238"/>
      <c r="G43" s="1238"/>
      <c r="H43" s="1239">
        <f t="shared" si="12"/>
        <v>500000</v>
      </c>
      <c r="I43" s="1240">
        <v>633985</v>
      </c>
      <c r="J43" s="1238">
        <v>166015</v>
      </c>
      <c r="K43" s="1238"/>
      <c r="L43" s="1238"/>
      <c r="M43" s="1238"/>
      <c r="N43" s="1231">
        <f t="shared" si="13"/>
        <v>800000</v>
      </c>
      <c r="O43" s="815"/>
    </row>
    <row r="44" spans="1:15" ht="14.25" thickBot="1" x14ac:dyDescent="0.3">
      <c r="A44" s="1534" t="s">
        <v>651</v>
      </c>
      <c r="B44" s="1535"/>
      <c r="C44" s="1532"/>
      <c r="D44" s="1532"/>
      <c r="E44" s="1532"/>
      <c r="F44" s="1532"/>
      <c r="G44" s="1532"/>
      <c r="H44" s="1532"/>
      <c r="I44" s="1532"/>
      <c r="J44" s="1532"/>
      <c r="K44" s="1532"/>
      <c r="L44" s="1532"/>
      <c r="M44" s="1532"/>
      <c r="N44" s="1533"/>
      <c r="O44" s="815"/>
    </row>
    <row r="45" spans="1:15" ht="25.5" x14ac:dyDescent="0.2">
      <c r="A45" s="1162" t="s">
        <v>794</v>
      </c>
      <c r="B45" s="1163" t="s">
        <v>795</v>
      </c>
      <c r="C45" s="1253"/>
      <c r="D45" s="1254"/>
      <c r="E45" s="1254"/>
      <c r="F45" s="1254"/>
      <c r="G45" s="1254"/>
      <c r="H45" s="1255">
        <f t="shared" ref="H45:H50" si="16">SUM(C45:G45)</f>
        <v>0</v>
      </c>
      <c r="I45" s="1366">
        <f>6383081-957363+10664415+13500100</f>
        <v>29590233</v>
      </c>
      <c r="J45" s="1254">
        <f>2813609+4100000+1107000</f>
        <v>8020609</v>
      </c>
      <c r="K45" s="1254"/>
      <c r="L45" s="1254"/>
      <c r="M45" s="1254"/>
      <c r="N45" s="1255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0">
        <v>7500000</v>
      </c>
      <c r="D46" s="1236"/>
      <c r="E46" s="1236"/>
      <c r="F46" s="1236"/>
      <c r="G46" s="1236"/>
      <c r="H46" s="1343">
        <f t="shared" si="16"/>
        <v>7500000</v>
      </c>
      <c r="I46" s="1222">
        <v>7507970</v>
      </c>
      <c r="J46" s="1221"/>
      <c r="K46" s="1221"/>
      <c r="L46" s="1221"/>
      <c r="M46" s="1221"/>
      <c r="N46" s="1343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0">
        <v>10000000</v>
      </c>
      <c r="D47" s="1221"/>
      <c r="E47" s="1221"/>
      <c r="F47" s="1221"/>
      <c r="G47" s="1221"/>
      <c r="H47" s="1223">
        <f t="shared" si="16"/>
        <v>10000000</v>
      </c>
      <c r="I47" s="1222">
        <f>2185107-327732</f>
        <v>1857375</v>
      </c>
      <c r="J47" s="1221"/>
      <c r="K47" s="1221"/>
      <c r="L47" s="1221"/>
      <c r="M47" s="1221"/>
      <c r="N47" s="1223">
        <f t="shared" si="17"/>
        <v>1857375</v>
      </c>
      <c r="O47" s="815"/>
    </row>
    <row r="48" spans="1:15" x14ac:dyDescent="0.2">
      <c r="A48" s="950" t="s">
        <v>652</v>
      </c>
      <c r="B48" s="951" t="s">
        <v>577</v>
      </c>
      <c r="C48" s="1256">
        <v>698500</v>
      </c>
      <c r="D48" s="1257"/>
      <c r="E48" s="1257"/>
      <c r="F48" s="1257"/>
      <c r="G48" s="1257"/>
      <c r="H48" s="1219">
        <f t="shared" si="16"/>
        <v>698500</v>
      </c>
      <c r="I48" s="1258">
        <v>6637128</v>
      </c>
      <c r="J48" s="1257"/>
      <c r="K48" s="1257"/>
      <c r="L48" s="1257"/>
      <c r="M48" s="1257"/>
      <c r="N48" s="1219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59">
        <v>411176</v>
      </c>
      <c r="D49" s="1260"/>
      <c r="E49" s="1260"/>
      <c r="F49" s="1260"/>
      <c r="G49" s="1260"/>
      <c r="H49" s="1223">
        <f t="shared" si="16"/>
        <v>411176</v>
      </c>
      <c r="I49" s="1227">
        <f>42449867+690537+5000000+752070</f>
        <v>48892474</v>
      </c>
      <c r="J49" s="1228">
        <v>5911806</v>
      </c>
      <c r="K49" s="1228"/>
      <c r="L49" s="1228"/>
      <c r="M49" s="1228"/>
      <c r="N49" s="1219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59">
        <v>30768216</v>
      </c>
      <c r="D50" s="1228">
        <v>806423</v>
      </c>
      <c r="E50" s="1260"/>
      <c r="F50" s="1260"/>
      <c r="G50" s="1260"/>
      <c r="H50" s="1261">
        <f t="shared" si="16"/>
        <v>31574639</v>
      </c>
      <c r="I50" s="1227">
        <v>52345692</v>
      </c>
      <c r="J50" s="1260">
        <f>1569049+1</f>
        <v>1569050</v>
      </c>
      <c r="K50" s="1228"/>
      <c r="L50" s="1228"/>
      <c r="M50" s="1228"/>
      <c r="N50" s="1219">
        <f t="shared" si="17"/>
        <v>53914742</v>
      </c>
    </row>
    <row r="51" spans="1:15" s="418" customFormat="1" ht="14.25" thickBot="1" x14ac:dyDescent="0.3">
      <c r="A51" s="1534" t="s">
        <v>783</v>
      </c>
      <c r="B51" s="1535"/>
      <c r="C51" s="1532"/>
      <c r="D51" s="1532"/>
      <c r="E51" s="1532"/>
      <c r="F51" s="1532"/>
      <c r="G51" s="1532"/>
      <c r="H51" s="1532"/>
      <c r="I51" s="1532"/>
      <c r="J51" s="1532"/>
      <c r="K51" s="1532"/>
      <c r="L51" s="1532"/>
      <c r="M51" s="1532"/>
      <c r="N51" s="1533"/>
    </row>
    <row r="52" spans="1:15" s="418" customFormat="1" ht="13.5" thickBot="1" x14ac:dyDescent="0.25">
      <c r="A52" s="615" t="s">
        <v>784</v>
      </c>
      <c r="B52" s="612" t="s">
        <v>785</v>
      </c>
      <c r="C52" s="1256"/>
      <c r="D52" s="1257"/>
      <c r="E52" s="1257"/>
      <c r="F52" s="1257"/>
      <c r="G52" s="1257"/>
      <c r="H52" s="1219">
        <f>SUM(C52:G52)</f>
        <v>0</v>
      </c>
      <c r="I52" s="1258">
        <f>2661800+2631637+1951101-394705+1062168+286785</f>
        <v>8198786</v>
      </c>
      <c r="J52" s="1257">
        <f>220802416+36786462+9805285-853131-849509+1523182+184458</f>
        <v>267399163</v>
      </c>
      <c r="K52" s="1257"/>
      <c r="L52" s="1257"/>
      <c r="M52" s="1257"/>
      <c r="N52" s="1219">
        <f>SUM(I52:M52)</f>
        <v>275597949</v>
      </c>
    </row>
    <row r="53" spans="1:15" ht="14.25" thickBot="1" x14ac:dyDescent="0.3">
      <c r="A53" s="1534" t="s">
        <v>656</v>
      </c>
      <c r="B53" s="1535"/>
      <c r="C53" s="1531"/>
      <c r="D53" s="1531"/>
      <c r="E53" s="1531"/>
      <c r="F53" s="1531"/>
      <c r="G53" s="1531"/>
      <c r="H53" s="1531"/>
      <c r="I53" s="1531"/>
      <c r="J53" s="1531"/>
      <c r="K53" s="1531"/>
      <c r="L53" s="1531"/>
      <c r="M53" s="1531"/>
      <c r="N53" s="1536"/>
      <c r="O53" s="815"/>
    </row>
    <row r="54" spans="1:15" ht="25.5" x14ac:dyDescent="0.2">
      <c r="A54" s="1166">
        <v>101211</v>
      </c>
      <c r="B54" s="1163" t="s">
        <v>975</v>
      </c>
      <c r="C54" s="1253"/>
      <c r="D54" s="1254"/>
      <c r="E54" s="1254"/>
      <c r="F54" s="1254"/>
      <c r="G54" s="1254"/>
      <c r="H54" s="1255">
        <f t="shared" ref="H54:H60" si="18">SUM(C54:G54)</f>
        <v>0</v>
      </c>
      <c r="I54" s="1215">
        <f>4079529-611866</f>
        <v>3467663</v>
      </c>
      <c r="J54" s="1215"/>
      <c r="K54" s="1215"/>
      <c r="L54" s="1215"/>
      <c r="M54" s="1215"/>
      <c r="N54" s="1216">
        <f t="shared" ref="N54:N63" si="19">SUM(I54:M54)</f>
        <v>3467663</v>
      </c>
      <c r="O54" s="815"/>
    </row>
    <row r="55" spans="1:15" ht="25.5" x14ac:dyDescent="0.2">
      <c r="A55" s="1167">
        <v>101222</v>
      </c>
      <c r="B55" s="614" t="s">
        <v>979</v>
      </c>
      <c r="C55" s="1220"/>
      <c r="D55" s="1221">
        <v>9000000</v>
      </c>
      <c r="E55" s="1221"/>
      <c r="F55" s="1221"/>
      <c r="G55" s="1221"/>
      <c r="H55" s="1223">
        <f t="shared" si="18"/>
        <v>9000000</v>
      </c>
      <c r="I55" s="1221"/>
      <c r="J55" s="1221">
        <v>9195000</v>
      </c>
      <c r="K55" s="1221"/>
      <c r="L55" s="1221"/>
      <c r="M55" s="1221"/>
      <c r="N55" s="1223">
        <f t="shared" ref="N55" si="20">SUM(I55:M55)</f>
        <v>9195000</v>
      </c>
      <c r="O55" s="815"/>
    </row>
    <row r="56" spans="1:15" x14ac:dyDescent="0.2">
      <c r="A56" s="1167">
        <v>102023</v>
      </c>
      <c r="B56" s="614" t="s">
        <v>976</v>
      </c>
      <c r="C56" s="1220"/>
      <c r="D56" s="1221"/>
      <c r="E56" s="1221"/>
      <c r="F56" s="1221"/>
      <c r="G56" s="1221"/>
      <c r="H56" s="1223">
        <f t="shared" si="18"/>
        <v>0</v>
      </c>
      <c r="I56" s="1221">
        <f>6563195-984378</f>
        <v>5578817</v>
      </c>
      <c r="J56" s="1221"/>
      <c r="K56" s="1221"/>
      <c r="L56" s="1221"/>
      <c r="M56" s="1221"/>
      <c r="N56" s="1223">
        <f t="shared" si="19"/>
        <v>5578817</v>
      </c>
      <c r="O56" s="815"/>
    </row>
    <row r="57" spans="1:15" x14ac:dyDescent="0.2">
      <c r="A57" s="1164">
        <v>102024</v>
      </c>
      <c r="B57" s="951" t="s">
        <v>977</v>
      </c>
      <c r="C57" s="1256"/>
      <c r="D57" s="1257"/>
      <c r="E57" s="1257"/>
      <c r="F57" s="1257"/>
      <c r="G57" s="1257"/>
      <c r="H57" s="1223">
        <f t="shared" si="18"/>
        <v>0</v>
      </c>
      <c r="I57" s="1221">
        <f>1419754-212941</f>
        <v>1206813</v>
      </c>
      <c r="J57" s="1221"/>
      <c r="K57" s="1221"/>
      <c r="L57" s="1221"/>
      <c r="M57" s="1221"/>
      <c r="N57" s="1223">
        <f t="shared" si="19"/>
        <v>1206813</v>
      </c>
      <c r="O57" s="815"/>
    </row>
    <row r="58" spans="1:15" x14ac:dyDescent="0.2">
      <c r="A58" s="1167" t="s">
        <v>657</v>
      </c>
      <c r="B58" s="614" t="s">
        <v>498</v>
      </c>
      <c r="C58" s="1259"/>
      <c r="D58" s="1260"/>
      <c r="E58" s="1260"/>
      <c r="F58" s="1260"/>
      <c r="G58" s="1260"/>
      <c r="H58" s="1223">
        <f t="shared" si="18"/>
        <v>0</v>
      </c>
      <c r="I58" s="1221">
        <v>300000</v>
      </c>
      <c r="J58" s="1221"/>
      <c r="K58" s="1221"/>
      <c r="L58" s="1221"/>
      <c r="M58" s="1221"/>
      <c r="N58" s="1223">
        <f t="shared" si="19"/>
        <v>300000</v>
      </c>
      <c r="O58" s="815"/>
    </row>
    <row r="59" spans="1:15" ht="25.5" x14ac:dyDescent="0.2">
      <c r="A59" s="1167">
        <v>104031</v>
      </c>
      <c r="B59" s="614" t="s">
        <v>978</v>
      </c>
      <c r="C59" s="1220"/>
      <c r="D59" s="1221"/>
      <c r="E59" s="1226"/>
      <c r="F59" s="1226"/>
      <c r="G59" s="1226"/>
      <c r="H59" s="1223">
        <f t="shared" si="18"/>
        <v>0</v>
      </c>
      <c r="I59" s="1221">
        <f>484352-72645</f>
        <v>411707</v>
      </c>
      <c r="J59" s="1221"/>
      <c r="K59" s="1221"/>
      <c r="L59" s="1221"/>
      <c r="M59" s="1221"/>
      <c r="N59" s="1223">
        <f t="shared" si="19"/>
        <v>411707</v>
      </c>
      <c r="O59" s="815"/>
    </row>
    <row r="60" spans="1:15" x14ac:dyDescent="0.2">
      <c r="A60" s="1168" t="s">
        <v>658</v>
      </c>
      <c r="B60" s="1165" t="s">
        <v>483</v>
      </c>
      <c r="C60" s="1256"/>
      <c r="D60" s="1257"/>
      <c r="E60" s="1257"/>
      <c r="F60" s="1257"/>
      <c r="G60" s="1257"/>
      <c r="H60" s="1223">
        <f t="shared" si="18"/>
        <v>0</v>
      </c>
      <c r="I60" s="1258">
        <v>54125165</v>
      </c>
      <c r="J60" s="1257"/>
      <c r="K60" s="1257"/>
      <c r="L60" s="1257"/>
      <c r="M60" s="1257"/>
      <c r="N60" s="1219">
        <f t="shared" si="19"/>
        <v>54125165</v>
      </c>
      <c r="O60" s="815"/>
    </row>
    <row r="61" spans="1:15" ht="25.5" x14ac:dyDescent="0.2">
      <c r="A61" s="1167">
        <v>104060</v>
      </c>
      <c r="B61" s="614" t="s">
        <v>1092</v>
      </c>
      <c r="C61" s="1220">
        <v>27713479</v>
      </c>
      <c r="D61" s="1221">
        <v>8786521</v>
      </c>
      <c r="E61" s="1221"/>
      <c r="F61" s="1226"/>
      <c r="G61" s="1226"/>
      <c r="H61" s="1223">
        <f t="shared" ref="H61" si="21">SUM(C61:G61)</f>
        <v>36500000</v>
      </c>
      <c r="I61" s="1221">
        <f>1110961+154979+20824835+5622704</f>
        <v>27713479</v>
      </c>
      <c r="J61" s="1221">
        <f>2731183+4187338+1868000</f>
        <v>8786521</v>
      </c>
      <c r="K61" s="1221"/>
      <c r="L61" s="1221"/>
      <c r="M61" s="1221"/>
      <c r="N61" s="1223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0">
        <v>2840000</v>
      </c>
      <c r="D62" s="1221"/>
      <c r="E62" s="1221"/>
      <c r="F62" s="1221"/>
      <c r="G62" s="1221"/>
      <c r="H62" s="1223">
        <f t="shared" ref="H62:H63" si="23">SUM(C62:G62)</f>
        <v>2840000</v>
      </c>
      <c r="I62" s="1227">
        <f>5211600</f>
        <v>5211600</v>
      </c>
      <c r="J62" s="1228">
        <f>5080000+540000</f>
        <v>5620000</v>
      </c>
      <c r="K62" s="1228"/>
      <c r="L62" s="1228"/>
      <c r="M62" s="1228"/>
      <c r="N62" s="1219">
        <f t="shared" si="19"/>
        <v>10831600</v>
      </c>
      <c r="O62" s="815"/>
    </row>
    <row r="63" spans="1:15" ht="26.25" thickBot="1" x14ac:dyDescent="0.25">
      <c r="A63" s="1169" t="s">
        <v>661</v>
      </c>
      <c r="B63" s="1114" t="s">
        <v>662</v>
      </c>
      <c r="C63" s="1229">
        <v>500000</v>
      </c>
      <c r="D63" s="1230"/>
      <c r="E63" s="1230"/>
      <c r="F63" s="1230"/>
      <c r="G63" s="1230"/>
      <c r="H63" s="1231">
        <f t="shared" si="23"/>
        <v>500000</v>
      </c>
      <c r="I63" s="1240">
        <f>56500000-3000000</f>
        <v>53500000</v>
      </c>
      <c r="J63" s="1238"/>
      <c r="K63" s="1238"/>
      <c r="L63" s="1238"/>
      <c r="M63" s="1238"/>
      <c r="N63" s="1231">
        <f t="shared" si="19"/>
        <v>53500000</v>
      </c>
      <c r="O63" s="815"/>
    </row>
    <row r="64" spans="1:15" ht="14.25" thickBot="1" x14ac:dyDescent="0.3">
      <c r="A64" s="1534" t="s">
        <v>663</v>
      </c>
      <c r="B64" s="1535"/>
      <c r="C64" s="1545"/>
      <c r="D64" s="1545"/>
      <c r="E64" s="1545"/>
      <c r="F64" s="1545"/>
      <c r="G64" s="1545"/>
      <c r="H64" s="1545"/>
      <c r="I64" s="1545"/>
      <c r="J64" s="1545"/>
      <c r="K64" s="1545"/>
      <c r="L64" s="1545"/>
      <c r="M64" s="1545"/>
      <c r="N64" s="1546"/>
      <c r="O64" s="815"/>
    </row>
    <row r="65" spans="1:15" ht="25.5" x14ac:dyDescent="0.2">
      <c r="A65" s="615" t="s">
        <v>664</v>
      </c>
      <c r="B65" s="612" t="s">
        <v>665</v>
      </c>
      <c r="C65" s="1360">
        <f>50000000-50000000</f>
        <v>0</v>
      </c>
      <c r="D65" s="1257"/>
      <c r="E65" s="1257">
        <f>385080000+6520000</f>
        <v>391600000</v>
      </c>
      <c r="F65" s="1257"/>
      <c r="G65" s="1257"/>
      <c r="H65" s="1219">
        <f>SUM(C65:G65)</f>
        <v>391600000</v>
      </c>
      <c r="I65" s="1258"/>
      <c r="J65" s="1257"/>
      <c r="K65" s="1262"/>
      <c r="L65" s="1257"/>
      <c r="M65" s="1257"/>
      <c r="N65" s="1219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3"/>
      <c r="D66" s="1228"/>
      <c r="E66" s="1228"/>
      <c r="F66" s="1228">
        <f>861503705+7058824+167000000+153497787</f>
        <v>1189060316</v>
      </c>
      <c r="G66" s="1228"/>
      <c r="H66" s="1223">
        <f>SUM(C66:G66)</f>
        <v>1189060316</v>
      </c>
      <c r="I66" s="1227">
        <f>12910676+107725+1676958</f>
        <v>14695359</v>
      </c>
      <c r="J66" s="1232"/>
      <c r="K66" s="1228"/>
      <c r="L66" s="1228">
        <f>874993747+153497787</f>
        <v>1028491534</v>
      </c>
      <c r="M66" s="1228">
        <f>109320327+7058824-18622933-96499+951000+4053420-254000-250000-2149544-2206257+13433386-13770424-1099589-2995358-8283760+630160-4501630</f>
        <v>81217123</v>
      </c>
      <c r="N66" s="1223">
        <f>SUM(I66:M66)</f>
        <v>1124404016</v>
      </c>
      <c r="O66" s="815"/>
    </row>
    <row r="67" spans="1:15" ht="13.5" thickBot="1" x14ac:dyDescent="0.25">
      <c r="A67" s="1528" t="s">
        <v>49</v>
      </c>
      <c r="B67" s="1529"/>
      <c r="C67" s="1264">
        <f t="shared" ref="C67:N67" si="24">SUM(C9:C66)</f>
        <v>2045991596</v>
      </c>
      <c r="D67" s="1264">
        <f t="shared" si="24"/>
        <v>2061599596</v>
      </c>
      <c r="E67" s="1264">
        <f t="shared" si="24"/>
        <v>398600000</v>
      </c>
      <c r="F67" s="1264">
        <f t="shared" si="24"/>
        <v>1189060316</v>
      </c>
      <c r="G67" s="1264">
        <f t="shared" si="24"/>
        <v>847491815</v>
      </c>
      <c r="H67" s="1265">
        <f t="shared" si="24"/>
        <v>6542743323</v>
      </c>
      <c r="I67" s="1264">
        <f t="shared" si="24"/>
        <v>1046016702</v>
      </c>
      <c r="J67" s="1264">
        <f t="shared" si="24"/>
        <v>2816504853</v>
      </c>
      <c r="K67" s="1264">
        <f t="shared" si="24"/>
        <v>1570513111</v>
      </c>
      <c r="L67" s="1264">
        <f t="shared" si="24"/>
        <v>1028491534</v>
      </c>
      <c r="M67" s="1264">
        <f t="shared" si="24"/>
        <v>81217123</v>
      </c>
      <c r="N67" s="1264">
        <f t="shared" si="24"/>
        <v>6542743323</v>
      </c>
      <c r="O67" s="419">
        <f>N67-H67</f>
        <v>0</v>
      </c>
    </row>
    <row r="68" spans="1:15" ht="13.5" thickBot="1" x14ac:dyDescent="0.25">
      <c r="A68" s="1547" t="s">
        <v>384</v>
      </c>
      <c r="B68" s="1548"/>
      <c r="C68" s="1266"/>
      <c r="D68" s="1267"/>
      <c r="E68" s="1267"/>
      <c r="F68" s="1267"/>
      <c r="G68" s="1267"/>
      <c r="H68" s="1223"/>
      <c r="I68" s="1268"/>
      <c r="J68" s="1221"/>
      <c r="K68" s="1221">
        <f>SUM(K65:K66,K58:K63,K45:K50,K37:K43,K33:K35,K27:K29,K9:K15)</f>
        <v>1570513111</v>
      </c>
      <c r="L68" s="1267"/>
      <c r="M68" s="1267"/>
      <c r="N68" s="1269">
        <f>SUM(I68:M68)</f>
        <v>1570513111</v>
      </c>
      <c r="O68" s="419"/>
    </row>
    <row r="69" spans="1:15" ht="13.5" thickBot="1" x14ac:dyDescent="0.25">
      <c r="A69" s="1528" t="s">
        <v>60</v>
      </c>
      <c r="B69" s="1529"/>
      <c r="C69" s="1270">
        <f>C67-C68</f>
        <v>2045991596</v>
      </c>
      <c r="D69" s="1271">
        <f t="shared" ref="D69:M69" si="25">D67-D68</f>
        <v>2061599596</v>
      </c>
      <c r="E69" s="1271">
        <f t="shared" si="25"/>
        <v>398600000</v>
      </c>
      <c r="F69" s="1271">
        <f t="shared" si="25"/>
        <v>1189060316</v>
      </c>
      <c r="G69" s="1271">
        <f t="shared" si="25"/>
        <v>847491815</v>
      </c>
      <c r="H69" s="1272">
        <f t="shared" si="25"/>
        <v>6542743323</v>
      </c>
      <c r="I69" s="1270">
        <f t="shared" si="25"/>
        <v>1046016702</v>
      </c>
      <c r="J69" s="1271">
        <f t="shared" si="25"/>
        <v>2816504853</v>
      </c>
      <c r="K69" s="1271">
        <f t="shared" si="25"/>
        <v>0</v>
      </c>
      <c r="L69" s="1271">
        <f t="shared" si="25"/>
        <v>1028491534</v>
      </c>
      <c r="M69" s="1271">
        <f t="shared" si="25"/>
        <v>81217123</v>
      </c>
      <c r="N69" s="1273">
        <f>N67-N68</f>
        <v>4972230212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2045991596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1189060316</v>
      </c>
      <c r="G71" s="814">
        <f>'9.1. sz. mell.'!C75</f>
        <v>847491815</v>
      </c>
      <c r="H71" s="618">
        <f>SUM(C71:G71)</f>
        <v>6542743323</v>
      </c>
      <c r="I71" s="814">
        <f>'9.1. sz. mell.'!C93-'9.1. sz. mell.'!C111+'9.1. sz. mell.'!C140</f>
        <v>1046016702</v>
      </c>
      <c r="J71" s="814">
        <f>'9.1. sz. mell.'!C114</f>
        <v>2816504853</v>
      </c>
      <c r="K71" s="315">
        <f>'10.sz.m. int.összesítő'!C16</f>
        <v>1570513111</v>
      </c>
      <c r="L71" s="314">
        <f>'9.1. sz. mell.'!C129</f>
        <v>1028491534</v>
      </c>
      <c r="M71" s="314">
        <f>'9.1. sz. mell.'!C111</f>
        <v>81217123</v>
      </c>
      <c r="N71" s="313">
        <f>SUM(I71:M71)</f>
        <v>6542743323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J40" sqref="J40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12" t="str">
        <f>CONCATENATE("8. tájékoztató tábla ",ALAPADATOK!A7," ",ALAPADATOK!B7," ",ALAPADATOK!C7," ",ALAPADATOK!D7," ",ALAPADATOK!E7," ",ALAPADATOK!F7," ",ALAPADATOK!G7," ",ALAPADATOK!H7)</f>
        <v>8. tájékoztató tábla a .. / 2022. ( …… ) önkormányzati rendelethez</v>
      </c>
      <c r="B1" s="1412"/>
      <c r="C1" s="1412"/>
      <c r="D1" s="1412"/>
      <c r="E1" s="1412"/>
      <c r="F1" s="1412"/>
    </row>
    <row r="3" spans="1:6" ht="35.25" customHeight="1" x14ac:dyDescent="0.25">
      <c r="A3" s="1560" t="s">
        <v>957</v>
      </c>
      <c r="B3" s="1560"/>
      <c r="C3" s="1560"/>
      <c r="D3" s="1560"/>
      <c r="E3" s="1560"/>
      <c r="F3" s="1560"/>
    </row>
    <row r="5" spans="1:6" ht="15.95" customHeight="1" x14ac:dyDescent="0.25">
      <c r="A5" s="1414" t="s">
        <v>13</v>
      </c>
      <c r="B5" s="1414"/>
      <c r="C5" s="1414"/>
      <c r="D5" s="1414"/>
      <c r="E5" s="1414"/>
      <c r="F5" s="811"/>
    </row>
    <row r="6" spans="1:6" ht="15.95" customHeight="1" thickBot="1" x14ac:dyDescent="0.3">
      <c r="A6" s="1413" t="s">
        <v>115</v>
      </c>
      <c r="B6" s="1413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14" t="s">
        <v>44</v>
      </c>
      <c r="B28" s="1414"/>
      <c r="C28" s="1414"/>
      <c r="D28" s="1414"/>
      <c r="E28" s="1414"/>
      <c r="H28" s="619"/>
      <c r="I28" s="619"/>
      <c r="J28" s="619"/>
      <c r="K28" s="619"/>
    </row>
    <row r="29" spans="1:11" s="183" customFormat="1" ht="12" customHeight="1" thickBot="1" x14ac:dyDescent="0.25">
      <c r="A29" s="1415" t="s">
        <v>116</v>
      </c>
      <c r="B29" s="1415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D35" sqref="D35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61" t="str">
        <f>CONCATENATE("31. melléklet ",ALAPADATOK!A7," ",ALAPADATOK!B7," ",ALAPADATOK!C7," ",ALAPADATOK!D7," ",ALAPADATOK!E7," ",ALAPADATOK!F7," ",ALAPADATOK!G7," ",ALAPADATOK!H7)</f>
        <v>31. melléklet a .. / 2022. ( …… ) önkormányzati rendelethez</v>
      </c>
      <c r="E1" s="1561"/>
      <c r="F1" s="298"/>
      <c r="G1" s="298"/>
    </row>
    <row r="2" spans="4:7" x14ac:dyDescent="0.2">
      <c r="D2" s="298"/>
      <c r="E2" s="1198"/>
      <c r="F2" s="1198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62" t="s">
        <v>592</v>
      </c>
      <c r="E4" s="1562"/>
      <c r="F4" s="299"/>
      <c r="G4" s="299"/>
    </row>
    <row r="5" spans="4:7" ht="19.5" x14ac:dyDescent="0.35">
      <c r="D5" s="1562"/>
      <c r="E5" s="1562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35" customFormat="1" ht="21.75" thickBot="1" x14ac:dyDescent="0.25">
      <c r="D9" s="1336" t="s">
        <v>2</v>
      </c>
      <c r="E9" s="1337" t="s">
        <v>692</v>
      </c>
    </row>
    <row r="10" spans="4:7" x14ac:dyDescent="0.2">
      <c r="D10" s="1314" t="s">
        <v>989</v>
      </c>
      <c r="E10" s="1318">
        <v>0</v>
      </c>
    </row>
    <row r="11" spans="4:7" hidden="1" x14ac:dyDescent="0.2">
      <c r="D11" s="1314" t="s">
        <v>971</v>
      </c>
      <c r="E11" s="1318">
        <v>20.5</v>
      </c>
    </row>
    <row r="12" spans="4:7" hidden="1" x14ac:dyDescent="0.2">
      <c r="D12" s="1186" t="s">
        <v>691</v>
      </c>
      <c r="E12" s="1187">
        <v>0</v>
      </c>
    </row>
    <row r="13" spans="4:7" x14ac:dyDescent="0.2">
      <c r="D13" s="1186" t="s">
        <v>970</v>
      </c>
      <c r="E13" s="1187">
        <v>53</v>
      </c>
    </row>
    <row r="14" spans="4:7" s="300" customFormat="1" x14ac:dyDescent="0.2">
      <c r="D14" s="1319" t="s">
        <v>981</v>
      </c>
      <c r="E14" s="1187">
        <v>19.75</v>
      </c>
    </row>
    <row r="15" spans="4:7" s="300" customFormat="1" hidden="1" x14ac:dyDescent="0.2">
      <c r="D15" s="1186" t="s">
        <v>691</v>
      </c>
      <c r="E15" s="1187">
        <v>0</v>
      </c>
    </row>
    <row r="16" spans="4:7" s="300" customFormat="1" x14ac:dyDescent="0.2">
      <c r="D16" s="1186" t="s">
        <v>589</v>
      </c>
      <c r="E16" s="797">
        <v>21</v>
      </c>
    </row>
    <row r="17" spans="4:5" s="300" customFormat="1" hidden="1" x14ac:dyDescent="0.2">
      <c r="D17" s="1186" t="s">
        <v>691</v>
      </c>
      <c r="E17" s="1187">
        <v>0</v>
      </c>
    </row>
    <row r="18" spans="4:5" s="300" customFormat="1" x14ac:dyDescent="0.2">
      <c r="D18" s="1186" t="s">
        <v>990</v>
      </c>
      <c r="E18" s="797">
        <v>152</v>
      </c>
    </row>
    <row r="19" spans="4:5" s="300" customFormat="1" hidden="1" x14ac:dyDescent="0.2">
      <c r="D19" s="1186" t="s">
        <v>969</v>
      </c>
      <c r="E19" s="797">
        <v>146</v>
      </c>
    </row>
    <row r="20" spans="4:5" s="300" customFormat="1" hidden="1" x14ac:dyDescent="0.2">
      <c r="D20" s="1186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15" t="s">
        <v>956</v>
      </c>
      <c r="E22" s="1316">
        <v>2</v>
      </c>
    </row>
    <row r="23" spans="4:5" s="647" customFormat="1" x14ac:dyDescent="0.2">
      <c r="D23" s="1317" t="s">
        <v>991</v>
      </c>
      <c r="E23" s="1316">
        <v>52.38</v>
      </c>
    </row>
    <row r="24" spans="4:5" s="647" customFormat="1" hidden="1" x14ac:dyDescent="0.2">
      <c r="D24" s="1317" t="s">
        <v>972</v>
      </c>
      <c r="E24" s="1320">
        <v>46.38</v>
      </c>
    </row>
    <row r="25" spans="4:5" ht="13.5" thickBot="1" x14ac:dyDescent="0.25">
      <c r="D25" s="1186" t="s">
        <v>993</v>
      </c>
      <c r="E25" s="1321">
        <v>33</v>
      </c>
    </row>
    <row r="26" spans="4:5" ht="13.5" thickBot="1" x14ac:dyDescent="0.25">
      <c r="D26" s="589" t="s">
        <v>590</v>
      </c>
      <c r="E26" s="1149">
        <f>E11+E13+E14+E16+E19+E21+E22+E24+E25</f>
        <v>391.63</v>
      </c>
    </row>
    <row r="27" spans="4:5" ht="13.5" thickBot="1" x14ac:dyDescent="0.25">
      <c r="D27" s="589" t="s">
        <v>992</v>
      </c>
      <c r="E27" s="1149">
        <f>E10+E13+E14+E16+E18+E21+E22+E23+E25</f>
        <v>383.13</v>
      </c>
    </row>
    <row r="28" spans="4:5" ht="13.5" thickBot="1" x14ac:dyDescent="0.25">
      <c r="D28" s="1150" t="s">
        <v>591</v>
      </c>
      <c r="E28" s="1149">
        <f>E26-E12-E15-E17-E20-E21-E22-E25</f>
        <v>306.63</v>
      </c>
    </row>
    <row r="29" spans="4:5" ht="13.5" thickBot="1" x14ac:dyDescent="0.25">
      <c r="D29" s="1150" t="s">
        <v>994</v>
      </c>
      <c r="E29" s="1149">
        <f>E27-E25-E22-E21</f>
        <v>298.13</v>
      </c>
    </row>
    <row r="30" spans="4:5" ht="13.5" thickBot="1" x14ac:dyDescent="0.25">
      <c r="D30" s="1322" t="s">
        <v>156</v>
      </c>
      <c r="E30" s="1323">
        <v>6</v>
      </c>
    </row>
    <row r="31" spans="4:5" ht="13.5" thickBot="1" x14ac:dyDescent="0.25">
      <c r="D31" s="589" t="s">
        <v>690</v>
      </c>
      <c r="E31" s="1149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L3" sqref="L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12" t="str">
        <f>CONCATENATE("1.5. melléklet"," ",ALAPADATOK!A7," ",ALAPADATOK!B7," ",ALAPADATOK!C7," ",ALAPADATOK!D7," ",ALAPADATOK!E7," ",ALAPADATOK!F7," ",ALAPADATOK!G7," ",ALAPADATOK!H7)</f>
        <v>1.5. melléklet a .. / 2022. ( …… ) önkormányzati rendelethez</v>
      </c>
      <c r="B1" s="1412"/>
      <c r="C1" s="1412"/>
    </row>
    <row r="2" spans="1:3" s="811" customFormat="1" x14ac:dyDescent="0.25">
      <c r="A2" s="690"/>
      <c r="B2" s="690"/>
      <c r="C2" s="690"/>
    </row>
    <row r="3" spans="1:3" s="671" customFormat="1" x14ac:dyDescent="0.25">
      <c r="A3" s="1417" t="str">
        <f>CONCATENATE(ALAPADATOK!A3)</f>
        <v>Tiszavasvári Város Önkormányzat</v>
      </c>
      <c r="B3" s="1417"/>
      <c r="C3" s="1417"/>
    </row>
    <row r="4" spans="1:3" s="671" customFormat="1" x14ac:dyDescent="0.25">
      <c r="A4" s="1416" t="str">
        <f>CONCATENATE(ALAPADATOK!D7," ÉVI KÖLTSÉGVETÉS")</f>
        <v>2022. ÉVI KÖLTSÉGVETÉS</v>
      </c>
      <c r="B4" s="1416"/>
      <c r="C4" s="1416"/>
    </row>
    <row r="5" spans="1:3" s="671" customFormat="1" x14ac:dyDescent="0.25">
      <c r="A5" s="1416" t="s">
        <v>717</v>
      </c>
      <c r="B5" s="1416"/>
      <c r="C5" s="1416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14" t="s">
        <v>13</v>
      </c>
      <c r="B7" s="1414"/>
      <c r="C7" s="1414"/>
    </row>
    <row r="8" spans="1:3" ht="15.95" customHeight="1" thickBot="1" x14ac:dyDescent="0.3">
      <c r="A8" s="1413" t="s">
        <v>115</v>
      </c>
      <c r="B8" s="1413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16" t="s">
        <v>308</v>
      </c>
      <c r="B163" s="1416"/>
      <c r="C163" s="1416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3" zoomScale="115" zoomScaleNormal="115" zoomScaleSheetLayoutView="100" workbookViewId="0">
      <selection activeCell="B29" sqref="B29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3" t="s">
        <v>120</v>
      </c>
      <c r="B1" s="1423"/>
      <c r="C1" s="1423"/>
      <c r="D1" s="1423"/>
      <c r="E1" s="1423"/>
      <c r="F1" s="1419" t="str">
        <f>CONCATENATE("3. melléklet ",ALAPADATOK!A7," ",ALAPADATOK!B7," ",ALAPADATOK!C7," ",ALAPADATOK!D7," ",ALAPADATOK!E7," ",ALAPADATOK!F7," ",ALAPADATOK!G7," ",ALAPADATOK!H7)</f>
        <v>3. melléklet a .. / 2022. ( …… ) önkormányzati rendelethez</v>
      </c>
    </row>
    <row r="2" spans="1:6" s="676" customFormat="1" ht="39.75" hidden="1" customHeight="1" thickBot="1" x14ac:dyDescent="0.25">
      <c r="A2" s="1279"/>
      <c r="B2" s="1274"/>
      <c r="C2" s="1274"/>
      <c r="D2" s="1274"/>
      <c r="E2" s="1274"/>
      <c r="F2" s="1419"/>
    </row>
    <row r="3" spans="1:6" ht="18" customHeight="1" thickBot="1" x14ac:dyDescent="0.25">
      <c r="A3" s="1420" t="s">
        <v>64</v>
      </c>
      <c r="B3" s="511" t="s">
        <v>52</v>
      </c>
      <c r="C3" s="512"/>
      <c r="D3" s="511" t="s">
        <v>53</v>
      </c>
      <c r="E3" s="513"/>
      <c r="F3" s="1419"/>
    </row>
    <row r="4" spans="1:6" s="128" customFormat="1" ht="35.25" customHeight="1" thickBot="1" x14ac:dyDescent="0.25">
      <c r="A4" s="1421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19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19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1634262294</v>
      </c>
      <c r="D6" s="150" t="s">
        <v>59</v>
      </c>
      <c r="E6" s="34">
        <f>'1.1.sz.mell. '!C100</f>
        <v>1267250778</v>
      </c>
      <c r="F6" s="1419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407991699</v>
      </c>
      <c r="D7" s="140" t="s">
        <v>135</v>
      </c>
      <c r="E7" s="34">
        <f>'1.1.sz.mell. '!C101</f>
        <v>214274564</v>
      </c>
      <c r="F7" s="1419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1196861314</v>
      </c>
      <c r="F8" s="1419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49000000</v>
      </c>
      <c r="F9" s="1419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368229537</v>
      </c>
      <c r="D10" s="140" t="s">
        <v>137</v>
      </c>
      <c r="E10" s="36">
        <f>'1.1.sz.mell. '!C104</f>
        <v>258604322</v>
      </c>
      <c r="F10" s="1419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15082586</v>
      </c>
      <c r="D11" s="140" t="s">
        <v>47</v>
      </c>
      <c r="E11" s="850">
        <f>'1.1.sz.mell. '!C117-'2.2.sz.mell .'!E17</f>
        <v>3080436</v>
      </c>
      <c r="F11" s="1419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19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19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19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19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19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19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2824166116</v>
      </c>
      <c r="D18" s="55" t="s">
        <v>316</v>
      </c>
      <c r="E18" s="126">
        <f>SUM(E6:E17)</f>
        <v>2989071414</v>
      </c>
      <c r="F18" s="1419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19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1003497787</v>
      </c>
      <c r="F20" s="1419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19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19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19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1003497787</v>
      </c>
      <c r="D24" s="140" t="s">
        <v>144</v>
      </c>
      <c r="E24" s="36"/>
      <c r="F24" s="1419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1003497787</v>
      </c>
      <c r="D25" s="150" t="s">
        <v>428</v>
      </c>
      <c r="E25" s="127"/>
      <c r="F25" s="1419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19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19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19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1099325313</v>
      </c>
      <c r="D29" s="55" t="s">
        <v>449</v>
      </c>
      <c r="E29" s="126">
        <f>SUM(E19:E28)</f>
        <v>1052464537</v>
      </c>
      <c r="F29" s="1419"/>
    </row>
    <row r="30" spans="1:6" ht="13.5" thickBot="1" x14ac:dyDescent="0.25">
      <c r="A30" s="138" t="s">
        <v>40</v>
      </c>
      <c r="B30" s="142" t="s">
        <v>450</v>
      </c>
      <c r="C30" s="292">
        <f>+C18+C29</f>
        <v>3923491429</v>
      </c>
      <c r="D30" s="142" t="s">
        <v>451</v>
      </c>
      <c r="E30" s="292">
        <f>E29+E18</f>
        <v>4041535951</v>
      </c>
      <c r="F30" s="1419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164905298</v>
      </c>
      <c r="D31" s="142" t="s">
        <v>122</v>
      </c>
      <c r="E31" s="292" t="str">
        <f>IF(C18-E18&gt;0,C18-E18,"-")</f>
        <v>-</v>
      </c>
      <c r="F31" s="1419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19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118044522</v>
      </c>
      <c r="D33" s="142" t="s">
        <v>167</v>
      </c>
      <c r="E33" s="292" t="str">
        <f>IF(C30-E30&gt;0,C30-E30,"-")</f>
        <v>-</v>
      </c>
      <c r="F33" s="1419"/>
    </row>
    <row r="34" spans="1:6" ht="18.75" x14ac:dyDescent="0.2">
      <c r="B34" s="1422"/>
      <c r="C34" s="1422"/>
      <c r="D34" s="142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opLeftCell="A13" zoomScaleSheetLayoutView="115" workbookViewId="0">
      <selection activeCell="C36" sqref="C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24" t="s">
        <v>511</v>
      </c>
      <c r="B2" s="1424"/>
      <c r="C2" s="1424"/>
      <c r="D2" s="1424"/>
      <c r="E2" s="1424"/>
      <c r="F2" s="1419" t="str">
        <f>CONCATENATE("4. melléklet ",ALAPADATOK!A7," ",ALAPADATOK!B7," ",ALAPADATOK!C7," ",ALAPADATOK!D7," ",ALAPADATOK!E7," ",ALAPADATOK!F7," ",ALAPADATOK!G7," ",ALAPADATOK!H7)</f>
        <v>4. melléklet a .. / 2022. ( …… ) önkormányzati rendelethez</v>
      </c>
    </row>
    <row r="3" spans="1:6" s="676" customFormat="1" ht="37.5" hidden="1" customHeight="1" thickBot="1" x14ac:dyDescent="0.25">
      <c r="A3" s="1324"/>
      <c r="B3" s="1284"/>
      <c r="C3" s="1284"/>
      <c r="D3" s="1284"/>
      <c r="E3" s="1284"/>
      <c r="F3" s="1419"/>
    </row>
    <row r="4" spans="1:6" ht="13.5" customHeight="1" thickBot="1" x14ac:dyDescent="0.25">
      <c r="A4" s="1420" t="s">
        <v>64</v>
      </c>
      <c r="B4" s="70" t="s">
        <v>52</v>
      </c>
      <c r="C4" s="1288"/>
      <c r="D4" s="70" t="s">
        <v>53</v>
      </c>
      <c r="E4" s="1289"/>
      <c r="F4" s="1419"/>
    </row>
    <row r="5" spans="1:6" s="128" customFormat="1" ht="24.75" thickBot="1" x14ac:dyDescent="0.25">
      <c r="A5" s="1421"/>
      <c r="B5" s="70" t="s">
        <v>58</v>
      </c>
      <c r="C5" s="29" t="s">
        <v>796</v>
      </c>
      <c r="D5" s="70" t="s">
        <v>58</v>
      </c>
      <c r="E5" s="29" t="s">
        <v>796</v>
      </c>
      <c r="F5" s="1419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19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962678806</v>
      </c>
      <c r="F7" s="1419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19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19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19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19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19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19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19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19"/>
    </row>
    <row r="16" spans="1:6" x14ac:dyDescent="0.2">
      <c r="A16" s="136" t="s">
        <v>25</v>
      </c>
      <c r="B16" s="30"/>
      <c r="C16" s="262"/>
      <c r="D16" s="252"/>
      <c r="E16" s="850"/>
      <c r="F16" s="1419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19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2985099544</v>
      </c>
      <c r="F18" s="1419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19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19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19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19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19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19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19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19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19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19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19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19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19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3010093291</v>
      </c>
      <c r="F32" s="1419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852146123</v>
      </c>
      <c r="D33" s="142" t="s">
        <v>122</v>
      </c>
      <c r="E33" s="143" t="str">
        <f>IF(C18-E18&gt;0,C18-E18,"-")</f>
        <v>-</v>
      </c>
      <c r="F33" s="1419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19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118044522</v>
      </c>
      <c r="F35" s="1419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4957119537</v>
      </c>
      <c r="C6" s="674" t="s">
        <v>722</v>
      </c>
      <c r="D6" s="678">
        <f>'2.1.sz.mell '!C18+'2.2.sz.mell .'!C18</f>
        <v>4957119537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2094509705</v>
      </c>
      <c r="C7" s="674" t="s">
        <v>724</v>
      </c>
      <c r="D7" s="678">
        <f>'2.1.sz.mell '!C29+'2.2.sz.mell .'!C31</f>
        <v>2094509705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7051629242</v>
      </c>
      <c r="C8" s="674" t="s">
        <v>726</v>
      </c>
      <c r="D8" s="678">
        <f>'2.1.sz.mell '!C30+'2.2.sz.mell .'!C32</f>
        <v>7051629242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5974170958</v>
      </c>
      <c r="C13" s="674" t="s">
        <v>728</v>
      </c>
      <c r="D13" s="678">
        <f>'2.1.sz.mell '!E18+'2.2.sz.mell .'!E18</f>
        <v>5974170958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1077458284</v>
      </c>
      <c r="C14" s="674" t="s">
        <v>730</v>
      </c>
      <c r="D14" s="678">
        <f>'2.1.sz.mell '!E29+'2.2.sz.mell .'!E31</f>
        <v>1077458284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7051629242</v>
      </c>
      <c r="C15" s="674" t="s">
        <v>732</v>
      </c>
      <c r="D15" s="678">
        <f>'2.1.sz.mell '!E30+'2.2.sz.mell .'!E32</f>
        <v>7051629242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2022-03-17T12:44:05Z</cp:lastPrinted>
  <dcterms:created xsi:type="dcterms:W3CDTF">1999-10-30T10:30:45Z</dcterms:created>
  <dcterms:modified xsi:type="dcterms:W3CDTF">2022-03-17T12:44:08Z</dcterms:modified>
</cp:coreProperties>
</file>