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60" yWindow="-135" windowWidth="28800" windowHeight="12435" tabRatio="816" firstSheet="1" activeTab="1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r:id="rId6"/>
    <sheet name="6. sz.mell " sheetId="1361" r:id="rId7"/>
    <sheet name="7. sz.mell ." sheetId="1362" r:id="rId8"/>
    <sheet name="KV_ELLENŐRZÉS" sheetId="1413" state="hidden" r:id="rId9"/>
    <sheet name="8. sz mell." sheetId="1416" r:id="rId10"/>
    <sheet name="9.sz.mell." sheetId="1417" r:id="rId11"/>
    <sheet name="10.sz.mell." sheetId="1418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r:id="rId21"/>
    <sheet name="20. sz. mell. PH." sheetId="1433" r:id="rId22"/>
    <sheet name="21. sz. mell OVI" sheetId="1462" r:id="rId23"/>
    <sheet name="22. sz. mell EOI" sheetId="1463" r:id="rId24"/>
    <sheet name="23.sz.mell EOI" sheetId="1464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r:id="rId32"/>
    <sheet name="31. sz. mell TIB  " sheetId="1475" r:id="rId33"/>
    <sheet name="32. sz. mell TIB  " sheetId="1476" r:id="rId34"/>
    <sheet name="33. sz. mell TIB" sheetId="1477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r:id="rId39"/>
    <sheet name="38.sz.m. (3. sz tájékoztató t.)" sheetId="1454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r:id="rId45"/>
    <sheet name="44. sz.m. (9.sz tájékoztató)" sheetId="1478" r:id="rId46"/>
  </sheets>
  <externalReferences>
    <externalReference r:id="rId47"/>
  </externalReferences>
  <definedNames>
    <definedName name="Print_Area" localSheetId="1">'1. sz.mell. '!$A$1:$C$164</definedName>
    <definedName name="Print_Area" localSheetId="12">'11.sz.mell. Beruházás'!$A$1:$G$48</definedName>
    <definedName name="Print_Area" localSheetId="13">'12.sz.mell. Felújítás'!$A$1:$G$23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tájékoztató)'!$A$1:$D$51</definedName>
    <definedName name="Print_Area" localSheetId="43">'42.sz.m. (7.sz táj. feladatos)'!$A$1:$N$69</definedName>
    <definedName name="Print_Area" localSheetId="45">'44. sz.m. (9.sz tájékoztató)'!$A$1:$E$20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OVI'!$2:$5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45621"/>
</workbook>
</file>

<file path=xl/calcChain.xml><?xml version="1.0" encoding="utf-8"?>
<calcChain xmlns="http://schemas.openxmlformats.org/spreadsheetml/2006/main">
  <c r="E31" i="1361" l="1"/>
  <c r="D1" i="1478" l="1"/>
  <c r="A1" i="1459"/>
  <c r="A1" i="1458"/>
  <c r="A1" i="1457"/>
  <c r="A1" i="1456"/>
  <c r="A1" i="1455"/>
  <c r="A1" i="1453"/>
  <c r="A1" i="1454"/>
  <c r="A1" i="1452"/>
  <c r="A1" i="1451"/>
  <c r="A1" i="1450"/>
  <c r="A1" i="1477"/>
  <c r="A1" i="1476"/>
  <c r="A1" i="1475"/>
  <c r="A1" i="1474"/>
  <c r="A1" i="1473"/>
  <c r="A1" i="1472"/>
  <c r="A1" i="1471"/>
  <c r="A1" i="1467"/>
  <c r="A1" i="1466"/>
  <c r="A1" i="1465"/>
  <c r="A1" i="1464"/>
  <c r="A1" i="1463"/>
  <c r="A1" i="1462"/>
  <c r="A1" i="1433"/>
  <c r="A1" i="1432"/>
  <c r="A1" i="1431"/>
  <c r="A1" i="1430"/>
  <c r="A1" i="1428"/>
  <c r="A1" i="1429"/>
  <c r="A1" i="1427"/>
  <c r="A1" i="1480"/>
  <c r="A1" i="1420"/>
  <c r="A1" i="1419"/>
  <c r="A1" i="1418"/>
  <c r="A1" i="1417"/>
  <c r="A1" i="1416"/>
  <c r="D124" i="1357"/>
  <c r="D122" i="1357"/>
  <c r="D33" i="1357" l="1"/>
  <c r="D26" i="1357"/>
  <c r="C20" i="1362"/>
  <c r="F2" i="1362" l="1"/>
  <c r="F1" i="1361"/>
  <c r="A1" i="1399"/>
  <c r="E20" i="1478" l="1"/>
  <c r="E18" i="1478"/>
  <c r="E17" i="1478"/>
  <c r="F35" i="1459" l="1"/>
  <c r="F34" i="1459"/>
  <c r="E35" i="1459"/>
  <c r="D35" i="1459"/>
  <c r="D34" i="1459"/>
  <c r="D32" i="1459"/>
  <c r="D24" i="1459"/>
  <c r="M66" i="1458"/>
  <c r="I9" i="1458"/>
  <c r="D21" i="1457"/>
  <c r="D44" i="1456"/>
  <c r="D43" i="1456"/>
  <c r="D42" i="1456"/>
  <c r="D39" i="1456"/>
  <c r="D38" i="1456"/>
  <c r="D36" i="1456"/>
  <c r="D35" i="1456"/>
  <c r="D34" i="1456"/>
  <c r="D30" i="1456"/>
  <c r="D28" i="1456"/>
  <c r="D27" i="1456"/>
  <c r="D26" i="1456"/>
  <c r="D24" i="1456"/>
  <c r="D23" i="1456"/>
  <c r="D22" i="1456"/>
  <c r="D19" i="1456"/>
  <c r="D18" i="1456"/>
  <c r="D17" i="1456"/>
  <c r="D16" i="1456"/>
  <c r="D15" i="1456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N23" i="1455"/>
  <c r="M23" i="1455"/>
  <c r="K23" i="1455"/>
  <c r="I23" i="1455"/>
  <c r="G23" i="1455"/>
  <c r="E23" i="1455"/>
  <c r="N15" i="1455"/>
  <c r="M15" i="1455"/>
  <c r="K15" i="1455"/>
  <c r="L15" i="1455"/>
  <c r="N21" i="1455"/>
  <c r="I15" i="1455"/>
  <c r="G15" i="1455"/>
  <c r="E15" i="1455"/>
  <c r="C15" i="1455"/>
  <c r="J15" i="1455"/>
  <c r="H15" i="1455"/>
  <c r="F15" i="1455"/>
  <c r="D15" i="1455"/>
  <c r="L10" i="1455"/>
  <c r="L8" i="1455"/>
  <c r="K8" i="1455"/>
  <c r="N7" i="1455"/>
  <c r="H7" i="1455"/>
  <c r="L7" i="1455"/>
  <c r="F7" i="1455"/>
  <c r="H8" i="1455"/>
  <c r="G8" i="1455"/>
  <c r="F8" i="1455"/>
  <c r="E8" i="1455"/>
  <c r="M8" i="1455" l="1"/>
  <c r="J8" i="1455"/>
  <c r="I8" i="1455"/>
  <c r="D8" i="1455"/>
  <c r="C8" i="1455"/>
  <c r="I26" i="1453"/>
  <c r="H26" i="1453"/>
  <c r="G26" i="1453"/>
  <c r="F26" i="1453"/>
  <c r="E26" i="1453"/>
  <c r="I25" i="1453"/>
  <c r="I24" i="1453"/>
  <c r="D26" i="1453"/>
  <c r="I20" i="1453"/>
  <c r="I14" i="1453"/>
  <c r="D12" i="1453"/>
  <c r="C95" i="1428"/>
  <c r="C93" i="1428"/>
  <c r="C93" i="1427"/>
  <c r="C95" i="1427"/>
  <c r="D100" i="1358"/>
  <c r="D102" i="1358"/>
  <c r="C148" i="1452"/>
  <c r="C143" i="1452"/>
  <c r="C136" i="1452"/>
  <c r="C132" i="1452"/>
  <c r="C156" i="1452" s="1"/>
  <c r="C157" i="1452" s="1"/>
  <c r="C122" i="1452"/>
  <c r="C117" i="1452"/>
  <c r="C131" i="1452" s="1"/>
  <c r="C101" i="1452"/>
  <c r="C96" i="1452"/>
  <c r="C84" i="1452"/>
  <c r="C91" i="1452" s="1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67" i="1452" s="1"/>
  <c r="C92" i="1452" l="1"/>
  <c r="B16" i="1451"/>
  <c r="B17" i="1451"/>
  <c r="B13" i="1451"/>
  <c r="B11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C40" i="1466"/>
  <c r="C45" i="1462"/>
  <c r="G12" i="1450" s="1"/>
  <c r="C44" i="1462"/>
  <c r="F12" i="1450" s="1"/>
  <c r="C43" i="1462"/>
  <c r="E12" i="1450" s="1"/>
  <c r="C59" i="1433"/>
  <c r="C59" i="1430"/>
  <c r="C46" i="1430"/>
  <c r="E11" i="1450" s="1"/>
  <c r="F16" i="1450" l="1"/>
  <c r="H16" i="1450"/>
  <c r="I16" i="1450"/>
  <c r="E16" i="1450"/>
  <c r="G16" i="1450"/>
  <c r="E102" i="1359"/>
  <c r="E102" i="1358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3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6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3" i="1427"/>
  <c r="C32" i="1427"/>
  <c r="C24" i="1427"/>
  <c r="C23" i="1427" s="1"/>
  <c r="C16" i="1427"/>
  <c r="C11" i="1427"/>
  <c r="C10" i="1427" s="1"/>
  <c r="C7" i="1427" s="1"/>
  <c r="D137" i="1480"/>
  <c r="B136" i="1480"/>
  <c r="B137" i="1480"/>
  <c r="C120" i="1480"/>
  <c r="D72" i="1480"/>
  <c r="D77" i="1480" s="1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D138" i="1480"/>
  <c r="C138" i="1480"/>
  <c r="B135" i="1480"/>
  <c r="B134" i="1480"/>
  <c r="B133" i="1480"/>
  <c r="E124" i="1480"/>
  <c r="D124" i="1480"/>
  <c r="C124" i="1480"/>
  <c r="B123" i="1480"/>
  <c r="B122" i="1480"/>
  <c r="B121" i="1480"/>
  <c r="B120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E22" i="1480"/>
  <c r="B20" i="1480"/>
  <c r="E16" i="1480"/>
  <c r="D16" i="1480"/>
  <c r="C16" i="1480"/>
  <c r="B15" i="1480"/>
  <c r="B14" i="1480"/>
  <c r="B13" i="1480"/>
  <c r="B12" i="1480"/>
  <c r="B11" i="1480"/>
  <c r="G19" i="1420"/>
  <c r="B21" i="1420"/>
  <c r="G22" i="1420"/>
  <c r="F21" i="1420"/>
  <c r="D21" i="1420"/>
  <c r="D14" i="1419"/>
  <c r="G14" i="1420"/>
  <c r="B13" i="1420"/>
  <c r="G44" i="1419"/>
  <c r="G43" i="1419"/>
  <c r="G42" i="1419"/>
  <c r="G41" i="1419"/>
  <c r="C56" i="1473"/>
  <c r="C56" i="1472"/>
  <c r="C56" i="1471"/>
  <c r="C92" i="1429" l="1"/>
  <c r="C127" i="1429" s="1"/>
  <c r="G21" i="1420"/>
  <c r="B34" i="1480"/>
  <c r="C31" i="1428"/>
  <c r="C30" i="1428" s="1"/>
  <c r="C89" i="1428"/>
  <c r="C92" i="1427"/>
  <c r="C152" i="1429"/>
  <c r="C153" i="1429" s="1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C65" i="1428"/>
  <c r="D43" i="1480"/>
  <c r="C83" i="1480"/>
  <c r="C43" i="1480"/>
  <c r="C22" i="1480"/>
  <c r="B16" i="1480"/>
  <c r="B118" i="1480"/>
  <c r="B138" i="1480"/>
  <c r="B22" i="1480"/>
  <c r="B37" i="1480"/>
  <c r="B43" i="1480"/>
  <c r="B57" i="1480"/>
  <c r="B63" i="1480"/>
  <c r="B77" i="1480"/>
  <c r="B83" i="1480"/>
  <c r="B97" i="1480"/>
  <c r="B104" i="1480"/>
  <c r="B124" i="1480"/>
  <c r="B144" i="1480"/>
  <c r="B16" i="1420"/>
  <c r="C90" i="1427" l="1"/>
  <c r="C90" i="1428"/>
  <c r="C90" i="1429"/>
  <c r="C153" i="1428"/>
  <c r="C127" i="1427"/>
  <c r="C153" i="1427" s="1"/>
  <c r="B8" i="1420"/>
  <c r="G20" i="1420" l="1"/>
  <c r="G17" i="1420"/>
  <c r="G13" i="1420"/>
  <c r="G11" i="1420"/>
  <c r="G9" i="1420"/>
  <c r="B16" i="1419"/>
  <c r="F16" i="1419"/>
  <c r="D16" i="1419"/>
  <c r="D18" i="1419"/>
  <c r="D9" i="1419" l="1"/>
  <c r="D8" i="1420"/>
  <c r="B8" i="1419"/>
  <c r="D8" i="1419"/>
  <c r="G8" i="1420" l="1"/>
  <c r="G8" i="1419"/>
  <c r="B20" i="1419"/>
  <c r="G28" i="1419" l="1"/>
  <c r="G27" i="1419" l="1"/>
  <c r="G29" i="1419"/>
  <c r="G26" i="1419"/>
  <c r="G25" i="1419"/>
  <c r="G18" i="1419"/>
  <c r="G17" i="1419"/>
  <c r="G15" i="1419"/>
  <c r="G13" i="1419"/>
  <c r="G12" i="1419"/>
  <c r="G11" i="1419"/>
  <c r="G10" i="1419"/>
  <c r="B39" i="1419"/>
  <c r="F38" i="1419"/>
  <c r="B38" i="1419"/>
  <c r="C16" i="1418"/>
  <c r="F23" i="1416"/>
  <c r="G23" i="1416"/>
  <c r="H21" i="1416"/>
  <c r="G38" i="1419" l="1"/>
  <c r="E5" i="1362"/>
  <c r="E44" i="1358"/>
  <c r="E43" i="1358"/>
  <c r="E48" i="1358"/>
  <c r="E47" i="1358"/>
  <c r="E46" i="1358"/>
  <c r="E100" i="1358"/>
  <c r="C101" i="1360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I159" i="1359" s="1"/>
  <c r="H135" i="1359"/>
  <c r="H159" i="1359" s="1"/>
  <c r="G135" i="1359"/>
  <c r="G159" i="1359" s="1"/>
  <c r="F135" i="1359"/>
  <c r="F159" i="1359" s="1"/>
  <c r="E135" i="1359"/>
  <c r="E159" i="1359" s="1"/>
  <c r="D135" i="1359"/>
  <c r="D159" i="1359" s="1"/>
  <c r="I125" i="1359"/>
  <c r="I120" i="1359" s="1"/>
  <c r="H125" i="1359"/>
  <c r="G125" i="1359"/>
  <c r="G120" i="1359" s="1"/>
  <c r="F125" i="1359"/>
  <c r="F120" i="1359" s="1"/>
  <c r="E125" i="1359"/>
  <c r="E120" i="1359" s="1"/>
  <c r="H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I93" i="1359" s="1"/>
  <c r="H70" i="1359"/>
  <c r="H93" i="1359" s="1"/>
  <c r="G70" i="1359"/>
  <c r="F70" i="1359"/>
  <c r="F93" i="1359" s="1"/>
  <c r="E70" i="1359"/>
  <c r="D70" i="1359"/>
  <c r="D93" i="1359" s="1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F35" i="1359"/>
  <c r="E35" i="1359"/>
  <c r="D35" i="1359"/>
  <c r="I34" i="1359"/>
  <c r="H34" i="1359"/>
  <c r="G34" i="1359"/>
  <c r="F34" i="1359"/>
  <c r="E34" i="1359"/>
  <c r="D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F14" i="1359"/>
  <c r="E14" i="1359"/>
  <c r="D14" i="1359"/>
  <c r="I11" i="1359"/>
  <c r="I69" i="1359" s="1"/>
  <c r="I94" i="1359" s="1"/>
  <c r="H11" i="1359"/>
  <c r="H69" i="1359" s="1"/>
  <c r="H94" i="1359" s="1"/>
  <c r="G11" i="1359"/>
  <c r="G69" i="1359" s="1"/>
  <c r="F11" i="1359"/>
  <c r="F69" i="1359" s="1"/>
  <c r="F94" i="1359" s="1"/>
  <c r="E11" i="1359"/>
  <c r="E69" i="1359" s="1"/>
  <c r="D11" i="1359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H159" i="1358" s="1"/>
  <c r="G135" i="1358"/>
  <c r="G159" i="1358" s="1"/>
  <c r="F135" i="1358"/>
  <c r="F159" i="1358" s="1"/>
  <c r="E135" i="1358"/>
  <c r="E159" i="1358" s="1"/>
  <c r="D135" i="1358"/>
  <c r="D159" i="1358" s="1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I93" i="1358" s="1"/>
  <c r="H70" i="1358"/>
  <c r="H93" i="1358" s="1"/>
  <c r="G70" i="1358"/>
  <c r="G93" i="1358" s="1"/>
  <c r="F70" i="1358"/>
  <c r="F93" i="1358" s="1"/>
  <c r="E70" i="1358"/>
  <c r="E93" i="1358" s="1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7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7" i="1357"/>
  <c r="D36" i="1357"/>
  <c r="D28" i="1357"/>
  <c r="D15" i="1357"/>
  <c r="D123" i="1357"/>
  <c r="G93" i="1359" l="1"/>
  <c r="G94" i="1359" s="1"/>
  <c r="D99" i="1358"/>
  <c r="F99" i="1358"/>
  <c r="H99" i="1358"/>
  <c r="H134" i="1358" s="1"/>
  <c r="H160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H160" i="1359" s="1"/>
  <c r="G99" i="1357"/>
  <c r="G134" i="1357" s="1"/>
  <c r="D35" i="1358"/>
  <c r="D34" i="1358" s="1"/>
  <c r="D69" i="1358" s="1"/>
  <c r="D94" i="1358" s="1"/>
  <c r="F134" i="1358"/>
  <c r="F160" i="1358" s="1"/>
  <c r="I69" i="1358"/>
  <c r="I94" i="1358" s="1"/>
  <c r="E41" i="1358"/>
  <c r="E69" i="1358" s="1"/>
  <c r="D134" i="1358"/>
  <c r="D160" i="1358" s="1"/>
  <c r="I134" i="1359"/>
  <c r="I160" i="1359" s="1"/>
  <c r="F99" i="1357"/>
  <c r="F134" i="1357" s="1"/>
  <c r="G93" i="1357"/>
  <c r="H99" i="1357"/>
  <c r="H134" i="1357" s="1"/>
  <c r="H159" i="1357"/>
  <c r="F69" i="1358"/>
  <c r="F94" i="1358" s="1"/>
  <c r="H69" i="1358"/>
  <c r="H94" i="1358" s="1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G94" i="1358" s="1"/>
  <c r="E93" i="1359"/>
  <c r="E94" i="1359" s="1"/>
  <c r="D99" i="1359"/>
  <c r="D134" i="1359" s="1"/>
  <c r="D160" i="1359" s="1"/>
  <c r="D69" i="1359"/>
  <c r="H69" i="1357"/>
  <c r="G69" i="1357"/>
  <c r="F93" i="1357"/>
  <c r="F69" i="1357"/>
  <c r="I61" i="1458"/>
  <c r="H61" i="1458"/>
  <c r="H24" i="1458"/>
  <c r="C18" i="1467"/>
  <c r="C18" i="1465"/>
  <c r="G160" i="1357" l="1"/>
  <c r="G94" i="1357"/>
  <c r="H94" i="1357"/>
  <c r="H160" i="1357"/>
  <c r="N24" i="1458"/>
  <c r="F160" i="1357"/>
  <c r="E94" i="1358"/>
  <c r="E160" i="1358"/>
  <c r="D94" i="1359"/>
  <c r="F94" i="1357"/>
  <c r="N61" i="1458"/>
  <c r="N25" i="1458" l="1"/>
  <c r="H25" i="1458"/>
  <c r="C23" i="1416" l="1"/>
  <c r="D23" i="1416"/>
  <c r="E23" i="1416"/>
  <c r="J17" i="1458" l="1"/>
  <c r="I19" i="1458" l="1"/>
  <c r="F18" i="1420" l="1"/>
  <c r="B18" i="1420"/>
  <c r="E16" i="1420"/>
  <c r="E7" i="1420" s="1"/>
  <c r="E23" i="1420" s="1"/>
  <c r="F16" i="1420"/>
  <c r="F15" i="1420"/>
  <c r="B15" i="1420"/>
  <c r="B24" i="1419"/>
  <c r="B23" i="1419"/>
  <c r="G23" i="1419" s="1"/>
  <c r="B22" i="1419"/>
  <c r="G22" i="1419" s="1"/>
  <c r="E21" i="1419"/>
  <c r="G15" i="1420" l="1"/>
  <c r="G18" i="1420"/>
  <c r="G16" i="1420"/>
  <c r="G24" i="1419"/>
  <c r="G16" i="1419"/>
  <c r="N19" i="1458" l="1"/>
  <c r="H19" i="1458"/>
  <c r="N46" i="1458"/>
  <c r="H46" i="1458"/>
  <c r="F12" i="1420" l="1"/>
  <c r="F7" i="1420" s="1"/>
  <c r="F23" i="1420" s="1"/>
  <c r="B12" i="1420"/>
  <c r="G12" i="1420" l="1"/>
  <c r="B21" i="1419"/>
  <c r="G21" i="1419" s="1"/>
  <c r="C19" i="1362"/>
  <c r="B14" i="1419" l="1"/>
  <c r="B10" i="1420"/>
  <c r="B7" i="1420" s="1"/>
  <c r="B23" i="1420" s="1"/>
  <c r="D49" i="1456" l="1"/>
  <c r="D45" i="1456"/>
  <c r="D33" i="1456" l="1"/>
  <c r="C59" i="1466" l="1"/>
  <c r="C59" i="1465"/>
  <c r="F7" i="1419" l="1"/>
  <c r="B20" i="1451"/>
  <c r="G20" i="1419" l="1"/>
  <c r="H55" i="1458"/>
  <c r="H56" i="1458"/>
  <c r="H57" i="1458"/>
  <c r="H58" i="1458"/>
  <c r="H59" i="1458"/>
  <c r="H60" i="1458"/>
  <c r="N55" i="1458"/>
  <c r="F45" i="1419" l="1"/>
  <c r="B45" i="1419"/>
  <c r="A1" i="1360" l="1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C56" i="1463" l="1"/>
  <c r="C55" i="1462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35" i="1419"/>
  <c r="G46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68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3" i="1420" s="1"/>
  <c r="D7" i="1419"/>
  <c r="G14" i="1419"/>
  <c r="D14" i="1357"/>
  <c r="D14" i="1456"/>
  <c r="D40" i="1456"/>
  <c r="D37" i="1456"/>
  <c r="D20" i="1456"/>
  <c r="D41" i="1456" l="1"/>
  <c r="D51" i="1456" s="1"/>
  <c r="D125" i="1357" l="1"/>
  <c r="N48" i="1458" l="1"/>
  <c r="H48" i="1458"/>
  <c r="N38" i="1458"/>
  <c r="H38" i="1458"/>
  <c r="G39" i="1419"/>
  <c r="G37" i="1419"/>
  <c r="G33" i="1419"/>
  <c r="G32" i="1419"/>
  <c r="G31" i="1419" l="1"/>
  <c r="E7" i="1419" l="1"/>
  <c r="E48" i="1419" s="1"/>
  <c r="G19" i="1419"/>
  <c r="D41" i="1357" l="1"/>
  <c r="N52" i="1458" l="1"/>
  <c r="H52" i="1458"/>
  <c r="I22" i="1453"/>
  <c r="B9" i="1419"/>
  <c r="G9" i="1419" s="1"/>
  <c r="H22" i="1416"/>
  <c r="H20" i="1416"/>
  <c r="B7" i="1419" l="1"/>
  <c r="F40" i="1419"/>
  <c r="B40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6" i="1459" s="1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1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1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5" i="1419"/>
  <c r="D40" i="1419"/>
  <c r="G40" i="1419" s="1"/>
  <c r="F36" i="1419"/>
  <c r="D36" i="1419"/>
  <c r="B36" i="1419"/>
  <c r="F34" i="1419"/>
  <c r="D34" i="1419"/>
  <c r="B34" i="1419"/>
  <c r="F30" i="1419"/>
  <c r="B30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E50" i="1430" l="1"/>
  <c r="F47" i="1419"/>
  <c r="B47" i="1419"/>
  <c r="D47" i="1419"/>
  <c r="D48" i="1419" s="1"/>
  <c r="J117" i="1452"/>
  <c r="I117" i="1452"/>
  <c r="G36" i="1419"/>
  <c r="G45" i="1419"/>
  <c r="G7" i="1419"/>
  <c r="G30" i="1419"/>
  <c r="G34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7" i="1458"/>
  <c r="I69" i="1458" s="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1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D40" i="1459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0" i="1458"/>
  <c r="L70" i="1458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I131" i="1452" l="1"/>
  <c r="I157" i="1452" s="1"/>
  <c r="J131" i="1452"/>
  <c r="J157" i="1452" s="1"/>
  <c r="E76" i="1427"/>
  <c r="N67" i="1458"/>
  <c r="N69" i="1458" s="1"/>
  <c r="G47" i="1419"/>
  <c r="E109" i="1427"/>
  <c r="F29" i="1455"/>
  <c r="F23" i="1427"/>
  <c r="D45" i="1430"/>
  <c r="E45" i="1430" s="1"/>
  <c r="E70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48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48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7" i="1458"/>
  <c r="H69" i="1458" s="1"/>
  <c r="O28" i="1455"/>
  <c r="C29" i="1455"/>
  <c r="C57" i="1430"/>
  <c r="E37" i="1427"/>
  <c r="F37" i="1427"/>
  <c r="I71" i="1458"/>
  <c r="C71" i="1458"/>
  <c r="H71" i="1458" s="1"/>
  <c r="C11" i="1450" l="1"/>
  <c r="C16" i="1450" s="1"/>
  <c r="K71" i="1458" s="1"/>
  <c r="K70" i="1458" s="1"/>
  <c r="K16" i="1450"/>
  <c r="D11" i="1450"/>
  <c r="D16" i="1450" s="1"/>
  <c r="O29" i="1455"/>
  <c r="G48" i="1419"/>
  <c r="F89" i="1427"/>
  <c r="E89" i="1427"/>
  <c r="E97" i="1427"/>
  <c r="D90" i="1427"/>
  <c r="D65" i="1427"/>
  <c r="E65" i="1427" s="1"/>
  <c r="F10" i="1427"/>
  <c r="E10" i="1427"/>
  <c r="E57" i="1430"/>
  <c r="E41" i="1430"/>
  <c r="I70" i="1458"/>
  <c r="E152" i="1427"/>
  <c r="F152" i="1427"/>
  <c r="C70" i="1458"/>
  <c r="H70" i="1458"/>
  <c r="E92" i="1427"/>
  <c r="F92" i="1427"/>
  <c r="J71" i="1458"/>
  <c r="J70" i="1458" s="1"/>
  <c r="E113" i="1427"/>
  <c r="F113" i="1427"/>
  <c r="O67" i="1458"/>
  <c r="F65" i="1427" l="1"/>
  <c r="F127" i="1427"/>
  <c r="E127" i="1427"/>
  <c r="F90" i="1427"/>
  <c r="E90" i="1427"/>
  <c r="N71" i="1458"/>
  <c r="N70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K126" i="1357" s="1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K57" i="1357" l="1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49" i="1419"/>
  <c r="F50" i="1419" s="1"/>
  <c r="H120" i="1452"/>
  <c r="P24" i="1455"/>
  <c r="Q24" i="1455" s="1"/>
  <c r="F24" i="1420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C125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L145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<sst xmlns="http://schemas.openxmlformats.org/spreadsheetml/2006/main" count="5848" uniqueCount="1049">
  <si>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</si>
  <si>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</si>
  <si>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</si>
  <si>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</si>
  <si>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</si>
  <si>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</si>
  <si>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</si>
  <si>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</si>
  <si>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</si>
  <si>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</si>
  <si>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</si>
  <si>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</si>
  <si>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</si>
  <si>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</si>
  <si>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</si>
  <si>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</si>
  <si>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</si>
  <si>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</si>
  <si>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</si>
  <si>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</si>
  <si>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</si>
  <si>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</si>
  <si>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</si>
  <si>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</si>
  <si>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</si>
  <si>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</si>
  <si>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</si>
  <si>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</si>
  <si>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</si>
  <si>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</si>
  <si>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</si>
  <si>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</si>
  <si>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</si>
  <si>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</si>
  <si>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</si>
  <si>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</si>
  <si>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</si>
  <si>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</si>
  <si>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</si>
  <si>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</si>
  <si>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</si>
  <si>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</si>
  <si>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</si>
  <si>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</si>
  <si>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</si>
  <si>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</si>
  <si>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</si>
  <si>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</si>
  <si>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</si>
  <si>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</si>
  <si>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</si>
  <si>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</si>
  <si>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</si>
  <si>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</si>
  <si>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</si>
  <si>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</si>
  <si>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</si>
  <si>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</si>
  <si>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</si>
  <si>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</si>
  <si>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</si>
  <si>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</si>
  <si>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</si>
  <si>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</si>
  <si>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</si>
  <si>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</si>
  <si>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</si>
  <si>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</si>
  <si>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</si>
  <si>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</si>
  <si>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</si>
  <si>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</si>
  <si>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</si>
  <si>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</si>
  <si>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</si>
  <si>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</si>
  <si>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</si>
  <si>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</si>
  <si>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</si>
  <si>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</si>
  <si>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</si>
  <si>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</si>
  <si>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</si>
  <si>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</si>
  <si>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</si>
  <si>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</si>
  <si>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</si>
  <si>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</si>
  <si>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</si>
  <si>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</si>
  <si>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</si>
  <si>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</si>
  <si>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</si>
  <si>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</si>
  <si>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</si>
  <si>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</si>
  <si>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</si>
  <si>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</si>
  <si>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</si>
  <si>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</si>
  <si>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</si>
  <si>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</si>
  <si>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</si>
  <si>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</si>
  <si>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</si>
  <si>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</si>
  <si>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</si>
  <si>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</si>
  <si>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</si>
  <si>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</si>
  <si>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</si>
  <si>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</si>
  <si>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</si>
  <si>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</si>
  <si>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</si>
  <si>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</si>
  <si>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</si>
  <si>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</si>
  <si>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</si>
  <si>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</si>
  <si>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</si>
  <si>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</si>
  <si>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</si>
  <si>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</si>
  <si>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</si>
  <si>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</si>
  <si>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</si>
  <si>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</si>
  <si>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</si>
  <si>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</si>
  <si>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</si>
  <si>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</si>
  <si>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</si>
  <si>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</si>
  <si>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</si>
  <si>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</si>
  <si>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</si>
  <si>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</si>
  <si>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</si>
  <si>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</si>
  <si>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</si>
  <si>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</si>
  <si>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</si>
  <si>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</si>
  <si>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</si>
  <si>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</si>
  <si>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</si>
  <si>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</si>
  <si>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</si>
  <si>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</si>
  <si>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</si>
  <si>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</si>
  <si>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</si>
  <si>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</si>
  <si>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</si>
  <si>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</si>
  <si>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</si>
  <si>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</si>
  <si>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</si>
  <si>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</si>
  <si>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</si>
  <si>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</si>
  <si>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</si>
  <si>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</si>
  <si>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</si>
  <si>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</si>
  <si>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</si>
  <si>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</si>
  <si>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</si>
  <si>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</si>
  <si>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</si>
  <si>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</si>
  <si>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</si>
  <si>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</si>
  <si>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</si>
  <si>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</si>
  <si>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</si>
  <si>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</si>
  <si>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</si>
  <si>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</si>
  <si>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</si>
  <si>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</si>
  <si>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</si>
  <si>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</si>
  <si>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</si>
  <si>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</si>
  <si>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</si>
  <si>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</si>
  <si>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</si>
  <si>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</si>
  <si>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</si>
  <si>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</si>
  <si>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</si>
  <si>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</si>
  <si>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</si>
  <si>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</si>
  <si>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</si>
  <si>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</si>
  <si>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</si>
  <si>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</si>
  <si>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</si>
  <si>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</si>
  <si>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</si>
  <si>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</si>
  <si>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</si>
  <si>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</si>
  <si>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</si>
  <si>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</si>
  <si>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</si>
  <si>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</si>
  <si>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</si>
  <si>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</si>
  <si>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</si>
  <si>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</si>
  <si>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</si>
  <si>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</si>
  <si>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</si>
  <si>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</si>
  <si>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</si>
  <si>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</si>
  <si>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</si>
  <si>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</si>
  <si>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</si>
  <si>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</si>
  <si>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</si>
  <si>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</si>
  <si>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</si>
  <si>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</si>
  <si>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</si>
  <si>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</si>
  <si>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</si>
  <si>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</si>
  <si>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</si>
  <si>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</si>
  <si>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</si>
  <si>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</si>
  <si>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</si>
  <si>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</si>
  <si>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</si>
  <si>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</si>
  <si>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</si>
  <si>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</si>
  <si>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</si>
  <si>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</si>
  <si>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</si>
  <si>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</si>
  <si>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</si>
  <si>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</si>
  <si>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</si>
  <si>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</si>
  <si>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</si>
  <si>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</si>
  <si>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</si>
  <si>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</si>
  <si>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</si>
  <si>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</si>
  <si>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</si>
  <si>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</si>
  <si>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</si>
  <si>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</si>
  <si>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</si>
  <si>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</si>
  <si>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</si>
  <si>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</si>
  <si>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</si>
  <si>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</si>
  <si>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</si>
  <si>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</si>
  <si>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</si>
  <si>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</si>
  <si>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</si>
  <si>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</si>
  <si>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</si>
  <si>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</si>
  <si>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</si>
  <si>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</si>
  <si>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</si>
  <si>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</si>
  <si>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</si>
  <si>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</si>
  <si>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</si>
  <si>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</si>
  <si>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</si>
  <si>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</si>
  <si>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</si>
  <si>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</si>
  <si>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</si>
  <si>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</si>
  <si>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</si>
  <si>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</si>
  <si>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</si>
  <si>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</si>
  <si>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</si>
  <si>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</si>
  <si>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</si>
  <si>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</si>
  <si>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</si>
  <si>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</si>
  <si>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</si>
  <si>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</si>
  <si>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</si>
  <si>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</si>
  <si>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</si>
  <si>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</si>
  <si>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</si>
  <si>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</si>
  <si>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</si>
  <si>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</si>
  <si>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</si>
  <si>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</si>
  <si>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</si>
  <si>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</si>
  <si>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</si>
  <si>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</si>
  <si>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</si>
  <si>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</si>
  <si>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</si>
  <si>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</si>
  <si>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</si>
  <si>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</si>
  <si>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</si>
  <si>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</si>
  <si>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</si>
  <si>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</si>
  <si>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</si>
  <si>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</si>
  <si>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</si>
  <si>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</si>
  <si>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</si>
  <si>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</si>
  <si>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</si>
  <si>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</si>
  <si>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</si>
  <si>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</si>
  <si>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</si>
  <si>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</si>
  <si>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</si>
  <si>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</si>
  <si>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</si>
  <si>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</si>
  <si>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</si>
  <si>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</si>
  <si>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</si>
  <si>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</si>
  <si>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</si>
  <si>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</si>
  <si>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</si>
  <si>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</si>
  <si>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</si>
  <si>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</si>
  <si>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</si>
  <si>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</si>
  <si>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</si>
  <si>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</si>
  <si>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</si>
  <si>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</si>
  <si>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</si>
  <si>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</si>
  <si>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</si>
  <si>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</si>
  <si>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</si>
  <si>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</si>
  <si>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</si>
  <si>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</si>
  <si>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</si>
  <si>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</si>
  <si>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</si>
  <si>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</si>
  <si>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</si>
  <si>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</si>
  <si>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</si>
  <si>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</si>
  <si>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</si>
  <si>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</si>
  <si>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</si>
  <si>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</si>
  <si>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</si>
  <si>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</si>
  <si>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</si>
  <si>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</si>
  <si>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</si>
  <si>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</si>
  <si>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</si>
  <si>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</si>
  <si>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</si>
  <si>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</si>
  <si>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</si>
  <si>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</si>
  <si>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</si>
  <si>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</si>
  <si>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</si>
  <si>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</si>
  <si>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</si>
  <si>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</si>
  <si>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</si>
  <si>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</si>
  <si>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</si>
  <si>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</si>
  <si>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</si>
  <si>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</si>
  <si>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</si>
  <si>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</si>
  <si>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</si>
  <si>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</si>
  <si>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</si>
  <si>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</si>
  <si>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</si>
  <si>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</si>
  <si>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</si>
  <si>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</si>
  <si>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</si>
  <si>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</si>
  <si>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</si>
  <si>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</si>
  <si>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</si>
  <si>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</si>
  <si>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</si>
  <si>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</si>
  <si>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</si>
  <si>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</si>
  <si>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</si>
  <si>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</si>
  <si>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</si>
  <si>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</si>
  <si>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</si>
  <si>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</si>
  <si>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</si>
  <si>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</si>
  <si>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</si>
  <si>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</si>
  <si>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</si>
  <si>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</si>
  <si>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</si>
  <si>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</si>
  <si>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</si>
  <si>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</si>
  <si>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</si>
  <si>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</si>
  <si>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</si>
  <si>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</si>
  <si>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</si>
  <si>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</si>
  <si>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</si>
  <si>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</si>
  <si>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</si>
  <si>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</si>
  <si>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</si>
  <si>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</si>
  <si>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</si>
  <si>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</si>
  <si>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</si>
  <si>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</si>
  <si>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</si>
  <si>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</si>
  <si>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</si>
  <si>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</si>
  <si>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</si>
  <si>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</si>
  <si>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</si>
  <si>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</si>
  <si>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</si>
  <si>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</si>
  <si>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</si>
  <si>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</si>
  <si>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</si>
  <si>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</si>
  <si>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</si>
  <si>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</si>
  <si>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</si>
  <si>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</si>
  <si>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</si>
  <si>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</si>
  <si>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</si>
  <si>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</si>
  <si>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</si>
  <si>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</si>
  <si>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</si>
  <si>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</si>
  <si>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</si>
  <si>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</si>
  <si>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</si>
  <si>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</si>
  <si>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</si>
  <si>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</si>
  <si>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</si>
  <si>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</si>
  <si>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</si>
  <si>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</si>
  <si>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</si>
  <si>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</si>
  <si>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</si>
  <si>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</si>
  <si>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</si>
  <si>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</si>
  <si>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</si>
  <si>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</si>
  <si>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</si>
  <si>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</si>
  <si>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</si>
  <si>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</si>
  <si>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</si>
  <si>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</si>
  <si>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</si>
  <si>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</si>
  <si>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</si>
  <si>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</si>
  <si>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</si>
  <si>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</si>
  <si>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</si>
  <si>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</si>
  <si>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</si>
  <si>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</si>
  <si>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</si>
  <si>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</si>
  <si>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</si>
  <si>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</si>
  <si>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</si>
  <si>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</si>
  <si>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</si>
  <si>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</si>
  <si>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</si>
  <si>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</si>
  <si>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</si>
  <si>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</si>
  <si>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</si>
  <si>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</si>
  <si>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</si>
  <si>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</si>
  <si>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</si>
  <si>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</si>
  <si>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</si>
  <si>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</si>
  <si>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</si>
  <si>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</si>
  <si>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</si>
  <si>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</si>
  <si>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</si>
  <si>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</si>
  <si>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</si>
  <si>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</si>
  <si>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</si>
  <si>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</si>
  <si>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</si>
  <si>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</si>
  <si>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</si>
  <si>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</si>
  <si>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</si>
  <si>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</si>
  <si>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</si>
  <si>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</si>
  <si>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</si>
  <si>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</si>
  <si>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</si>
  <si>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</si>
  <si>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</si>
  <si>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</si>
  <si>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</si>
  <si>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</si>
  <si>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</si>
  <si>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</si>
  <si>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</si>
  <si>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</si>
  <si>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</si>
  <si>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</si>
  <si>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</si>
  <si>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</si>
  <si>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</si>
  <si>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</si>
  <si>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</si>
  <si>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</si>
  <si>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</si>
  <si>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</si>
  <si>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</si>
  <si>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</si>
  <si>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</si>
  <si>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</si>
  <si>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</si>
  <si>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</si>
  <si>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</si>
  <si>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</si>
  <si>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</si>
  <si>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</si>
  <si>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</si>
  <si>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</si>
  <si>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</si>
  <si>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</si>
  <si>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</si>
  <si>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</si>
  <si>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</si>
  <si>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</si>
  <si>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</si>
  <si>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</si>
  <si>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</si>
  <si>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</si>
  <si>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</si>
  <si>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</si>
  <si>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</si>
  <si>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</si>
  <si>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</si>
  <si>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</si>
  <si>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</si>
  <si>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</si>
  <si>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</si>
  <si>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</si>
  <si>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</si>
  <si>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</si>
  <si>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</si>
  <si>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</si>
  <si>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</si>
  <si>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</si>
  <si>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</si>
  <si>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</si>
  <si>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</si>
  <si>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</si>
  <si>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</si>
  <si>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</si>
  <si>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</si>
  <si>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</si>
  <si>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</si>
  <si>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</si>
  <si>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</si>
  <si>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</si>
  <si>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</si>
  <si>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</si>
  <si>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</si>
  <si>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</si>
  <si>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</si>
  <si>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</si>
  <si>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</si>
  <si>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</si>
  <si>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</si>
  <si>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</si>
  <si>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</si>
  <si>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</si>
  <si>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</si>
  <si>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</si>
  <si>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</si>
  <si>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</si>
  <si>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</si>
  <si>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</si>
  <si>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</si>
  <si>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</si>
  <si>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</si>
  <si>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</si>
  <si>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</si>
  <si>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</si>
  <si>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</si>
  <si>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</si>
  <si>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</si>
  <si>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</si>
  <si>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</si>
  <si>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</si>
  <si>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</si>
  <si>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</si>
  <si>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</si>
  <si>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</si>
  <si>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</si>
  <si>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</si>
  <si>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</si>
  <si>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</si>
  <si>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</si>
  <si>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</si>
  <si>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</si>
  <si>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</si>
  <si>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</si>
  <si>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</si>
  <si>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</si>
  <si>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</si>
  <si>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</si>
  <si>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</si>
  <si>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</si>
  <si>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</si>
  <si>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</si>
  <si>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</si>
  <si>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</si>
  <si>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</si>
  <si>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</si>
  <si>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</si>
  <si>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</si>
  <si>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</si>
  <si>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</si>
  <si>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</si>
  <si>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</si>
  <si>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</si>
  <si>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</si>
  <si>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</si>
  <si>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</si>
  <si>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</si>
  <si>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</si>
  <si>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</si>
  <si>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</si>
  <si>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</si>
  <si>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</si>
  <si>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</si>
  <si>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</si>
  <si>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</si>
  <si>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</si>
  <si>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</si>
  <si>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</si>
  <si>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</si>
  <si>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</si>
  <si>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</si>
  <si>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</si>
  <si>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</si>
  <si>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</si>
  <si>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</si>
  <si>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</si>
  <si>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</si>
  <si>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</si>
  <si>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</si>
  <si>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</si>
  <si>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</si>
  <si>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</si>
  <si>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</si>
  <si>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</si>
  <si>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</si>
  <si>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</si>
  <si>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</si>
  <si>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</si>
  <si>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</si>
  <si>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</si>
  <si>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</si>
  <si>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</si>
  <si>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</si>
  <si>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</si>
  <si>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</si>
  <si>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</si>
  <si>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</si>
  <si>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</si>
  <si>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</si>
  <si>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</si>
  <si>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</si>
  <si>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</si>
  <si>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</si>
  <si>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</si>
  <si>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</si>
  <si>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</si>
  <si>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</si>
  <si>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</si>
  <si>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</si>
  <si>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</si>
  <si>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</si>
  <si>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</si>
  <si>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</si>
  <si>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</si>
  <si>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</si>
  <si>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</si>
  <si>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</si>
  <si>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</si>
  <si>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</si>
  <si>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</si>
  <si>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</si>
  <si>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</si>
  <si>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</si>
  <si>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</si>
  <si>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</si>
  <si>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</si>
  <si>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</si>
  <si>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</si>
  <si>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</si>
  <si>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</si>
  <si>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</si>
  <si>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</si>
  <si>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</si>
  <si>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</si>
  <si>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</si>
  <si>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</si>
  <si>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</si>
  <si>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</si>
  <si>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</si>
  <si>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</si>
  <si>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</si>
  <si>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</si>
  <si>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</si>
  <si>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</si>
  <si>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</si>
  <si>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</si>
  <si>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</si>
  <si>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</si>
  <si>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</si>
  <si>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</si>
  <si>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</si>
  <si>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</si>
  <si>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</si>
  <si>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</si>
  <si>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</si>
  <si>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</si>
  <si>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</si>
  <si>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</si>
  <si>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</si>
  <si>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</si>
  <si>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</si>
  <si>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</si>
  <si>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</si>
  <si>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</si>
  <si>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</si>
  <si>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</si>
  <si>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</si>
  <si>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</si>
  <si>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</si>
  <si>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</si>
  <si>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</si>
  <si>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</si>
  <si>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</si>
  <si>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</si>
  <si>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</si>
  <si>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</si>
  <si>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</si>
  <si>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</si>
  <si>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</si>
  <si>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</si>
  <si>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</si>
  <si>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</si>
  <si>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</si>
  <si>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</si>
  <si>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</si>
  <si>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</si>
  <si>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</si>
  <si>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</si>
  <si>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</si>
  <si>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</si>
  <si>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</si>
  <si>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</si>
  <si>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</si>
  <si>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</si>
  <si>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</si>
  <si>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</si>
  <si>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</si>
  <si>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</si>
  <si>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</si>
  <si>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</si>
  <si>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</si>
  <si>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</si>
  <si>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</si>
  <si>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</si>
  <si>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</si>
  <si>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</si>
  <si>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</si>
  <si>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</si>
  <si>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</si>
  <si>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</si>
  <si>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</si>
  <si>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</si>
  <si>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Pályázati önerő: közművelődés: 400 eFt, könyvtári: 250 eFt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</si>
  <si>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</si>
  <si>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</si>
  <si>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</si>
  <si>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</si>
  <si>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</si>
  <si>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</si>
  <si>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</si>
  <si>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</si>
  <si>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</si>
  <si>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</si>
  <si>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</si>
  <si>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</si>
  <si>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</si>
  <si>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</si>
  <si>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</si>
  <si>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</si>
  <si>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</si>
  <si>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</si>
  <si>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</si>
  <si>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</si>
  <si>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</si>
  <si>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</si>
  <si>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</si>
  <si>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</si>
  <si>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</si>
  <si>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</si>
  <si>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</si>
  <si>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</si>
  <si>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</si>
  <si>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</si>
  <si>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</si>
  <si>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</si>
  <si>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</si>
  <si>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</si>
  <si>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</si>
  <si>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</si>
  <si>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</si>
  <si>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</si>
  <si>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</si>
  <si>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</si>
  <si>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</si>
  <si>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</si>
  <si>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</si>
  <si>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</si>
  <si>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</si>
  <si>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</si>
  <si>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</si>
  <si>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</si>
  <si>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</si>
  <si>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</si>
  <si>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</si>
  <si>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</si>
  <si>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</si>
  <si>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</si>
  <si>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</si>
  <si>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</si>
  <si>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</si>
  <si>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</si>
  <si>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</si>
  <si>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</si>
  <si>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</si>
  <si>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</si>
  <si>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</si>
  <si>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</si>
  <si>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</si>
  <si>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</si>
  <si>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</si>
  <si>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</si>
  <si>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</si>
  <si>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</si>
  <si>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</si>
  <si>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</si>
  <si>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</si>
  <si>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</si>
  <si>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</si>
  <si>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</si>
  <si>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</si>
  <si>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</si>
  <si>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</si>
  <si>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</si>
  <si>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</si>
  <si>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</si>
  <si>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</si>
  <si>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</si>
  <si>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</si>
  <si>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</si>
  <si>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</si>
  <si>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</si>
  <si>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</si>
  <si>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</si>
  <si>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</si>
  <si>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</si>
  <si>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</si>
  <si>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</si>
  <si>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</si>
  <si>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</si>
  <si>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</si>
  <si>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</si>
  <si>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</si>
  <si>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</si>
  <si>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</si>
  <si>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</si>
  <si>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</si>
  <si>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</si>
  <si>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</si>
  <si>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</si>
  <si>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</si>
  <si>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</si>
  <si>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…….</t>
  </si>
  <si>
    <t>..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</si>
  <si>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</si>
  <si>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</si>
  <si>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</si>
  <si>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</si>
  <si>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</si>
  <si>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</si>
  <si>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</si>
  <si>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</si>
  <si>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</si>
  <si>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</si>
  <si>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</si>
  <si>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</si>
  <si>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</si>
  <si>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</si>
  <si>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</si>
  <si>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</si>
  <si>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</si>
  <si>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</si>
  <si>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</si>
  <si>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</si>
  <si>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</si>
  <si>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</si>
  <si>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</si>
  <si>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</si>
  <si>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</si>
  <si>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</si>
  <si>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</si>
  <si>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</si>
  <si>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</si>
  <si>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</si>
  <si>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</si>
  <si>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</si>
  <si>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</si>
  <si>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</si>
  <si>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</si>
  <si>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</si>
  <si>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</si>
  <si>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</si>
  <si>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</si>
  <si>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</si>
  <si>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</si>
  <si>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</si>
  <si>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</si>
  <si>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</si>
  <si>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</si>
  <si>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</si>
  <si>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</si>
  <si>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</si>
  <si>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</si>
  <si>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</si>
  <si>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</si>
  <si>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</si>
  <si>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</si>
  <si>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</si>
  <si>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</si>
  <si>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</si>
  <si>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</si>
  <si>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</si>
  <si>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</si>
  <si>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</si>
  <si>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</si>
  <si>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</si>
  <si>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</si>
  <si>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</si>
  <si>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</si>
  <si>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</si>
  <si>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Összesen: 15.=1.+…+14.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</si>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</sst>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4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9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53">
    <xf numFmtId="0" fontId="0" fillId="0" borderId="0" xfId="0"/>
    <xf numFmtId="165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5" fontId="18" fillId="0" borderId="0" xfId="0" applyNumberFormat="1" applyFont="1" applyFill="1" applyAlignment="1">
      <alignment vertical="center" wrapText="1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5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5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1" fillId="0" borderId="0" xfId="0" applyNumberFormat="1" applyFont="1" applyFill="1" applyAlignment="1" applyProtection="1">
      <alignment horizontal="left" vertical="center" wrapText="1"/>
    </xf>
    <xf numFmtId="165" fontId="11" fillId="0" borderId="0" xfId="0" applyNumberFormat="1" applyFont="1" applyFill="1" applyAlignment="1" applyProtection="1">
      <alignment vertical="center" wrapText="1"/>
    </xf>
    <xf numFmtId="165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5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5" fontId="27" fillId="0" borderId="28" xfId="21" applyNumberFormat="1" applyFont="1" applyFill="1" applyBorder="1" applyAlignment="1" applyProtection="1">
      <alignment horizontal="right" vertical="center" wrapText="1" indent="1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5" fontId="35" fillId="0" borderId="14" xfId="0" applyNumberFormat="1" applyFont="1" applyFill="1" applyBorder="1" applyAlignment="1" applyProtection="1">
      <alignment horizontal="righ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165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0" xfId="0" applyNumberFormat="1" applyFont="1" applyFill="1" applyAlignment="1" applyProtection="1">
      <alignment horizontal="center" vertical="center" wrapText="1"/>
    </xf>
    <xf numFmtId="165" fontId="35" fillId="0" borderId="27" xfId="0" applyNumberFormat="1" applyFont="1" applyFill="1" applyBorder="1" applyAlignment="1" applyProtection="1">
      <alignment horizontal="center" vertical="center" wrapText="1"/>
    </xf>
    <xf numFmtId="165" fontId="35" fillId="0" borderId="13" xfId="0" applyNumberFormat="1" applyFont="1" applyFill="1" applyBorder="1" applyAlignment="1" applyProtection="1">
      <alignment horizontal="center" vertical="center" wrapText="1"/>
    </xf>
    <xf numFmtId="165" fontId="35" fillId="0" borderId="14" xfId="0" applyNumberFormat="1" applyFont="1" applyFill="1" applyBorder="1" applyAlignment="1" applyProtection="1">
      <alignment horizontal="center" vertical="center" wrapText="1"/>
    </xf>
    <xf numFmtId="165" fontId="35" fillId="0" borderId="19" xfId="0" applyNumberFormat="1" applyFont="1" applyFill="1" applyBorder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8" fillId="0" borderId="27" xfId="0" applyNumberFormat="1" applyFont="1" applyFill="1" applyBorder="1" applyAlignment="1" applyProtection="1">
      <alignment horizontal="left" vertical="center" wrapText="1" indent="1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6" fillId="0" borderId="8" xfId="0" applyNumberFormat="1" applyFont="1" applyFill="1" applyBorder="1" applyAlignment="1" applyProtection="1">
      <alignment horizontal="left" vertical="center" wrapText="1" indent="1"/>
    </xf>
    <xf numFmtId="165" fontId="40" fillId="0" borderId="2" xfId="0" applyNumberFormat="1" applyFont="1" applyFill="1" applyBorder="1" applyAlignment="1" applyProtection="1">
      <alignment horizontal="right" vertical="center" wrapText="1" indent="1"/>
    </xf>
    <xf numFmtId="165" fontId="38" fillId="0" borderId="13" xfId="0" applyNumberFormat="1" applyFont="1" applyFill="1" applyBorder="1" applyAlignment="1" applyProtection="1">
      <alignment horizontal="left" vertical="center" wrapText="1" indent="1"/>
    </xf>
    <xf numFmtId="165" fontId="38" fillId="0" borderId="44" xfId="0" applyNumberFormat="1" applyFont="1" applyFill="1" applyBorder="1" applyAlignment="1" applyProtection="1">
      <alignment horizontal="right" vertical="center" wrapText="1" indent="1"/>
    </xf>
    <xf numFmtId="165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40" fillId="0" borderId="7" xfId="0" applyNumberFormat="1" applyFont="1" applyFill="1" applyBorder="1" applyAlignment="1" applyProtection="1">
      <alignment horizontal="left" vertical="center" wrapText="1" indent="1"/>
    </xf>
    <xf numFmtId="165" fontId="36" fillId="0" borderId="8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2"/>
    </xf>
    <xf numFmtId="165" fontId="40" fillId="0" borderId="2" xfId="0" applyNumberFormat="1" applyFont="1" applyFill="1" applyBorder="1" applyAlignment="1" applyProtection="1">
      <alignment horizontal="left" vertical="center" wrapText="1" indent="1"/>
    </xf>
    <xf numFmtId="165" fontId="36" fillId="0" borderId="9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2"/>
    </xf>
    <xf numFmtId="165" fontId="29" fillId="0" borderId="10" xfId="0" applyNumberFormat="1" applyFont="1" applyFill="1" applyBorder="1" applyAlignment="1" applyProtection="1">
      <alignment horizontal="left" vertical="center" wrapText="1" indent="2"/>
    </xf>
    <xf numFmtId="165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5" fontId="16" fillId="0" borderId="32" xfId="0" applyNumberFormat="1" applyFont="1" applyFill="1" applyBorder="1" applyAlignment="1" applyProtection="1">
      <alignment horizontal="right" vertical="center" wrapText="1" indent="1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5" fontId="27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5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5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5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5" fontId="40" fillId="0" borderId="1" xfId="0" applyNumberFormat="1" applyFont="1" applyFill="1" applyBorder="1" applyAlignment="1" applyProtection="1">
      <alignment horizontal="right" vertical="center" wrapText="1" indent="1"/>
    </xf>
    <xf numFmtId="165" fontId="41" fillId="0" borderId="0" xfId="0" applyNumberFormat="1" applyFont="1" applyFill="1" applyAlignment="1">
      <alignment vertical="center" wrapText="1"/>
    </xf>
    <xf numFmtId="165" fontId="14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vertical="center"/>
    </xf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8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vertical="center" wrapText="1"/>
    </xf>
    <xf numFmtId="165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5" fontId="36" fillId="0" borderId="2" xfId="23" applyNumberFormat="1" applyFont="1" applyFill="1" applyBorder="1" applyAlignment="1" applyProtection="1">
      <alignment vertical="center"/>
      <protection locked="0"/>
    </xf>
    <xf numFmtId="165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5" fontId="27" fillId="0" borderId="26" xfId="21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6" fontId="50" fillId="0" borderId="0" xfId="18" applyNumberFormat="1" applyFont="1"/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9" xfId="21" applyNumberFormat="1" applyFont="1" applyFill="1" applyBorder="1" applyAlignment="1" applyProtection="1">
      <alignment horizontal="right" vertical="center" wrapText="1" indent="1"/>
    </xf>
    <xf numFmtId="165" fontId="36" fillId="0" borderId="1" xfId="23" applyNumberFormat="1" applyFont="1" applyFill="1" applyBorder="1" applyAlignment="1" applyProtection="1">
      <alignment vertical="center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5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5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5" fontId="27" fillId="0" borderId="52" xfId="21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Border="1" applyAlignment="1" applyProtection="1">
      <alignment horizontal="right" vertical="center" wrapText="1" indent="1"/>
    </xf>
    <xf numFmtId="165" fontId="32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</xf>
    <xf numFmtId="165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0" xfId="21" applyNumberFormat="1" applyFont="1" applyFill="1" applyBorder="1" applyAlignment="1" applyProtection="1">
      <alignment horizontal="right" vertical="center" wrapText="1" indent="1"/>
    </xf>
    <xf numFmtId="165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5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5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5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5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6" fontId="17" fillId="0" borderId="0" xfId="26" applyNumberFormat="1" applyFont="1" applyAlignment="1">
      <alignment horizontal="center"/>
    </xf>
    <xf numFmtId="166" fontId="23" fillId="0" borderId="0" xfId="26" applyNumberFormat="1" applyFont="1"/>
    <xf numFmtId="166" fontId="11" fillId="0" borderId="0" xfId="26" applyNumberFormat="1" applyFont="1"/>
    <xf numFmtId="166" fontId="23" fillId="0" borderId="0" xfId="26" applyNumberFormat="1" applyFont="1" applyBorder="1" applyAlignment="1"/>
    <xf numFmtId="166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5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5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5" fontId="36" fillId="0" borderId="20" xfId="21" applyNumberFormat="1" applyFont="1" applyFill="1" applyBorder="1" applyAlignment="1" applyProtection="1">
      <alignment horizontal="center" vertical="center" wrapText="1"/>
    </xf>
    <xf numFmtId="165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5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5" fontId="36" fillId="0" borderId="17" xfId="21" applyNumberFormat="1" applyFont="1" applyFill="1" applyBorder="1" applyAlignment="1" applyProtection="1">
      <alignment horizontal="right" vertical="center" wrapText="1" indent="1"/>
    </xf>
    <xf numFmtId="165" fontId="36" fillId="0" borderId="22" xfId="21" applyNumberFormat="1" applyFont="1" applyFill="1" applyBorder="1" applyAlignment="1" applyProtection="1">
      <alignment horizontal="right" vertical="center" wrapText="1" indent="1"/>
    </xf>
    <xf numFmtId="165" fontId="27" fillId="0" borderId="17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165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5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5" fontId="36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1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6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6" fontId="36" fillId="0" borderId="53" xfId="26" applyNumberFormat="1" applyFont="1" applyFill="1" applyBorder="1" applyProtection="1">
      <protection locked="0"/>
    </xf>
    <xf numFmtId="166" fontId="35" fillId="0" borderId="26" xfId="26" applyNumberFormat="1" applyFont="1" applyFill="1" applyBorder="1" applyProtection="1"/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5" fontId="18" fillId="0" borderId="0" xfId="0" applyNumberFormat="1" applyFont="1" applyFill="1" applyAlignment="1">
      <alignment horizontal="center" vertical="center" wrapText="1"/>
    </xf>
    <xf numFmtId="165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5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5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5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5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5" fontId="35" fillId="0" borderId="25" xfId="0" applyNumberFormat="1" applyFont="1" applyFill="1" applyBorder="1" applyAlignment="1" applyProtection="1">
      <alignment vertical="center" wrapText="1"/>
    </xf>
    <xf numFmtId="165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5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7" xfId="21" applyNumberFormat="1" applyFont="1" applyFill="1" applyBorder="1" applyAlignment="1" applyProtection="1">
      <alignment horizontal="right" vertical="center" wrapText="1" indent="1"/>
    </xf>
    <xf numFmtId="165" fontId="29" fillId="0" borderId="41" xfId="21" applyNumberFormat="1" applyFont="1" applyFill="1" applyBorder="1" applyAlignment="1" applyProtection="1">
      <alignment horizontal="right" vertical="center" wrapText="1" indent="1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5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5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5" fontId="35" fillId="0" borderId="25" xfId="21" applyNumberFormat="1" applyFont="1" applyFill="1" applyBorder="1" applyAlignment="1" applyProtection="1">
      <alignment horizontal="right" vertical="center" wrapText="1" indent="1"/>
    </xf>
    <xf numFmtId="165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4" xfId="21" applyNumberFormat="1" applyFont="1" applyFill="1" applyBorder="1" applyAlignment="1" applyProtection="1">
      <alignment horizontal="right" vertical="center" wrapText="1" indent="1"/>
    </xf>
    <xf numFmtId="165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5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5" fontId="37" fillId="0" borderId="13" xfId="0" applyNumberFormat="1" applyFont="1" applyFill="1" applyBorder="1" applyAlignment="1" applyProtection="1">
      <alignment horizontal="centerContinuous" vertical="center" wrapText="1"/>
    </xf>
    <xf numFmtId="165" fontId="37" fillId="0" borderId="14" xfId="0" applyNumberFormat="1" applyFont="1" applyFill="1" applyBorder="1" applyAlignment="1" applyProtection="1">
      <alignment horizontal="centerContinuous" vertical="center" wrapText="1"/>
    </xf>
    <xf numFmtId="165" fontId="37" fillId="0" borderId="19" xfId="0" applyNumberFormat="1" applyFont="1" applyFill="1" applyBorder="1" applyAlignment="1" applyProtection="1">
      <alignment horizontal="centerContinuous" vertical="center" wrapText="1"/>
    </xf>
    <xf numFmtId="165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5" fontId="37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6" fillId="0" borderId="43" xfId="0" applyNumberFormat="1" applyFont="1" applyFill="1" applyBorder="1" applyAlignment="1" applyProtection="1">
      <alignment horizontal="left" vertical="center" wrapText="1" indent="1"/>
    </xf>
    <xf numFmtId="165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6" fontId="29" fillId="0" borderId="23" xfId="26" applyNumberFormat="1" applyFont="1" applyFill="1" applyBorder="1" applyProtection="1">
      <protection locked="0"/>
    </xf>
    <xf numFmtId="166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6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5" fontId="20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5" fontId="36" fillId="0" borderId="8" xfId="0" applyNumberFormat="1" applyFont="1" applyFill="1" applyBorder="1" applyAlignment="1" applyProtection="1">
      <alignment horizontal="left" vertical="center" wrapText="1" indent="3"/>
    </xf>
    <xf numFmtId="166" fontId="36" fillId="0" borderId="57" xfId="26" applyNumberFormat="1" applyFont="1" applyFill="1" applyBorder="1" applyProtection="1">
      <protection locked="0"/>
    </xf>
    <xf numFmtId="0" fontId="36" fillId="0" borderId="10" xfId="21" applyFont="1" applyFill="1" applyBorder="1" applyAlignment="1" applyProtection="1">
      <alignment horizontal="center" vertical="center"/>
    </xf>
    <xf numFmtId="168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6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5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165" fontId="37" fillId="0" borderId="13" xfId="0" applyNumberFormat="1" applyFont="1" applyFill="1" applyBorder="1" applyAlignment="1" applyProtection="1">
      <alignment horizontal="left" vertical="center" wrapText="1"/>
    </xf>
    <xf numFmtId="165" fontId="37" fillId="0" borderId="14" xfId="0" applyNumberFormat="1" applyFont="1" applyFill="1" applyBorder="1" applyAlignment="1" applyProtection="1">
      <alignment vertical="center" wrapText="1"/>
    </xf>
    <xf numFmtId="165" fontId="37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0" fillId="0" borderId="0" xfId="0" applyNumberFormat="1" applyFont="1" applyFill="1" applyAlignment="1">
      <alignment vertical="center" wrapText="1"/>
    </xf>
    <xf numFmtId="165" fontId="97" fillId="0" borderId="0" xfId="0" applyNumberFormat="1" applyFont="1" applyFill="1" applyAlignment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37" fillId="0" borderId="15" xfId="0" applyNumberFormat="1" applyFont="1" applyFill="1" applyBorder="1" applyAlignment="1" applyProtection="1">
      <alignment horizontal="center" vertical="center" wrapText="1"/>
    </xf>
    <xf numFmtId="165" fontId="37" fillId="0" borderId="16" xfId="0" applyNumberFormat="1" applyFont="1" applyFill="1" applyBorder="1" applyAlignment="1" applyProtection="1">
      <alignment horizontal="center" vertical="center" wrapText="1"/>
    </xf>
    <xf numFmtId="165" fontId="37" fillId="0" borderId="28" xfId="0" applyNumberFormat="1" applyFont="1" applyFill="1" applyBorder="1" applyAlignment="1" applyProtection="1">
      <alignment horizontal="center" vertical="center" wrapText="1"/>
    </xf>
    <xf numFmtId="165" fontId="35" fillId="0" borderId="11" xfId="0" applyNumberFormat="1" applyFont="1" applyFill="1" applyBorder="1" applyAlignment="1" applyProtection="1">
      <alignment horizontal="center" vertical="center" wrapText="1"/>
    </xf>
    <xf numFmtId="165" fontId="35" fillId="0" borderId="4" xfId="0" applyNumberFormat="1" applyFont="1" applyFill="1" applyBorder="1" applyAlignment="1" applyProtection="1">
      <alignment horizontal="center" vertical="center" wrapText="1"/>
    </xf>
    <xf numFmtId="165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5" fontId="13" fillId="0" borderId="0" xfId="21" applyNumberFormat="1" applyFont="1" applyFill="1" applyBorder="1" applyAlignment="1" applyProtection="1">
      <alignment horizontal="centerContinuous" vertical="center"/>
    </xf>
    <xf numFmtId="165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0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5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5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5" fontId="36" fillId="0" borderId="23" xfId="21" applyNumberFormat="1" applyFont="1" applyFill="1" applyBorder="1" applyAlignment="1" applyProtection="1">
      <alignment horizontal="right" vertical="center" wrapText="1" indent="1"/>
    </xf>
    <xf numFmtId="165" fontId="36" fillId="0" borderId="19" xfId="0" applyNumberFormat="1" applyFont="1" applyFill="1" applyBorder="1" applyAlignment="1" applyProtection="1">
      <alignment horizontal="right" vertical="center" wrapText="1" indent="1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5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5" fontId="27" fillId="0" borderId="61" xfId="50" applyNumberFormat="1" applyFont="1" applyFill="1" applyBorder="1" applyAlignment="1" applyProtection="1">
      <alignment horizontal="center" vertical="center" wrapText="1"/>
    </xf>
    <xf numFmtId="165" fontId="27" fillId="0" borderId="62" xfId="50" applyNumberFormat="1" applyFont="1" applyFill="1" applyBorder="1" applyAlignment="1" applyProtection="1">
      <alignment horizontal="center" vertical="center" wrapText="1"/>
    </xf>
    <xf numFmtId="165" fontId="27" fillId="0" borderId="28" xfId="50" applyNumberFormat="1" applyFont="1" applyFill="1" applyBorder="1" applyAlignment="1" applyProtection="1">
      <alignment horizontal="center" vertical="center" wrapText="1"/>
    </xf>
    <xf numFmtId="165" fontId="27" fillId="0" borderId="38" xfId="50" applyNumberFormat="1" applyFont="1" applyFill="1" applyBorder="1" applyAlignment="1" applyProtection="1">
      <alignment horizontal="center" vertical="center" wrapText="1"/>
    </xf>
    <xf numFmtId="165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5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5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69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6" fontId="110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7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49" fontId="114" fillId="0" borderId="13" xfId="18" applyNumberFormat="1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49" fontId="113" fillId="0" borderId="11" xfId="18" applyNumberFormat="1" applyFont="1" applyBorder="1" applyAlignment="1">
      <alignment vertical="center"/>
    </xf>
    <xf numFmtId="49" fontId="113" fillId="0" borderId="8" xfId="18" applyNumberFormat="1" applyFont="1" applyBorder="1" applyAlignment="1">
      <alignment vertical="center"/>
    </xf>
    <xf numFmtId="49" fontId="112" fillId="0" borderId="13" xfId="18" applyNumberFormat="1" applyFont="1" applyBorder="1" applyAlignment="1">
      <alignment vertical="center"/>
    </xf>
    <xf numFmtId="49" fontId="113" fillId="0" borderId="9" xfId="18" applyNumberFormat="1" applyFont="1" applyBorder="1" applyAlignment="1">
      <alignment vertical="center"/>
    </xf>
    <xf numFmtId="49" fontId="113" fillId="0" borderId="10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/>
    </xf>
    <xf numFmtId="169" fontId="114" fillId="0" borderId="19" xfId="53" applyNumberFormat="1" applyFont="1" applyFill="1" applyBorder="1" applyAlignment="1">
      <alignment horizontal="right" vertical="center"/>
    </xf>
    <xf numFmtId="169" fontId="113" fillId="0" borderId="20" xfId="18" applyNumberFormat="1" applyFont="1" applyFill="1" applyBorder="1" applyAlignment="1">
      <alignment horizontal="right" vertical="center"/>
    </xf>
    <xf numFmtId="169" fontId="113" fillId="0" borderId="23" xfId="18" applyNumberFormat="1" applyFont="1" applyFill="1" applyBorder="1" applyAlignment="1">
      <alignment horizontal="right" vertical="center"/>
    </xf>
    <xf numFmtId="49" fontId="113" fillId="0" borderId="39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 wrapText="1"/>
    </xf>
    <xf numFmtId="0" fontId="112" fillId="0" borderId="14" xfId="18" applyFont="1" applyBorder="1" applyAlignment="1">
      <alignment horizontal="left" vertical="center" wrapText="1"/>
    </xf>
    <xf numFmtId="169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69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" xfId="18" applyNumberFormat="1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80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3" fillId="10" borderId="81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3" fillId="10" borderId="79" xfId="0" quotePrefix="1" applyNumberFormat="1" applyFont="1" applyFill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55" applyFont="1" applyBorder="1" applyAlignment="1">
      <alignment vertical="center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2" xfId="0" applyFont="1" applyFill="1" applyBorder="1" applyAlignment="1">
      <alignment horizontal="left" vertical="center" wrapText="1"/>
    </xf>
    <xf numFmtId="0" fontId="113" fillId="0" borderId="69" xfId="55" applyFont="1" applyBorder="1" applyAlignment="1">
      <alignment vertical="center"/>
    </xf>
    <xf numFmtId="0" fontId="113" fillId="0" borderId="49" xfId="55" applyFont="1" applyBorder="1" applyAlignment="1">
      <alignment vertical="center"/>
    </xf>
    <xf numFmtId="169" fontId="113" fillId="0" borderId="18" xfId="53" applyNumberFormat="1" applyFont="1" applyFill="1" applyBorder="1" applyAlignment="1">
      <alignment horizontal="right" vertical="center"/>
    </xf>
    <xf numFmtId="169" fontId="113" fillId="0" borderId="26" xfId="53" applyNumberFormat="1" applyFont="1" applyFill="1" applyBorder="1" applyAlignment="1">
      <alignment horizontal="right" vertical="center"/>
    </xf>
    <xf numFmtId="169" fontId="114" fillId="0" borderId="19" xfId="53" applyNumberFormat="1" applyFont="1" applyFill="1" applyBorder="1" applyAlignment="1">
      <alignment horizontal="right" vertical="center" wrapText="1"/>
    </xf>
    <xf numFmtId="169" fontId="113" fillId="0" borderId="22" xfId="18" applyNumberFormat="1" applyFont="1" applyFill="1" applyBorder="1" applyAlignment="1">
      <alignment horizontal="right" vertical="center"/>
    </xf>
    <xf numFmtId="169" fontId="112" fillId="0" borderId="19" xfId="18" applyNumberFormat="1" applyFont="1" applyFill="1" applyBorder="1" applyAlignment="1">
      <alignment horizontal="right" vertical="center"/>
    </xf>
    <xf numFmtId="169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7" fillId="0" borderId="34" xfId="0" applyNumberFormat="1" applyFont="1" applyFill="1" applyBorder="1" applyAlignment="1" applyProtection="1">
      <alignment horizontal="center" vertical="center" wrapText="1"/>
    </xf>
    <xf numFmtId="165" fontId="73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165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6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5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5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6" fillId="0" borderId="20" xfId="21" applyNumberFormat="1" applyFont="1" applyFill="1" applyBorder="1" applyAlignment="1" applyProtection="1">
      <alignment horizontal="right"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5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99" fillId="0" borderId="20" xfId="0" applyNumberFormat="1" applyFont="1" applyFill="1" applyBorder="1" applyAlignment="1" applyProtection="1">
      <alignment vertical="center" wrapText="1"/>
    </xf>
    <xf numFmtId="165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6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3" applyNumberFormat="1" applyFont="1" applyFill="1" applyBorder="1" applyAlignment="1" applyProtection="1">
      <alignment vertical="center"/>
    </xf>
    <xf numFmtId="165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0" borderId="2" xfId="18" quotePrefix="1" applyFont="1" applyBorder="1" applyAlignment="1">
      <alignment vertical="center"/>
    </xf>
    <xf numFmtId="0" fontId="113" fillId="10" borderId="2" xfId="0" applyFont="1" applyFill="1" applyBorder="1" applyAlignment="1">
      <alignment horizontal="left" vertical="center" wrapText="1"/>
    </xf>
    <xf numFmtId="169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9" fontId="113" fillId="0" borderId="17" xfId="18" applyNumberFormat="1" applyFont="1" applyFill="1" applyBorder="1" applyAlignment="1">
      <alignment horizontal="right" vertical="center"/>
    </xf>
    <xf numFmtId="169" fontId="113" fillId="0" borderId="17" xfId="53" applyNumberFormat="1" applyFont="1" applyFill="1" applyBorder="1" applyAlignment="1">
      <alignment horizontal="right" vertical="center"/>
    </xf>
    <xf numFmtId="165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69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3" fillId="0" borderId="55" xfId="19" applyNumberFormat="1" applyFont="1" applyBorder="1"/>
    <xf numFmtId="169" fontId="43" fillId="0" borderId="4" xfId="19" applyNumberFormat="1" applyFont="1" applyBorder="1"/>
    <xf numFmtId="169" fontId="37" fillId="0" borderId="17" xfId="19" applyNumberFormat="1" applyFont="1" applyBorder="1"/>
    <xf numFmtId="169" fontId="43" fillId="0" borderId="9" xfId="19" applyNumberFormat="1" applyFont="1" applyBorder="1"/>
    <xf numFmtId="169" fontId="43" fillId="0" borderId="3" xfId="19" applyNumberFormat="1" applyFont="1" applyBorder="1"/>
    <xf numFmtId="169" fontId="37" fillId="0" borderId="20" xfId="19" applyNumberFormat="1" applyFont="1" applyBorder="1"/>
    <xf numFmtId="169" fontId="43" fillId="0" borderId="5" xfId="19" applyNumberFormat="1" applyFont="1" applyBorder="1"/>
    <xf numFmtId="169" fontId="43" fillId="0" borderId="2" xfId="19" applyNumberFormat="1" applyFont="1" applyBorder="1"/>
    <xf numFmtId="169" fontId="43" fillId="0" borderId="8" xfId="19" applyNumberFormat="1" applyFont="1" applyBorder="1"/>
    <xf numFmtId="169" fontId="37" fillId="0" borderId="18" xfId="19" applyNumberFormat="1" applyFont="1" applyBorder="1"/>
    <xf numFmtId="169" fontId="43" fillId="0" borderId="2" xfId="19" applyNumberFormat="1" applyFont="1" applyFill="1" applyBorder="1"/>
    <xf numFmtId="169" fontId="60" fillId="0" borderId="2" xfId="19" applyNumberFormat="1" applyFont="1" applyBorder="1"/>
    <xf numFmtId="169" fontId="37" fillId="0" borderId="2" xfId="19" applyNumberFormat="1" applyFont="1" applyBorder="1"/>
    <xf numFmtId="169" fontId="43" fillId="0" borderId="10" xfId="19" applyNumberFormat="1" applyFont="1" applyBorder="1"/>
    <xf numFmtId="169" fontId="43" fillId="0" borderId="6" xfId="19" applyNumberFormat="1" applyFont="1" applyBorder="1"/>
    <xf numFmtId="169" fontId="43" fillId="0" borderId="76" xfId="19" applyNumberFormat="1" applyFont="1" applyBorder="1"/>
    <xf numFmtId="169" fontId="43" fillId="0" borderId="25" xfId="19" applyNumberFormat="1" applyFont="1" applyBorder="1"/>
    <xf numFmtId="169" fontId="37" fillId="0" borderId="26" xfId="19" applyNumberFormat="1" applyFont="1" applyBorder="1"/>
    <xf numFmtId="169" fontId="74" fillId="0" borderId="6" xfId="19" applyNumberFormat="1" applyFont="1" applyBorder="1"/>
    <xf numFmtId="169" fontId="43" fillId="0" borderId="11" xfId="19" applyNumberFormat="1" applyFont="1" applyBorder="1"/>
    <xf numFmtId="169" fontId="109" fillId="0" borderId="5" xfId="19" applyNumberFormat="1" applyFont="1" applyBorder="1"/>
    <xf numFmtId="169" fontId="109" fillId="0" borderId="2" xfId="19" applyNumberFormat="1" applyFont="1" applyBorder="1"/>
    <xf numFmtId="169" fontId="74" fillId="0" borderId="2" xfId="19" applyNumberFormat="1" applyFont="1" applyBorder="1"/>
    <xf numFmtId="169" fontId="43" fillId="0" borderId="54" xfId="19" applyNumberFormat="1" applyFont="1" applyBorder="1"/>
    <xf numFmtId="169" fontId="43" fillId="0" borderId="21" xfId="19" applyNumberFormat="1" applyFont="1" applyBorder="1"/>
    <xf numFmtId="169" fontId="37" fillId="0" borderId="22" xfId="19" applyNumberFormat="1" applyFont="1" applyBorder="1"/>
    <xf numFmtId="169" fontId="43" fillId="0" borderId="12" xfId="19" applyNumberFormat="1" applyFont="1" applyBorder="1"/>
    <xf numFmtId="169" fontId="60" fillId="0" borderId="4" xfId="19" applyNumberFormat="1" applyFont="1" applyBorder="1"/>
    <xf numFmtId="169" fontId="82" fillId="0" borderId="8" xfId="19" applyNumberFormat="1" applyFont="1" applyBorder="1"/>
    <xf numFmtId="169" fontId="60" fillId="0" borderId="21" xfId="19" applyNumberFormat="1" applyFont="1" applyBorder="1"/>
    <xf numFmtId="169" fontId="74" fillId="0" borderId="21" xfId="19" applyNumberFormat="1" applyFont="1" applyBorder="1"/>
    <xf numFmtId="169" fontId="43" fillId="0" borderId="77" xfId="19" applyNumberFormat="1" applyFont="1" applyBorder="1"/>
    <xf numFmtId="169" fontId="37" fillId="0" borderId="8" xfId="19" applyNumberFormat="1" applyFont="1" applyBorder="1"/>
    <xf numFmtId="169" fontId="74" fillId="0" borderId="55" xfId="19" applyNumberFormat="1" applyFont="1" applyBorder="1"/>
    <xf numFmtId="169" fontId="74" fillId="0" borderId="4" xfId="19" applyNumberFormat="1" applyFont="1" applyBorder="1"/>
    <xf numFmtId="169" fontId="74" fillId="0" borderId="77" xfId="19" applyNumberFormat="1" applyFont="1" applyBorder="1"/>
    <xf numFmtId="169" fontId="43" fillId="0" borderId="75" xfId="19" applyNumberFormat="1" applyFont="1" applyBorder="1"/>
    <xf numFmtId="169" fontId="74" fillId="0" borderId="3" xfId="19" applyNumberFormat="1" applyFont="1" applyBorder="1"/>
    <xf numFmtId="169" fontId="43" fillId="0" borderId="47" xfId="19" applyNumberFormat="1" applyFont="1" applyBorder="1"/>
    <xf numFmtId="169" fontId="43" fillId="0" borderId="83" xfId="19" applyNumberFormat="1" applyFont="1" applyBorder="1"/>
    <xf numFmtId="169" fontId="43" fillId="0" borderId="16" xfId="19" applyNumberFormat="1" applyFont="1" applyBorder="1"/>
    <xf numFmtId="169" fontId="37" fillId="0" borderId="28" xfId="19" applyNumberFormat="1" applyFont="1" applyBorder="1"/>
    <xf numFmtId="169" fontId="43" fillId="0" borderId="67" xfId="19" applyNumberFormat="1" applyFont="1" applyBorder="1"/>
    <xf numFmtId="169" fontId="43" fillId="0" borderId="1" xfId="19" applyNumberFormat="1" applyFont="1" applyBorder="1"/>
    <xf numFmtId="169" fontId="43" fillId="0" borderId="7" xfId="19" applyNumberFormat="1" applyFont="1" applyBorder="1"/>
    <xf numFmtId="169" fontId="43" fillId="0" borderId="73" xfId="19" applyNumberFormat="1" applyFont="1" applyBorder="1"/>
    <xf numFmtId="169" fontId="37" fillId="0" borderId="6" xfId="19" applyNumberFormat="1" applyFont="1" applyBorder="1"/>
    <xf numFmtId="169" fontId="37" fillId="0" borderId="23" xfId="19" applyNumberFormat="1" applyFont="1" applyBorder="1"/>
    <xf numFmtId="169" fontId="43" fillId="0" borderId="1" xfId="19" applyNumberFormat="1" applyFont="1" applyFill="1" applyBorder="1"/>
    <xf numFmtId="169" fontId="43" fillId="0" borderId="73" xfId="19" applyNumberFormat="1" applyFont="1" applyFill="1" applyBorder="1"/>
    <xf numFmtId="169" fontId="16" fillId="0" borderId="58" xfId="19" applyNumberFormat="1" applyFont="1" applyBorder="1"/>
    <xf numFmtId="169" fontId="37" fillId="0" borderId="58" xfId="19" applyNumberFormat="1" applyFont="1" applyBorder="1"/>
    <xf numFmtId="169" fontId="26" fillId="0" borderId="5" xfId="19" applyNumberFormat="1" applyFont="1" applyBorder="1"/>
    <xf numFmtId="169" fontId="26" fillId="0" borderId="2" xfId="19" applyNumberFormat="1" applyFont="1" applyBorder="1"/>
    <xf numFmtId="169" fontId="16" fillId="0" borderId="8" xfId="19" applyNumberFormat="1" applyFont="1" applyBorder="1"/>
    <xf numFmtId="169" fontId="16" fillId="0" borderId="18" xfId="19" applyNumberFormat="1" applyFont="1" applyBorder="1"/>
    <xf numFmtId="169" fontId="16" fillId="0" borderId="54" xfId="19" applyNumberFormat="1" applyFont="1" applyBorder="1"/>
    <xf numFmtId="169" fontId="16" fillId="0" borderId="21" xfId="19" applyNumberFormat="1" applyFont="1" applyBorder="1"/>
    <xf numFmtId="169" fontId="37" fillId="0" borderId="21" xfId="19" applyNumberFormat="1" applyFont="1" applyBorder="1"/>
    <xf numFmtId="169" fontId="16" fillId="0" borderId="22" xfId="19" applyNumberFormat="1" applyFont="1" applyBorder="1"/>
    <xf numFmtId="165" fontId="31" fillId="0" borderId="24" xfId="0" applyNumberFormat="1" applyFont="1" applyFill="1" applyBorder="1" applyAlignment="1" applyProtection="1">
      <alignment horizontal="center" vertical="center" wrapText="1"/>
    </xf>
    <xf numFmtId="165" fontId="78" fillId="0" borderId="24" xfId="0" applyNumberFormat="1" applyFont="1" applyFill="1" applyBorder="1" applyAlignment="1" applyProtection="1">
      <alignment horizontal="right" wrapText="1"/>
    </xf>
    <xf numFmtId="165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5" fontId="31" fillId="0" borderId="0" xfId="0" applyNumberFormat="1" applyFont="1" applyFill="1" applyBorder="1" applyAlignment="1" applyProtection="1">
      <alignment horizontal="center" vertical="center" wrapText="1"/>
    </xf>
    <xf numFmtId="165" fontId="78" fillId="0" borderId="24" xfId="0" applyNumberFormat="1" applyFont="1" applyFill="1" applyBorder="1" applyAlignment="1" applyProtection="1">
      <alignment wrapText="1"/>
    </xf>
    <xf numFmtId="165" fontId="39" fillId="0" borderId="24" xfId="0" applyNumberFormat="1" applyFont="1" applyFill="1" applyBorder="1" applyAlignment="1" applyProtection="1">
      <alignment wrapText="1"/>
    </xf>
    <xf numFmtId="165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5" fontId="16" fillId="0" borderId="14" xfId="0" applyNumberFormat="1" applyFont="1" applyFill="1" applyBorder="1" applyAlignment="1" applyProtection="1">
      <alignment horizontal="center" vertical="center" wrapText="1"/>
    </xf>
    <xf numFmtId="165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69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5" fontId="15" fillId="0" borderId="0" xfId="0" applyNumberFormat="1" applyFont="1" applyFill="1" applyBorder="1" applyAlignment="1" applyProtection="1">
      <alignment horizontal="center" vertical="center" wrapText="1"/>
    </xf>
    <xf numFmtId="166" fontId="15" fillId="0" borderId="27" xfId="26" applyNumberFormat="1" applyFont="1" applyBorder="1" applyAlignment="1">
      <alignment horizontal="center" vertical="center" wrapText="1"/>
    </xf>
    <xf numFmtId="0" fontId="112" fillId="0" borderId="15" xfId="18" applyFont="1" applyBorder="1" applyAlignment="1">
      <alignment horizontal="center" vertical="center"/>
    </xf>
    <xf numFmtId="0" fontId="112" fillId="0" borderId="16" xfId="18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69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0" fontId="9" fillId="0" borderId="7" xfId="48" applyNumberFormat="1" applyFont="1" applyFill="1" applyBorder="1" applyAlignment="1" applyProtection="1">
      <alignment vertical="center" wrapText="1"/>
      <protection locked="0"/>
    </xf>
    <xf numFmtId="3" fontId="36" fillId="0" borderId="2" xfId="26" quotePrefix="1" applyNumberFormat="1" applyFont="1" applyBorder="1" applyAlignment="1">
      <alignment horizontal="right"/>
    </xf>
    <xf numFmtId="169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5" fontId="77" fillId="0" borderId="0" xfId="0" applyNumberFormat="1" applyFont="1" applyFill="1" applyBorder="1" applyAlignment="1" applyProtection="1">
      <alignment horizontal="center" vertical="center" wrapText="1"/>
    </xf>
    <xf numFmtId="165" fontId="106" fillId="0" borderId="18" xfId="0" applyNumberFormat="1" applyFont="1" applyFill="1" applyBorder="1" applyAlignment="1" applyProtection="1">
      <alignment vertical="center" wrapText="1"/>
    </xf>
    <xf numFmtId="165" fontId="106" fillId="0" borderId="20" xfId="0" applyNumberFormat="1" applyFont="1" applyFill="1" applyBorder="1" applyAlignment="1" applyProtection="1">
      <alignment vertical="center" wrapText="1"/>
    </xf>
    <xf numFmtId="169" fontId="43" fillId="0" borderId="46" xfId="19" applyNumberFormat="1" applyFont="1" applyBorder="1"/>
    <xf numFmtId="169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43" fillId="0" borderId="15" xfId="19" applyNumberFormat="1" applyFont="1" applyBorder="1"/>
    <xf numFmtId="3" fontId="68" fillId="0" borderId="2" xfId="26" quotePrefix="1" applyNumberFormat="1" applyFont="1" applyFill="1" applyBorder="1" applyAlignment="1">
      <alignment horizontal="right"/>
    </xf>
    <xf numFmtId="3" fontId="68" fillId="0" borderId="2" xfId="25" applyNumberFormat="1" applyFont="1" applyFill="1" applyBorder="1" applyAlignment="1">
      <alignment horizontal="right"/>
    </xf>
    <xf numFmtId="165" fontId="106" fillId="0" borderId="17" xfId="0" applyNumberFormat="1" applyFont="1" applyFill="1" applyBorder="1" applyAlignment="1" applyProtection="1">
      <alignment vertical="center" wrapText="1"/>
    </xf>
    <xf numFmtId="165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5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11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21" applyNumberFormat="1" applyFont="1" applyFill="1" applyBorder="1" applyAlignment="1" applyProtection="1">
      <alignment horizontal="right" vertical="center" wrapText="1" indent="1"/>
    </xf>
    <xf numFmtId="165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11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6" fontId="36" fillId="0" borderId="23" xfId="26" applyNumberFormat="1" applyFont="1" applyFill="1" applyBorder="1" applyProtection="1"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2" xfId="21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</xf>
    <xf numFmtId="165" fontId="36" fillId="0" borderId="18" xfId="21" applyNumberFormat="1" applyFont="1" applyFill="1" applyBorder="1" applyAlignment="1" applyProtection="1">
      <alignment horizontal="right" vertical="center" wrapText="1" indent="1"/>
    </xf>
    <xf numFmtId="165" fontId="37" fillId="0" borderId="14" xfId="0" applyNumberFormat="1" applyFont="1" applyFill="1" applyBorder="1" applyAlignment="1" applyProtection="1">
      <alignment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0" xfId="0" applyNumberFormat="1" applyFill="1" applyAlignment="1">
      <alignment vertical="center" wrapText="1"/>
    </xf>
    <xf numFmtId="165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99" fillId="0" borderId="18" xfId="0" applyNumberFormat="1" applyFont="1" applyFill="1" applyBorder="1" applyAlignment="1" applyProtection="1">
      <alignment vertical="center" wrapText="1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28" applyNumberFormat="1" applyFont="1" applyFill="1" applyBorder="1" applyAlignment="1" applyProtection="1">
      <alignment vertical="center" wrapText="1"/>
      <protection locked="0"/>
    </xf>
    <xf numFmtId="165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165" fontId="9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06" fillId="0" borderId="8" xfId="0" applyFont="1" applyFill="1" applyBorder="1" applyAlignment="1">
      <alignment wrapText="1"/>
    </xf>
    <xf numFmtId="0" fontId="0" fillId="0" borderId="0" xfId="0"/>
    <xf numFmtId="165" fontId="27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quotePrefix="1" applyNumberFormat="1" applyFont="1" applyBorder="1" applyAlignment="1" applyProtection="1">
      <alignment horizontal="right" vertical="center" wrapText="1" indent="1"/>
    </xf>
    <xf numFmtId="165" fontId="18" fillId="0" borderId="0" xfId="36" applyNumberFormat="1" applyFont="1" applyAlignment="1" applyProtection="1">
      <alignment vertical="center" wrapText="1"/>
      <protection locked="0"/>
    </xf>
    <xf numFmtId="165" fontId="27" fillId="0" borderId="27" xfId="36" applyNumberFormat="1" applyFont="1" applyBorder="1" applyAlignment="1">
      <alignment horizontal="center" vertical="center" wrapText="1"/>
    </xf>
    <xf numFmtId="165" fontId="14" fillId="0" borderId="24" xfId="36" applyNumberFormat="1" applyFont="1" applyBorder="1" applyAlignment="1" applyProtection="1">
      <alignment horizontal="right" vertical="center"/>
      <protection locked="0"/>
    </xf>
    <xf numFmtId="165" fontId="27" fillId="0" borderId="60" xfId="36" applyNumberFormat="1" applyFont="1" applyBorder="1" applyAlignment="1">
      <alignment horizontal="center" vertical="center"/>
    </xf>
    <xf numFmtId="165" fontId="27" fillId="0" borderId="27" xfId="36" applyNumberFormat="1" applyFont="1" applyBorder="1" applyAlignment="1">
      <alignment horizontal="center" vertical="center"/>
    </xf>
    <xf numFmtId="165" fontId="27" fillId="0" borderId="59" xfId="36" applyNumberFormat="1" applyFont="1" applyBorder="1" applyAlignment="1">
      <alignment horizontal="center" vertical="center"/>
    </xf>
    <xf numFmtId="165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8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5" fontId="43" fillId="0" borderId="61" xfId="36" applyNumberFormat="1" applyFont="1" applyBorder="1" applyAlignment="1">
      <alignment horizontal="right" vertical="center"/>
    </xf>
    <xf numFmtId="165" fontId="43" fillId="0" borderId="61" xfId="36" applyNumberFormat="1" applyFont="1" applyBorder="1" applyAlignment="1" applyProtection="1">
      <alignment horizontal="right" vertical="center" wrapText="1"/>
      <protection locked="0"/>
    </xf>
    <xf numFmtId="165" fontId="43" fillId="0" borderId="58" xfId="36" applyNumberFormat="1" applyFont="1" applyBorder="1" applyAlignment="1" applyProtection="1">
      <alignment horizontal="right" vertical="center" wrapText="1"/>
      <protection locked="0"/>
    </xf>
    <xf numFmtId="165" fontId="60" fillId="0" borderId="42" xfId="36" applyNumberFormat="1" applyFont="1" applyBorder="1" applyAlignment="1">
      <alignment horizontal="right" vertical="center"/>
    </xf>
    <xf numFmtId="165" fontId="60" fillId="0" borderId="42" xfId="36" applyNumberFormat="1" applyFont="1" applyBorder="1" applyAlignment="1" applyProtection="1">
      <alignment horizontal="right" vertical="center" wrapText="1"/>
      <protection locked="0"/>
    </xf>
    <xf numFmtId="165" fontId="43" fillId="0" borderId="42" xfId="36" applyNumberFormat="1" applyFont="1" applyBorder="1" applyAlignment="1">
      <alignment horizontal="right" vertical="center"/>
    </xf>
    <xf numFmtId="165" fontId="43" fillId="0" borderId="42" xfId="36" applyNumberFormat="1" applyFont="1" applyBorder="1" applyAlignment="1" applyProtection="1">
      <alignment horizontal="right" vertical="center" wrapText="1"/>
      <protection locked="0"/>
    </xf>
    <xf numFmtId="165" fontId="37" fillId="0" borderId="27" xfId="36" applyNumberFormat="1" applyFont="1" applyBorder="1" applyAlignment="1">
      <alignment horizontal="right" vertical="center"/>
    </xf>
    <xf numFmtId="165" fontId="37" fillId="0" borderId="27" xfId="36" applyNumberFormat="1" applyFont="1" applyBorder="1" applyAlignment="1">
      <alignment horizontal="right" vertical="center" wrapText="1"/>
    </xf>
    <xf numFmtId="165" fontId="43" fillId="0" borderId="56" xfId="36" applyNumberFormat="1" applyFont="1" applyBorder="1" applyAlignment="1">
      <alignment horizontal="right" vertical="center"/>
    </xf>
    <xf numFmtId="165" fontId="43" fillId="0" borderId="56" xfId="36" applyNumberFormat="1" applyFont="1" applyBorder="1" applyAlignment="1" applyProtection="1">
      <alignment horizontal="right" vertical="center" wrapText="1"/>
      <protection locked="0"/>
    </xf>
    <xf numFmtId="165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6" fontId="0" fillId="0" borderId="0" xfId="0" applyNumberFormat="1"/>
    <xf numFmtId="0" fontId="0" fillId="0" borderId="0" xfId="0" applyBorder="1"/>
    <xf numFmtId="166" fontId="0" fillId="0" borderId="0" xfId="27" applyNumberFormat="1" applyFont="1" applyBorder="1"/>
    <xf numFmtId="165" fontId="37" fillId="0" borderId="0" xfId="36" applyNumberFormat="1" applyFont="1" applyFill="1" applyBorder="1" applyAlignment="1">
      <alignment horizontal="right" vertical="center"/>
    </xf>
    <xf numFmtId="170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6" fontId="31" fillId="0" borderId="44" xfId="26" applyNumberFormat="1" applyFont="1" applyBorder="1"/>
    <xf numFmtId="166" fontId="31" fillId="0" borderId="52" xfId="26" applyNumberFormat="1" applyFont="1" applyBorder="1"/>
    <xf numFmtId="0" fontId="20" fillId="0" borderId="11" xfId="20" quotePrefix="1" applyFont="1" applyBorder="1" applyAlignment="1"/>
    <xf numFmtId="166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6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6" fontId="20" fillId="0" borderId="22" xfId="26" applyNumberFormat="1" applyFont="1" applyFill="1" applyBorder="1" applyAlignment="1"/>
    <xf numFmtId="166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5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5" fontId="27" fillId="0" borderId="41" xfId="50" applyNumberFormat="1" applyFont="1" applyFill="1" applyBorder="1" applyAlignment="1" applyProtection="1">
      <alignment horizontal="center" vertical="center" wrapText="1"/>
    </xf>
    <xf numFmtId="165" fontId="35" fillId="0" borderId="42" xfId="50" applyNumberFormat="1" applyFont="1" applyFill="1" applyBorder="1" applyAlignment="1" applyProtection="1">
      <alignment horizontal="center" vertical="center" wrapText="1"/>
    </xf>
    <xf numFmtId="169" fontId="113" fillId="0" borderId="26" xfId="18" applyNumberFormat="1" applyFont="1" applyFill="1" applyBorder="1" applyAlignment="1">
      <alignment horizontal="right" vertical="center"/>
    </xf>
    <xf numFmtId="169" fontId="113" fillId="0" borderId="23" xfId="53" applyNumberFormat="1" applyFont="1" applyFill="1" applyBorder="1" applyAlignment="1">
      <alignment horizontal="right" vertical="center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0" fontId="36" fillId="0" borderId="74" xfId="0" applyFont="1" applyBorder="1" applyAlignment="1" applyProtection="1">
      <alignment horizontal="right" vertical="center" indent="1"/>
    </xf>
    <xf numFmtId="0" fontId="110" fillId="0" borderId="27" xfId="0" applyFont="1" applyBorder="1" applyAlignment="1" applyProtection="1">
      <alignment horizontal="right" vertical="center" indent="1"/>
    </xf>
    <xf numFmtId="165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5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5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5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5" fontId="42" fillId="0" borderId="24" xfId="21" applyNumberFormat="1" applyFont="1" applyFill="1" applyBorder="1" applyAlignment="1" applyProtection="1">
      <alignment horizontal="left" vertical="center"/>
    </xf>
    <xf numFmtId="165" fontId="15" fillId="0" borderId="0" xfId="21" applyNumberFormat="1" applyFont="1" applyFill="1" applyBorder="1" applyAlignment="1" applyProtection="1">
      <alignment horizontal="center" vertical="center"/>
    </xf>
    <xf numFmtId="165" fontId="42" fillId="0" borderId="24" xfId="21" applyNumberFormat="1" applyFont="1" applyFill="1" applyBorder="1" applyAlignment="1" applyProtection="1">
      <alignment horizontal="left"/>
    </xf>
    <xf numFmtId="165" fontId="37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7" fillId="0" borderId="61" xfId="0" applyNumberFormat="1" applyFont="1" applyFill="1" applyBorder="1" applyAlignment="1" applyProtection="1">
      <alignment horizontal="center" vertical="center" wrapText="1"/>
    </xf>
    <xf numFmtId="165" fontId="37" fillId="0" borderId="59" xfId="0" applyNumberFormat="1" applyFont="1" applyFill="1" applyBorder="1" applyAlignment="1" applyProtection="1">
      <alignment horizontal="center" vertical="center" wrapText="1"/>
    </xf>
    <xf numFmtId="165" fontId="48" fillId="0" borderId="51" xfId="0" applyNumberFormat="1" applyFont="1" applyFill="1" applyBorder="1" applyAlignment="1" applyProtection="1">
      <alignment horizontal="center" vertical="center" wrapText="1"/>
    </xf>
    <xf numFmtId="165" fontId="31" fillId="0" borderId="24" xfId="0" applyNumberFormat="1" applyFont="1" applyFill="1" applyBorder="1" applyAlignment="1" applyProtection="1">
      <alignment horizontal="center" vertical="center" wrapText="1"/>
    </xf>
    <xf numFmtId="165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5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20" fillId="0" borderId="0" xfId="0" applyNumberFormat="1" applyFont="1" applyFill="1" applyAlignment="1">
      <alignment horizontal="right" vertical="center" wrapText="1"/>
    </xf>
    <xf numFmtId="165" fontId="31" fillId="0" borderId="0" xfId="0" applyNumberFormat="1" applyFont="1" applyFill="1" applyAlignment="1">
      <alignment horizontal="center" vertical="center" wrapText="1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165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165" fontId="12" fillId="0" borderId="61" xfId="36" applyNumberFormat="1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165" fontId="12" fillId="0" borderId="63" xfId="36" applyNumberFormat="1" applyFont="1" applyBorder="1" applyAlignment="1">
      <alignment horizontal="center" vertical="center"/>
    </xf>
    <xf numFmtId="165" fontId="12" fillId="0" borderId="43" xfId="36" applyNumberFormat="1" applyFont="1" applyBorder="1" applyAlignment="1">
      <alignment horizontal="center" vertical="center"/>
    </xf>
    <xf numFmtId="165" fontId="12" fillId="0" borderId="60" xfId="36" applyNumberFormat="1" applyFont="1" applyBorder="1" applyAlignment="1">
      <alignment horizontal="center" vertical="center"/>
    </xf>
    <xf numFmtId="165" fontId="38" fillId="0" borderId="63" xfId="36" applyNumberFormat="1" applyFont="1" applyBorder="1" applyAlignment="1">
      <alignment horizontal="center" vertical="center" wrapText="1"/>
    </xf>
    <xf numFmtId="165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5" fontId="12" fillId="0" borderId="38" xfId="36" applyNumberFormat="1" applyFont="1" applyBorder="1" applyAlignment="1">
      <alignment horizontal="center" vertical="center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121" fillId="0" borderId="59" xfId="0" applyFont="1" applyBorder="1" applyAlignment="1">
      <alignment horizontal="center" vertical="center"/>
    </xf>
    <xf numFmtId="165" fontId="41" fillId="0" borderId="0" xfId="36" applyNumberFormat="1" applyFont="1" applyAlignment="1" applyProtection="1">
      <alignment horizontal="center" vertical="center" wrapText="1"/>
      <protection locked="0"/>
    </xf>
    <xf numFmtId="165" fontId="41" fillId="0" borderId="0" xfId="36" applyNumberFormat="1" applyFont="1" applyAlignment="1" applyProtection="1">
      <alignment horizontal="left" vertical="center" wrapText="1"/>
      <protection locked="0"/>
    </xf>
    <xf numFmtId="0" fontId="0" fillId="0" borderId="0" xfId="0" applyAlignment="1">
      <alignment horizontal="right"/>
    </xf>
    <xf numFmtId="165" fontId="41" fillId="0" borderId="0" xfId="36" applyNumberFormat="1" applyFont="1" applyFill="1" applyAlignment="1" applyProtection="1">
      <alignment horizontal="center" vertical="center" wrapText="1"/>
      <protection locked="0"/>
    </xf>
    <xf numFmtId="165" fontId="41" fillId="0" borderId="0" xfId="36" applyNumberFormat="1" applyFont="1" applyFill="1" applyAlignment="1" applyProtection="1">
      <alignment horizontal="center" vertical="center"/>
      <protection locked="0"/>
    </xf>
    <xf numFmtId="168" fontId="119" fillId="0" borderId="51" xfId="36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5" fontId="16" fillId="0" borderId="34" xfId="50" applyNumberFormat="1" applyFont="1" applyFill="1" applyBorder="1" applyAlignment="1" applyProtection="1">
      <alignment horizontal="left" vertical="center" wrapText="1" indent="2"/>
    </xf>
    <xf numFmtId="165" fontId="16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68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  <xf numFmtId="0" fontId="46" fillId="0" borderId="0" xfId="0" applyFont="1" applyAlignment="1">
      <alignment horizontal="center" wrapText="1"/>
    </xf>
  </cellXfs>
  <cellStyles count="15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3 4" xfId="12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2 2 2" xfId="154"/>
    <cellStyle name="Ezres 5 2 2 3" xfId="127"/>
    <cellStyle name="Ezres 5 2 3" xfId="65"/>
    <cellStyle name="Ezres 5 2 3 2" xfId="94"/>
    <cellStyle name="Ezres 5 2 3 2 2" xfId="149"/>
    <cellStyle name="Ezres 5 2 3 3" xfId="122"/>
    <cellStyle name="Ezres 5 2 4" xfId="81"/>
    <cellStyle name="Ezres 5 2 4 2" xfId="137"/>
    <cellStyle name="Ezres 5 2 5" xfId="109"/>
    <cellStyle name="Ezres 5 3" xfId="53"/>
    <cellStyle name="Ezres 5 3 2" xfId="91"/>
    <cellStyle name="Ezres 5 3 2 2" xfId="147"/>
    <cellStyle name="Ezres 5 3 3" xfId="119"/>
    <cellStyle name="Ezres 5 4" xfId="57"/>
    <cellStyle name="Ezres 5 5" xfId="75"/>
    <cellStyle name="Ezres 5 5 2" xfId="131"/>
    <cellStyle name="Ezres 5 6" xfId="103"/>
    <cellStyle name="Ezres 6" xfId="39"/>
    <cellStyle name="Ezres 6 2" xfId="45"/>
    <cellStyle name="Ezres 6 2 2" xfId="73"/>
    <cellStyle name="Ezres 6 2 2 2" xfId="101"/>
    <cellStyle name="Ezres 6 2 2 2 2" xfId="156"/>
    <cellStyle name="Ezres 6 2 2 3" xfId="129"/>
    <cellStyle name="Ezres 6 2 3" xfId="68"/>
    <cellStyle name="Ezres 6 2 3 2" xfId="96"/>
    <cellStyle name="Ezres 6 2 3 2 2" xfId="151"/>
    <cellStyle name="Ezres 6 2 3 3" xfId="124"/>
    <cellStyle name="Ezres 6 2 4" xfId="83"/>
    <cellStyle name="Ezres 6 2 4 2" xfId="139"/>
    <cellStyle name="Ezres 6 2 5" xfId="111"/>
    <cellStyle name="Ezres 6 3" xfId="49"/>
    <cellStyle name="Ezres 6 3 2" xfId="87"/>
    <cellStyle name="Ezres 6 3 2 2" xfId="143"/>
    <cellStyle name="Ezres 6 3 3" xfId="115"/>
    <cellStyle name="Ezres 6 4" xfId="62"/>
    <cellStyle name="Ezres 6 5" xfId="77"/>
    <cellStyle name="Ezres 6 5 2" xfId="133"/>
    <cellStyle name="Ezres 6 6" xfId="105"/>
    <cellStyle name="Ezres 7" xfId="41"/>
    <cellStyle name="Ezres 7 2" xfId="47"/>
    <cellStyle name="Ezres 7 2 2" xfId="85"/>
    <cellStyle name="Ezres 7 2 2 2" xfId="141"/>
    <cellStyle name="Ezres 7 2 3" xfId="113"/>
    <cellStyle name="Ezres 7 3" xfId="51"/>
    <cellStyle name="Ezres 7 3 2" xfId="89"/>
    <cellStyle name="Ezres 7 3 2 2" xfId="145"/>
    <cellStyle name="Ezres 7 3 3" xfId="117"/>
    <cellStyle name="Ezres 7 4" xfId="60"/>
    <cellStyle name="Ezres 7 5" xfId="79"/>
    <cellStyle name="Ezres 7 5 2" xfId="135"/>
    <cellStyle name="Ezres 7 6" xfId="107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2 2 2" xfId="153"/>
    <cellStyle name="Normál 4 2 2 3" xfId="126"/>
    <cellStyle name="Normál 4 2 3" xfId="64"/>
    <cellStyle name="Normál 4 2 3 2" xfId="93"/>
    <cellStyle name="Normál 4 2 3 2 2" xfId="148"/>
    <cellStyle name="Normál 4 2 3 3" xfId="121"/>
    <cellStyle name="Normál 4 2 4" xfId="80"/>
    <cellStyle name="Normál 4 2 4 2" xfId="136"/>
    <cellStyle name="Normál 4 2 5" xfId="108"/>
    <cellStyle name="Normál 4 3" xfId="52"/>
    <cellStyle name="Normál 4 3 2" xfId="90"/>
    <cellStyle name="Normál 4 3 2 2" xfId="146"/>
    <cellStyle name="Normál 4 3 3" xfId="118"/>
    <cellStyle name="Normál 4 4" xfId="56"/>
    <cellStyle name="Normál 4 5" xfId="74"/>
    <cellStyle name="Normál 4 5 2" xfId="130"/>
    <cellStyle name="Normál 4 6" xfId="102"/>
    <cellStyle name="Normál 5" xfId="38"/>
    <cellStyle name="Normál 5 2" xfId="44"/>
    <cellStyle name="Normál 5 2 2" xfId="72"/>
    <cellStyle name="Normál 5 2 2 2" xfId="100"/>
    <cellStyle name="Normál 5 2 2 2 2" xfId="155"/>
    <cellStyle name="Normál 5 2 2 3" xfId="128"/>
    <cellStyle name="Normál 5 2 3" xfId="67"/>
    <cellStyle name="Normál 5 2 3 2" xfId="95"/>
    <cellStyle name="Normál 5 2 3 2 2" xfId="150"/>
    <cellStyle name="Normál 5 2 3 3" xfId="123"/>
    <cellStyle name="Normál 5 2 4" xfId="82"/>
    <cellStyle name="Normál 5 2 4 2" xfId="138"/>
    <cellStyle name="Normál 5 2 5" xfId="110"/>
    <cellStyle name="Normál 5 3" xfId="48"/>
    <cellStyle name="Normál 5 3 2" xfId="86"/>
    <cellStyle name="Normál 5 3 2 2" xfId="142"/>
    <cellStyle name="Normál 5 3 3" xfId="114"/>
    <cellStyle name="Normál 5 4" xfId="61"/>
    <cellStyle name="Normál 5 5" xfId="76"/>
    <cellStyle name="Normál 5 5 2" xfId="132"/>
    <cellStyle name="Normál 5 6" xfId="104"/>
    <cellStyle name="Normál 6" xfId="40"/>
    <cellStyle name="Normál 6 2" xfId="46"/>
    <cellStyle name="Normál 6 2 2" xfId="84"/>
    <cellStyle name="Normál 6 2 2 2" xfId="140"/>
    <cellStyle name="Normál 6 2 3" xfId="112"/>
    <cellStyle name="Normál 6 3" xfId="50"/>
    <cellStyle name="Normál 6 3 2" xfId="88"/>
    <cellStyle name="Normál 6 3 2 2" xfId="144"/>
    <cellStyle name="Normál 6 3 3" xfId="116"/>
    <cellStyle name="Normál 6 4" xfId="59"/>
    <cellStyle name="Normál 6 5" xfId="78"/>
    <cellStyle name="Normál 6 5 2" xfId="134"/>
    <cellStyle name="Normál 6 6" xfId="106"/>
    <cellStyle name="Normál 7" xfId="54"/>
    <cellStyle name="Normál 7 2" xfId="69"/>
    <cellStyle name="Normál 7 2 2" xfId="97"/>
    <cellStyle name="Normál 7 2 2 2" xfId="152"/>
    <cellStyle name="Normál 7 2 3" xfId="125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A3" sqref="A3:H3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389" t="s">
        <v>665</v>
      </c>
      <c r="B1" s="1389"/>
      <c r="C1" s="1389"/>
      <c r="D1" s="1389"/>
      <c r="E1" s="1389"/>
      <c r="F1" s="1389"/>
      <c r="G1" s="1389"/>
      <c r="H1" s="1389"/>
      <c r="I1" s="1389"/>
      <c r="J1" s="1389"/>
    </row>
    <row r="2" spans="1:10" x14ac:dyDescent="0.2">
      <c r="A2" s="650">
        <v>2022</v>
      </c>
      <c r="B2" s="650" t="s">
        <v>666</v>
      </c>
      <c r="C2" s="641"/>
      <c r="D2" s="641"/>
      <c r="E2" s="641"/>
      <c r="F2" s="641"/>
      <c r="G2" s="641"/>
      <c r="H2" s="641"/>
      <c r="I2" s="641"/>
      <c r="J2" s="641"/>
    </row>
    <row r="3" spans="1:10" ht="15.75" x14ac:dyDescent="0.25">
      <c r="A3" s="1390" t="s">
        <v>674</v>
      </c>
      <c r="B3" s="1390"/>
      <c r="C3" s="1390"/>
      <c r="D3" s="1390"/>
      <c r="E3" s="1390"/>
      <c r="F3" s="1390"/>
      <c r="G3" s="1390"/>
      <c r="H3" s="1390"/>
      <c r="I3" s="641"/>
      <c r="J3" s="641"/>
    </row>
    <row r="6" spans="1:10" ht="15" x14ac:dyDescent="0.25">
      <c r="A6" s="645" t="s">
        <v>667</v>
      </c>
      <c r="B6" s="641"/>
      <c r="C6" s="641"/>
      <c r="D6" s="641"/>
      <c r="E6" s="641"/>
      <c r="F6" s="641"/>
      <c r="G6" s="641"/>
      <c r="H6" s="641"/>
      <c r="I6" s="641"/>
      <c r="J6" s="641"/>
    </row>
    <row r="7" spans="1:10" x14ac:dyDescent="0.2">
      <c r="A7" s="646" t="s">
        <v>668</v>
      </c>
      <c r="B7" s="647" t="s">
        <v>953</v>
      </c>
      <c r="C7" s="648" t="s">
        <v>669</v>
      </c>
      <c r="D7" s="648" t="s">
        <v>954</v>
      </c>
      <c r="E7" s="648" t="s">
        <v>670</v>
      </c>
      <c r="F7" s="647" t="s">
        <v>952</v>
      </c>
      <c r="G7" s="648" t="s">
        <v>671</v>
      </c>
      <c r="H7" s="648" t="s">
        <v>736</v>
      </c>
      <c r="I7" s="648"/>
      <c r="J7" s="648"/>
    </row>
    <row r="8" spans="1:10" x14ac:dyDescent="0.2">
      <c r="A8" s="642"/>
      <c r="B8" s="642"/>
      <c r="C8" s="642"/>
      <c r="D8" s="642"/>
      <c r="E8" s="642"/>
      <c r="F8" s="642"/>
      <c r="G8" s="642"/>
      <c r="H8" s="642"/>
      <c r="I8" s="642"/>
      <c r="J8" s="642"/>
    </row>
    <row r="11" spans="1:10" ht="14.25" x14ac:dyDescent="0.2">
      <c r="A11" s="649" t="s">
        <v>672</v>
      </c>
      <c r="B11" s="1391" t="s">
        <v>673</v>
      </c>
      <c r="C11" s="1391"/>
      <c r="D11" s="1391"/>
      <c r="E11" s="1391"/>
      <c r="F11" s="1391"/>
      <c r="G11" s="1391"/>
      <c r="H11" s="1391"/>
      <c r="I11" s="644"/>
      <c r="J11" s="644"/>
    </row>
    <row r="12" spans="1:10" ht="14.25" x14ac:dyDescent="0.2">
      <c r="A12" s="649" t="s">
        <v>675</v>
      </c>
    </row>
    <row r="13" spans="1:10" ht="14.25" x14ac:dyDescent="0.2">
      <c r="A13" s="649" t="s">
        <v>676</v>
      </c>
    </row>
    <row r="14" spans="1:10" ht="14.25" x14ac:dyDescent="0.2">
      <c r="A14" s="649" t="s">
        <v>677</v>
      </c>
    </row>
    <row r="15" spans="1:10" ht="14.25" x14ac:dyDescent="0.2">
      <c r="A15" s="649" t="s">
        <v>672</v>
      </c>
    </row>
    <row r="16" spans="1:10" ht="14.25" x14ac:dyDescent="0.2">
      <c r="A16" s="649" t="s">
        <v>672</v>
      </c>
    </row>
    <row r="17" spans="1:1" ht="14.25" x14ac:dyDescent="0.2">
      <c r="A17" s="649" t="s">
        <v>672</v>
      </c>
    </row>
    <row r="18" spans="1:1" ht="14.25" x14ac:dyDescent="0.2">
      <c r="A18" s="649" t="s">
        <v>672</v>
      </c>
    </row>
    <row r="19" spans="1:1" ht="14.25" x14ac:dyDescent="0.2">
      <c r="A19" s="649" t="s">
        <v>672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27"/>
  <sheetViews>
    <sheetView zoomScaleSheetLayoutView="85" workbookViewId="0">
      <selection activeCell="L13" sqref="L13"/>
    </sheetView>
  </sheetViews>
  <sheetFormatPr defaultRowHeight="15" x14ac:dyDescent="0.25"/>
  <cols>
    <col min="1" max="1" width="5.6640625" style="667" customWidth="1"/>
    <col min="2" max="2" width="41.1640625" style="667" customWidth="1"/>
    <col min="3" max="3" width="17.6640625" style="667" customWidth="1"/>
    <col min="4" max="7" width="14" style="667" customWidth="1"/>
    <col min="8" max="8" width="16.6640625" style="667" customWidth="1"/>
    <col min="9" max="256" width="9.33203125" style="667"/>
    <col min="257" max="257" width="5.6640625" style="667" customWidth="1"/>
    <col min="258" max="258" width="41.1640625" style="667" customWidth="1"/>
    <col min="259" max="259" width="17.6640625" style="667" customWidth="1"/>
    <col min="260" max="263" width="14" style="667" customWidth="1"/>
    <col min="264" max="264" width="16.6640625" style="667" customWidth="1"/>
    <col min="265" max="512" width="9.33203125" style="667"/>
    <col min="513" max="513" width="5.6640625" style="667" customWidth="1"/>
    <col min="514" max="514" width="41.1640625" style="667" customWidth="1"/>
    <col min="515" max="515" width="17.6640625" style="667" customWidth="1"/>
    <col min="516" max="519" width="14" style="667" customWidth="1"/>
    <col min="520" max="520" width="16.6640625" style="667" customWidth="1"/>
    <col min="521" max="768" width="9.33203125" style="667"/>
    <col min="769" max="769" width="5.6640625" style="667" customWidth="1"/>
    <col min="770" max="770" width="41.1640625" style="667" customWidth="1"/>
    <col min="771" max="771" width="17.6640625" style="667" customWidth="1"/>
    <col min="772" max="775" width="14" style="667" customWidth="1"/>
    <col min="776" max="776" width="16.6640625" style="667" customWidth="1"/>
    <col min="777" max="1024" width="9.33203125" style="667"/>
    <col min="1025" max="1025" width="5.6640625" style="667" customWidth="1"/>
    <col min="1026" max="1026" width="41.1640625" style="667" customWidth="1"/>
    <col min="1027" max="1027" width="17.6640625" style="667" customWidth="1"/>
    <col min="1028" max="1031" width="14" style="667" customWidth="1"/>
    <col min="1032" max="1032" width="16.6640625" style="667" customWidth="1"/>
    <col min="1033" max="1280" width="9.33203125" style="667"/>
    <col min="1281" max="1281" width="5.6640625" style="667" customWidth="1"/>
    <col min="1282" max="1282" width="41.1640625" style="667" customWidth="1"/>
    <col min="1283" max="1283" width="17.6640625" style="667" customWidth="1"/>
    <col min="1284" max="1287" width="14" style="667" customWidth="1"/>
    <col min="1288" max="1288" width="16.6640625" style="667" customWidth="1"/>
    <col min="1289" max="1536" width="9.33203125" style="667"/>
    <col min="1537" max="1537" width="5.6640625" style="667" customWidth="1"/>
    <col min="1538" max="1538" width="41.1640625" style="667" customWidth="1"/>
    <col min="1539" max="1539" width="17.6640625" style="667" customWidth="1"/>
    <col min="1540" max="1543" width="14" style="667" customWidth="1"/>
    <col min="1544" max="1544" width="16.6640625" style="667" customWidth="1"/>
    <col min="1545" max="1792" width="9.33203125" style="667"/>
    <col min="1793" max="1793" width="5.6640625" style="667" customWidth="1"/>
    <col min="1794" max="1794" width="41.1640625" style="667" customWidth="1"/>
    <col min="1795" max="1795" width="17.6640625" style="667" customWidth="1"/>
    <col min="1796" max="1799" width="14" style="667" customWidth="1"/>
    <col min="1800" max="1800" width="16.6640625" style="667" customWidth="1"/>
    <col min="1801" max="2048" width="9.33203125" style="667"/>
    <col min="2049" max="2049" width="5.6640625" style="667" customWidth="1"/>
    <col min="2050" max="2050" width="41.1640625" style="667" customWidth="1"/>
    <col min="2051" max="2051" width="17.6640625" style="667" customWidth="1"/>
    <col min="2052" max="2055" width="14" style="667" customWidth="1"/>
    <col min="2056" max="2056" width="16.6640625" style="667" customWidth="1"/>
    <col min="2057" max="2304" width="9.33203125" style="667"/>
    <col min="2305" max="2305" width="5.6640625" style="667" customWidth="1"/>
    <col min="2306" max="2306" width="41.1640625" style="667" customWidth="1"/>
    <col min="2307" max="2307" width="17.6640625" style="667" customWidth="1"/>
    <col min="2308" max="2311" width="14" style="667" customWidth="1"/>
    <col min="2312" max="2312" width="16.6640625" style="667" customWidth="1"/>
    <col min="2313" max="2560" width="9.33203125" style="667"/>
    <col min="2561" max="2561" width="5.6640625" style="667" customWidth="1"/>
    <col min="2562" max="2562" width="41.1640625" style="667" customWidth="1"/>
    <col min="2563" max="2563" width="17.6640625" style="667" customWidth="1"/>
    <col min="2564" max="2567" width="14" style="667" customWidth="1"/>
    <col min="2568" max="2568" width="16.6640625" style="667" customWidth="1"/>
    <col min="2569" max="2816" width="9.33203125" style="667"/>
    <col min="2817" max="2817" width="5.6640625" style="667" customWidth="1"/>
    <col min="2818" max="2818" width="41.1640625" style="667" customWidth="1"/>
    <col min="2819" max="2819" width="17.6640625" style="667" customWidth="1"/>
    <col min="2820" max="2823" width="14" style="667" customWidth="1"/>
    <col min="2824" max="2824" width="16.6640625" style="667" customWidth="1"/>
    <col min="2825" max="3072" width="9.33203125" style="667"/>
    <col min="3073" max="3073" width="5.6640625" style="667" customWidth="1"/>
    <col min="3074" max="3074" width="41.1640625" style="667" customWidth="1"/>
    <col min="3075" max="3075" width="17.6640625" style="667" customWidth="1"/>
    <col min="3076" max="3079" width="14" style="667" customWidth="1"/>
    <col min="3080" max="3080" width="16.6640625" style="667" customWidth="1"/>
    <col min="3081" max="3328" width="9.33203125" style="667"/>
    <col min="3329" max="3329" width="5.6640625" style="667" customWidth="1"/>
    <col min="3330" max="3330" width="41.1640625" style="667" customWidth="1"/>
    <col min="3331" max="3331" width="17.6640625" style="667" customWidth="1"/>
    <col min="3332" max="3335" width="14" style="667" customWidth="1"/>
    <col min="3336" max="3336" width="16.6640625" style="667" customWidth="1"/>
    <col min="3337" max="3584" width="9.33203125" style="667"/>
    <col min="3585" max="3585" width="5.6640625" style="667" customWidth="1"/>
    <col min="3586" max="3586" width="41.1640625" style="667" customWidth="1"/>
    <col min="3587" max="3587" width="17.6640625" style="667" customWidth="1"/>
    <col min="3588" max="3591" width="14" style="667" customWidth="1"/>
    <col min="3592" max="3592" width="16.6640625" style="667" customWidth="1"/>
    <col min="3593" max="3840" width="9.33203125" style="667"/>
    <col min="3841" max="3841" width="5.6640625" style="667" customWidth="1"/>
    <col min="3842" max="3842" width="41.1640625" style="667" customWidth="1"/>
    <col min="3843" max="3843" width="17.6640625" style="667" customWidth="1"/>
    <col min="3844" max="3847" width="14" style="667" customWidth="1"/>
    <col min="3848" max="3848" width="16.6640625" style="667" customWidth="1"/>
    <col min="3849" max="4096" width="9.33203125" style="667"/>
    <col min="4097" max="4097" width="5.6640625" style="667" customWidth="1"/>
    <col min="4098" max="4098" width="41.1640625" style="667" customWidth="1"/>
    <col min="4099" max="4099" width="17.6640625" style="667" customWidth="1"/>
    <col min="4100" max="4103" width="14" style="667" customWidth="1"/>
    <col min="4104" max="4104" width="16.6640625" style="667" customWidth="1"/>
    <col min="4105" max="4352" width="9.33203125" style="667"/>
    <col min="4353" max="4353" width="5.6640625" style="667" customWidth="1"/>
    <col min="4354" max="4354" width="41.1640625" style="667" customWidth="1"/>
    <col min="4355" max="4355" width="17.6640625" style="667" customWidth="1"/>
    <col min="4356" max="4359" width="14" style="667" customWidth="1"/>
    <col min="4360" max="4360" width="16.6640625" style="667" customWidth="1"/>
    <col min="4361" max="4608" width="9.33203125" style="667"/>
    <col min="4609" max="4609" width="5.6640625" style="667" customWidth="1"/>
    <col min="4610" max="4610" width="41.1640625" style="667" customWidth="1"/>
    <col min="4611" max="4611" width="17.6640625" style="667" customWidth="1"/>
    <col min="4612" max="4615" width="14" style="667" customWidth="1"/>
    <col min="4616" max="4616" width="16.6640625" style="667" customWidth="1"/>
    <col min="4617" max="4864" width="9.33203125" style="667"/>
    <col min="4865" max="4865" width="5.6640625" style="667" customWidth="1"/>
    <col min="4866" max="4866" width="41.1640625" style="667" customWidth="1"/>
    <col min="4867" max="4867" width="17.6640625" style="667" customWidth="1"/>
    <col min="4868" max="4871" width="14" style="667" customWidth="1"/>
    <col min="4872" max="4872" width="16.6640625" style="667" customWidth="1"/>
    <col min="4873" max="5120" width="9.33203125" style="667"/>
    <col min="5121" max="5121" width="5.6640625" style="667" customWidth="1"/>
    <col min="5122" max="5122" width="41.1640625" style="667" customWidth="1"/>
    <col min="5123" max="5123" width="17.6640625" style="667" customWidth="1"/>
    <col min="5124" max="5127" width="14" style="667" customWidth="1"/>
    <col min="5128" max="5128" width="16.6640625" style="667" customWidth="1"/>
    <col min="5129" max="5376" width="9.33203125" style="667"/>
    <col min="5377" max="5377" width="5.6640625" style="667" customWidth="1"/>
    <col min="5378" max="5378" width="41.1640625" style="667" customWidth="1"/>
    <col min="5379" max="5379" width="17.6640625" style="667" customWidth="1"/>
    <col min="5380" max="5383" width="14" style="667" customWidth="1"/>
    <col min="5384" max="5384" width="16.6640625" style="667" customWidth="1"/>
    <col min="5385" max="5632" width="9.33203125" style="667"/>
    <col min="5633" max="5633" width="5.6640625" style="667" customWidth="1"/>
    <col min="5634" max="5634" width="41.1640625" style="667" customWidth="1"/>
    <col min="5635" max="5635" width="17.6640625" style="667" customWidth="1"/>
    <col min="5636" max="5639" width="14" style="667" customWidth="1"/>
    <col min="5640" max="5640" width="16.6640625" style="667" customWidth="1"/>
    <col min="5641" max="5888" width="9.33203125" style="667"/>
    <col min="5889" max="5889" width="5.6640625" style="667" customWidth="1"/>
    <col min="5890" max="5890" width="41.1640625" style="667" customWidth="1"/>
    <col min="5891" max="5891" width="17.6640625" style="667" customWidth="1"/>
    <col min="5892" max="5895" width="14" style="667" customWidth="1"/>
    <col min="5896" max="5896" width="16.6640625" style="667" customWidth="1"/>
    <col min="5897" max="6144" width="9.33203125" style="667"/>
    <col min="6145" max="6145" width="5.6640625" style="667" customWidth="1"/>
    <col min="6146" max="6146" width="41.1640625" style="667" customWidth="1"/>
    <col min="6147" max="6147" width="17.6640625" style="667" customWidth="1"/>
    <col min="6148" max="6151" width="14" style="667" customWidth="1"/>
    <col min="6152" max="6152" width="16.6640625" style="667" customWidth="1"/>
    <col min="6153" max="6400" width="9.33203125" style="667"/>
    <col min="6401" max="6401" width="5.6640625" style="667" customWidth="1"/>
    <col min="6402" max="6402" width="41.1640625" style="667" customWidth="1"/>
    <col min="6403" max="6403" width="17.6640625" style="667" customWidth="1"/>
    <col min="6404" max="6407" width="14" style="667" customWidth="1"/>
    <col min="6408" max="6408" width="16.6640625" style="667" customWidth="1"/>
    <col min="6409" max="6656" width="9.33203125" style="667"/>
    <col min="6657" max="6657" width="5.6640625" style="667" customWidth="1"/>
    <col min="6658" max="6658" width="41.1640625" style="667" customWidth="1"/>
    <col min="6659" max="6659" width="17.6640625" style="667" customWidth="1"/>
    <col min="6660" max="6663" width="14" style="667" customWidth="1"/>
    <col min="6664" max="6664" width="16.6640625" style="667" customWidth="1"/>
    <col min="6665" max="6912" width="9.33203125" style="667"/>
    <col min="6913" max="6913" width="5.6640625" style="667" customWidth="1"/>
    <col min="6914" max="6914" width="41.1640625" style="667" customWidth="1"/>
    <col min="6915" max="6915" width="17.6640625" style="667" customWidth="1"/>
    <col min="6916" max="6919" width="14" style="667" customWidth="1"/>
    <col min="6920" max="6920" width="16.6640625" style="667" customWidth="1"/>
    <col min="6921" max="7168" width="9.33203125" style="667"/>
    <col min="7169" max="7169" width="5.6640625" style="667" customWidth="1"/>
    <col min="7170" max="7170" width="41.1640625" style="667" customWidth="1"/>
    <col min="7171" max="7171" width="17.6640625" style="667" customWidth="1"/>
    <col min="7172" max="7175" width="14" style="667" customWidth="1"/>
    <col min="7176" max="7176" width="16.6640625" style="667" customWidth="1"/>
    <col min="7177" max="7424" width="9.33203125" style="667"/>
    <col min="7425" max="7425" width="5.6640625" style="667" customWidth="1"/>
    <col min="7426" max="7426" width="41.1640625" style="667" customWidth="1"/>
    <col min="7427" max="7427" width="17.6640625" style="667" customWidth="1"/>
    <col min="7428" max="7431" width="14" style="667" customWidth="1"/>
    <col min="7432" max="7432" width="16.6640625" style="667" customWidth="1"/>
    <col min="7433" max="7680" width="9.33203125" style="667"/>
    <col min="7681" max="7681" width="5.6640625" style="667" customWidth="1"/>
    <col min="7682" max="7682" width="41.1640625" style="667" customWidth="1"/>
    <col min="7683" max="7683" width="17.6640625" style="667" customWidth="1"/>
    <col min="7684" max="7687" width="14" style="667" customWidth="1"/>
    <col min="7688" max="7688" width="16.6640625" style="667" customWidth="1"/>
    <col min="7689" max="7936" width="9.33203125" style="667"/>
    <col min="7937" max="7937" width="5.6640625" style="667" customWidth="1"/>
    <col min="7938" max="7938" width="41.1640625" style="667" customWidth="1"/>
    <col min="7939" max="7939" width="17.6640625" style="667" customWidth="1"/>
    <col min="7940" max="7943" width="14" style="667" customWidth="1"/>
    <col min="7944" max="7944" width="16.6640625" style="667" customWidth="1"/>
    <col min="7945" max="8192" width="9.33203125" style="667"/>
    <col min="8193" max="8193" width="5.6640625" style="667" customWidth="1"/>
    <col min="8194" max="8194" width="41.1640625" style="667" customWidth="1"/>
    <col min="8195" max="8195" width="17.6640625" style="667" customWidth="1"/>
    <col min="8196" max="8199" width="14" style="667" customWidth="1"/>
    <col min="8200" max="8200" width="16.6640625" style="667" customWidth="1"/>
    <col min="8201" max="8448" width="9.33203125" style="667"/>
    <col min="8449" max="8449" width="5.6640625" style="667" customWidth="1"/>
    <col min="8450" max="8450" width="41.1640625" style="667" customWidth="1"/>
    <col min="8451" max="8451" width="17.6640625" style="667" customWidth="1"/>
    <col min="8452" max="8455" width="14" style="667" customWidth="1"/>
    <col min="8456" max="8456" width="16.6640625" style="667" customWidth="1"/>
    <col min="8457" max="8704" width="9.33203125" style="667"/>
    <col min="8705" max="8705" width="5.6640625" style="667" customWidth="1"/>
    <col min="8706" max="8706" width="41.1640625" style="667" customWidth="1"/>
    <col min="8707" max="8707" width="17.6640625" style="667" customWidth="1"/>
    <col min="8708" max="8711" width="14" style="667" customWidth="1"/>
    <col min="8712" max="8712" width="16.6640625" style="667" customWidth="1"/>
    <col min="8713" max="8960" width="9.33203125" style="667"/>
    <col min="8961" max="8961" width="5.6640625" style="667" customWidth="1"/>
    <col min="8962" max="8962" width="41.1640625" style="667" customWidth="1"/>
    <col min="8963" max="8963" width="17.6640625" style="667" customWidth="1"/>
    <col min="8964" max="8967" width="14" style="667" customWidth="1"/>
    <col min="8968" max="8968" width="16.6640625" style="667" customWidth="1"/>
    <col min="8969" max="9216" width="9.33203125" style="667"/>
    <col min="9217" max="9217" width="5.6640625" style="667" customWidth="1"/>
    <col min="9218" max="9218" width="41.1640625" style="667" customWidth="1"/>
    <col min="9219" max="9219" width="17.6640625" style="667" customWidth="1"/>
    <col min="9220" max="9223" width="14" style="667" customWidth="1"/>
    <col min="9224" max="9224" width="16.6640625" style="667" customWidth="1"/>
    <col min="9225" max="9472" width="9.33203125" style="667"/>
    <col min="9473" max="9473" width="5.6640625" style="667" customWidth="1"/>
    <col min="9474" max="9474" width="41.1640625" style="667" customWidth="1"/>
    <col min="9475" max="9475" width="17.6640625" style="667" customWidth="1"/>
    <col min="9476" max="9479" width="14" style="667" customWidth="1"/>
    <col min="9480" max="9480" width="16.6640625" style="667" customWidth="1"/>
    <col min="9481" max="9728" width="9.33203125" style="667"/>
    <col min="9729" max="9729" width="5.6640625" style="667" customWidth="1"/>
    <col min="9730" max="9730" width="41.1640625" style="667" customWidth="1"/>
    <col min="9731" max="9731" width="17.6640625" style="667" customWidth="1"/>
    <col min="9732" max="9735" width="14" style="667" customWidth="1"/>
    <col min="9736" max="9736" width="16.6640625" style="667" customWidth="1"/>
    <col min="9737" max="9984" width="9.33203125" style="667"/>
    <col min="9985" max="9985" width="5.6640625" style="667" customWidth="1"/>
    <col min="9986" max="9986" width="41.1640625" style="667" customWidth="1"/>
    <col min="9987" max="9987" width="17.6640625" style="667" customWidth="1"/>
    <col min="9988" max="9991" width="14" style="667" customWidth="1"/>
    <col min="9992" max="9992" width="16.6640625" style="667" customWidth="1"/>
    <col min="9993" max="10240" width="9.33203125" style="667"/>
    <col min="10241" max="10241" width="5.6640625" style="667" customWidth="1"/>
    <col min="10242" max="10242" width="41.1640625" style="667" customWidth="1"/>
    <col min="10243" max="10243" width="17.6640625" style="667" customWidth="1"/>
    <col min="10244" max="10247" width="14" style="667" customWidth="1"/>
    <col min="10248" max="10248" width="16.6640625" style="667" customWidth="1"/>
    <col min="10249" max="10496" width="9.33203125" style="667"/>
    <col min="10497" max="10497" width="5.6640625" style="667" customWidth="1"/>
    <col min="10498" max="10498" width="41.1640625" style="667" customWidth="1"/>
    <col min="10499" max="10499" width="17.6640625" style="667" customWidth="1"/>
    <col min="10500" max="10503" width="14" style="667" customWidth="1"/>
    <col min="10504" max="10504" width="16.6640625" style="667" customWidth="1"/>
    <col min="10505" max="10752" width="9.33203125" style="667"/>
    <col min="10753" max="10753" width="5.6640625" style="667" customWidth="1"/>
    <col min="10754" max="10754" width="41.1640625" style="667" customWidth="1"/>
    <col min="10755" max="10755" width="17.6640625" style="667" customWidth="1"/>
    <col min="10756" max="10759" width="14" style="667" customWidth="1"/>
    <col min="10760" max="10760" width="16.6640625" style="667" customWidth="1"/>
    <col min="10761" max="11008" width="9.33203125" style="667"/>
    <col min="11009" max="11009" width="5.6640625" style="667" customWidth="1"/>
    <col min="11010" max="11010" width="41.1640625" style="667" customWidth="1"/>
    <col min="11011" max="11011" width="17.6640625" style="667" customWidth="1"/>
    <col min="11012" max="11015" width="14" style="667" customWidth="1"/>
    <col min="11016" max="11016" width="16.6640625" style="667" customWidth="1"/>
    <col min="11017" max="11264" width="9.33203125" style="667"/>
    <col min="11265" max="11265" width="5.6640625" style="667" customWidth="1"/>
    <col min="11266" max="11266" width="41.1640625" style="667" customWidth="1"/>
    <col min="11267" max="11267" width="17.6640625" style="667" customWidth="1"/>
    <col min="11268" max="11271" width="14" style="667" customWidth="1"/>
    <col min="11272" max="11272" width="16.6640625" style="667" customWidth="1"/>
    <col min="11273" max="11520" width="9.33203125" style="667"/>
    <col min="11521" max="11521" width="5.6640625" style="667" customWidth="1"/>
    <col min="11522" max="11522" width="41.1640625" style="667" customWidth="1"/>
    <col min="11523" max="11523" width="17.6640625" style="667" customWidth="1"/>
    <col min="11524" max="11527" width="14" style="667" customWidth="1"/>
    <col min="11528" max="11528" width="16.6640625" style="667" customWidth="1"/>
    <col min="11529" max="11776" width="9.33203125" style="667"/>
    <col min="11777" max="11777" width="5.6640625" style="667" customWidth="1"/>
    <col min="11778" max="11778" width="41.1640625" style="667" customWidth="1"/>
    <col min="11779" max="11779" width="17.6640625" style="667" customWidth="1"/>
    <col min="11780" max="11783" width="14" style="667" customWidth="1"/>
    <col min="11784" max="11784" width="16.6640625" style="667" customWidth="1"/>
    <col min="11785" max="12032" width="9.33203125" style="667"/>
    <col min="12033" max="12033" width="5.6640625" style="667" customWidth="1"/>
    <col min="12034" max="12034" width="41.1640625" style="667" customWidth="1"/>
    <col min="12035" max="12035" width="17.6640625" style="667" customWidth="1"/>
    <col min="12036" max="12039" width="14" style="667" customWidth="1"/>
    <col min="12040" max="12040" width="16.6640625" style="667" customWidth="1"/>
    <col min="12041" max="12288" width="9.33203125" style="667"/>
    <col min="12289" max="12289" width="5.6640625" style="667" customWidth="1"/>
    <col min="12290" max="12290" width="41.1640625" style="667" customWidth="1"/>
    <col min="12291" max="12291" width="17.6640625" style="667" customWidth="1"/>
    <col min="12292" max="12295" width="14" style="667" customWidth="1"/>
    <col min="12296" max="12296" width="16.6640625" style="667" customWidth="1"/>
    <col min="12297" max="12544" width="9.33203125" style="667"/>
    <col min="12545" max="12545" width="5.6640625" style="667" customWidth="1"/>
    <col min="12546" max="12546" width="41.1640625" style="667" customWidth="1"/>
    <col min="12547" max="12547" width="17.6640625" style="667" customWidth="1"/>
    <col min="12548" max="12551" width="14" style="667" customWidth="1"/>
    <col min="12552" max="12552" width="16.6640625" style="667" customWidth="1"/>
    <col min="12553" max="12800" width="9.33203125" style="667"/>
    <col min="12801" max="12801" width="5.6640625" style="667" customWidth="1"/>
    <col min="12802" max="12802" width="41.1640625" style="667" customWidth="1"/>
    <col min="12803" max="12803" width="17.6640625" style="667" customWidth="1"/>
    <col min="12804" max="12807" width="14" style="667" customWidth="1"/>
    <col min="12808" max="12808" width="16.6640625" style="667" customWidth="1"/>
    <col min="12809" max="13056" width="9.33203125" style="667"/>
    <col min="13057" max="13057" width="5.6640625" style="667" customWidth="1"/>
    <col min="13058" max="13058" width="41.1640625" style="667" customWidth="1"/>
    <col min="13059" max="13059" width="17.6640625" style="667" customWidth="1"/>
    <col min="13060" max="13063" width="14" style="667" customWidth="1"/>
    <col min="13064" max="13064" width="16.6640625" style="667" customWidth="1"/>
    <col min="13065" max="13312" width="9.33203125" style="667"/>
    <col min="13313" max="13313" width="5.6640625" style="667" customWidth="1"/>
    <col min="13314" max="13314" width="41.1640625" style="667" customWidth="1"/>
    <col min="13315" max="13315" width="17.6640625" style="667" customWidth="1"/>
    <col min="13316" max="13319" width="14" style="667" customWidth="1"/>
    <col min="13320" max="13320" width="16.6640625" style="667" customWidth="1"/>
    <col min="13321" max="13568" width="9.33203125" style="667"/>
    <col min="13569" max="13569" width="5.6640625" style="667" customWidth="1"/>
    <col min="13570" max="13570" width="41.1640625" style="667" customWidth="1"/>
    <col min="13571" max="13571" width="17.6640625" style="667" customWidth="1"/>
    <col min="13572" max="13575" width="14" style="667" customWidth="1"/>
    <col min="13576" max="13576" width="16.6640625" style="667" customWidth="1"/>
    <col min="13577" max="13824" width="9.33203125" style="667"/>
    <col min="13825" max="13825" width="5.6640625" style="667" customWidth="1"/>
    <col min="13826" max="13826" width="41.1640625" style="667" customWidth="1"/>
    <col min="13827" max="13827" width="17.6640625" style="667" customWidth="1"/>
    <col min="13828" max="13831" width="14" style="667" customWidth="1"/>
    <col min="13832" max="13832" width="16.6640625" style="667" customWidth="1"/>
    <col min="13833" max="14080" width="9.33203125" style="667"/>
    <col min="14081" max="14081" width="5.6640625" style="667" customWidth="1"/>
    <col min="14082" max="14082" width="41.1640625" style="667" customWidth="1"/>
    <col min="14083" max="14083" width="17.6640625" style="667" customWidth="1"/>
    <col min="14084" max="14087" width="14" style="667" customWidth="1"/>
    <col min="14088" max="14088" width="16.6640625" style="667" customWidth="1"/>
    <col min="14089" max="14336" width="9.33203125" style="667"/>
    <col min="14337" max="14337" width="5.6640625" style="667" customWidth="1"/>
    <col min="14338" max="14338" width="41.1640625" style="667" customWidth="1"/>
    <col min="14339" max="14339" width="17.6640625" style="667" customWidth="1"/>
    <col min="14340" max="14343" width="14" style="667" customWidth="1"/>
    <col min="14344" max="14344" width="16.6640625" style="667" customWidth="1"/>
    <col min="14345" max="14592" width="9.33203125" style="667"/>
    <col min="14593" max="14593" width="5.6640625" style="667" customWidth="1"/>
    <col min="14594" max="14594" width="41.1640625" style="667" customWidth="1"/>
    <col min="14595" max="14595" width="17.6640625" style="667" customWidth="1"/>
    <col min="14596" max="14599" width="14" style="667" customWidth="1"/>
    <col min="14600" max="14600" width="16.6640625" style="667" customWidth="1"/>
    <col min="14601" max="14848" width="9.33203125" style="667"/>
    <col min="14849" max="14849" width="5.6640625" style="667" customWidth="1"/>
    <col min="14850" max="14850" width="41.1640625" style="667" customWidth="1"/>
    <col min="14851" max="14851" width="17.6640625" style="667" customWidth="1"/>
    <col min="14852" max="14855" width="14" style="667" customWidth="1"/>
    <col min="14856" max="14856" width="16.6640625" style="667" customWidth="1"/>
    <col min="14857" max="15104" width="9.33203125" style="667"/>
    <col min="15105" max="15105" width="5.6640625" style="667" customWidth="1"/>
    <col min="15106" max="15106" width="41.1640625" style="667" customWidth="1"/>
    <col min="15107" max="15107" width="17.6640625" style="667" customWidth="1"/>
    <col min="15108" max="15111" width="14" style="667" customWidth="1"/>
    <col min="15112" max="15112" width="16.6640625" style="667" customWidth="1"/>
    <col min="15113" max="15360" width="9.33203125" style="667"/>
    <col min="15361" max="15361" width="5.6640625" style="667" customWidth="1"/>
    <col min="15362" max="15362" width="41.1640625" style="667" customWidth="1"/>
    <col min="15363" max="15363" width="17.6640625" style="667" customWidth="1"/>
    <col min="15364" max="15367" width="14" style="667" customWidth="1"/>
    <col min="15368" max="15368" width="16.6640625" style="667" customWidth="1"/>
    <col min="15369" max="15616" width="9.33203125" style="667"/>
    <col min="15617" max="15617" width="5.6640625" style="667" customWidth="1"/>
    <col min="15618" max="15618" width="41.1640625" style="667" customWidth="1"/>
    <col min="15619" max="15619" width="17.6640625" style="667" customWidth="1"/>
    <col min="15620" max="15623" width="14" style="667" customWidth="1"/>
    <col min="15624" max="15624" width="16.6640625" style="667" customWidth="1"/>
    <col min="15625" max="15872" width="9.33203125" style="667"/>
    <col min="15873" max="15873" width="5.6640625" style="667" customWidth="1"/>
    <col min="15874" max="15874" width="41.1640625" style="667" customWidth="1"/>
    <col min="15875" max="15875" width="17.6640625" style="667" customWidth="1"/>
    <col min="15876" max="15879" width="14" style="667" customWidth="1"/>
    <col min="15880" max="15880" width="16.6640625" style="667" customWidth="1"/>
    <col min="15881" max="16128" width="9.33203125" style="667"/>
    <col min="16129" max="16129" width="5.6640625" style="667" customWidth="1"/>
    <col min="16130" max="16130" width="41.1640625" style="667" customWidth="1"/>
    <col min="16131" max="16131" width="17.6640625" style="667" customWidth="1"/>
    <col min="16132" max="16135" width="14" style="667" customWidth="1"/>
    <col min="16136" max="16136" width="16.6640625" style="667" customWidth="1"/>
    <col min="16137" max="16384" width="9.33203125" style="667"/>
  </cols>
  <sheetData>
    <row r="1" spans="1:11" x14ac:dyDescent="0.25">
      <c r="A1" s="1405" t="str">
        <f>CONCATENATE("8. melléklet ",ALAPADATOK!A7," ",ALAPADATOK!B7," ",ALAPADATOK!C7," ",ALAPADATOK!D7," ",ALAPADATOK!E7," ",ALAPADATOK!F7," ",ALAPADATOK!G7," ",ALAPADATOK!H7)</f>
        <v>8. melléklet a .. / 2022. ( ……. ) önkormányzati rendelethez</v>
      </c>
      <c r="B1" s="1405"/>
      <c r="C1" s="1405"/>
      <c r="D1" s="1405"/>
      <c r="E1" s="1405"/>
      <c r="F1" s="1405"/>
      <c r="G1" s="1405"/>
      <c r="H1" s="1405"/>
    </row>
    <row r="3" spans="1:11" x14ac:dyDescent="0.25">
      <c r="A3" s="1406" t="s">
        <v>383</v>
      </c>
      <c r="B3" s="1406"/>
      <c r="C3" s="1406"/>
      <c r="D3" s="1406"/>
      <c r="E3" s="1406"/>
      <c r="F3" s="1406"/>
      <c r="G3" s="1406"/>
      <c r="H3" s="1406"/>
    </row>
    <row r="4" spans="1:11" ht="15.75" thickBot="1" x14ac:dyDescent="0.3">
      <c r="A4" s="668"/>
      <c r="B4" s="669"/>
      <c r="C4" s="669"/>
      <c r="D4" s="1407"/>
      <c r="E4" s="1407"/>
      <c r="F4" s="1407"/>
      <c r="G4" s="1408" t="s">
        <v>496</v>
      </c>
      <c r="H4" s="1408"/>
      <c r="I4" s="781"/>
    </row>
    <row r="5" spans="1:11" ht="25.5" x14ac:dyDescent="0.25">
      <c r="A5" s="1409" t="s">
        <v>14</v>
      </c>
      <c r="B5" s="1411" t="s">
        <v>147</v>
      </c>
      <c r="C5" s="670" t="s">
        <v>961</v>
      </c>
      <c r="D5" s="1411" t="s">
        <v>178</v>
      </c>
      <c r="E5" s="1411"/>
      <c r="F5" s="1411"/>
      <c r="G5" s="1411"/>
      <c r="H5" s="1413" t="s">
        <v>498</v>
      </c>
    </row>
    <row r="6" spans="1:11" ht="15.75" thickBot="1" x14ac:dyDescent="0.3">
      <c r="A6" s="1410"/>
      <c r="B6" s="1412"/>
      <c r="C6" s="831"/>
      <c r="D6" s="831">
        <v>2022</v>
      </c>
      <c r="E6" s="831">
        <v>2023</v>
      </c>
      <c r="F6" s="831">
        <v>2024</v>
      </c>
      <c r="G6" s="1022">
        <v>2025</v>
      </c>
      <c r="H6" s="1414"/>
    </row>
    <row r="7" spans="1:11" ht="15.75" thickBot="1" x14ac:dyDescent="0.3">
      <c r="A7" s="671" t="s">
        <v>16</v>
      </c>
      <c r="B7" s="672">
        <v>2</v>
      </c>
      <c r="C7" s="673">
        <v>3</v>
      </c>
      <c r="D7" s="673">
        <v>4</v>
      </c>
      <c r="E7" s="673">
        <v>5</v>
      </c>
      <c r="F7" s="673">
        <v>6</v>
      </c>
      <c r="G7" s="674">
        <v>7</v>
      </c>
      <c r="H7" s="674">
        <v>8</v>
      </c>
    </row>
    <row r="8" spans="1:11" ht="26.25" x14ac:dyDescent="0.25">
      <c r="A8" s="675" t="s">
        <v>16</v>
      </c>
      <c r="B8" s="676" t="s">
        <v>751</v>
      </c>
      <c r="C8" s="677">
        <v>0</v>
      </c>
      <c r="D8" s="782">
        <v>0</v>
      </c>
      <c r="E8" s="782">
        <v>0</v>
      </c>
      <c r="F8" s="782">
        <v>0</v>
      </c>
      <c r="G8" s="782">
        <v>0</v>
      </c>
      <c r="H8" s="783">
        <f t="shared" ref="H8:H22" si="0">SUM(D8:G8)</f>
        <v>0</v>
      </c>
    </row>
    <row r="9" spans="1:11" ht="39" x14ac:dyDescent="0.25">
      <c r="A9" s="675" t="s">
        <v>17</v>
      </c>
      <c r="B9" s="676" t="s">
        <v>503</v>
      </c>
      <c r="C9" s="677">
        <v>4415000</v>
      </c>
      <c r="D9" s="784">
        <v>1472000</v>
      </c>
      <c r="E9" s="784">
        <v>1472000</v>
      </c>
      <c r="F9" s="782">
        <v>1471000</v>
      </c>
      <c r="G9" s="782">
        <v>0</v>
      </c>
      <c r="H9" s="783">
        <f t="shared" si="0"/>
        <v>4415000</v>
      </c>
      <c r="I9" s="678"/>
      <c r="J9" s="679"/>
      <c r="K9" s="680"/>
    </row>
    <row r="10" spans="1:11" ht="26.25" customHeight="1" x14ac:dyDescent="0.25">
      <c r="A10" s="675" t="s">
        <v>18</v>
      </c>
      <c r="B10" s="681" t="s">
        <v>499</v>
      </c>
      <c r="C10" s="682">
        <v>26281155</v>
      </c>
      <c r="D10" s="782">
        <v>4940000</v>
      </c>
      <c r="E10" s="782">
        <v>4940000</v>
      </c>
      <c r="F10" s="782">
        <v>4940000</v>
      </c>
      <c r="G10" s="782">
        <v>4940000</v>
      </c>
      <c r="H10" s="783">
        <f t="shared" si="0"/>
        <v>19760000</v>
      </c>
    </row>
    <row r="11" spans="1:11" ht="39" x14ac:dyDescent="0.25">
      <c r="A11" s="675" t="s">
        <v>19</v>
      </c>
      <c r="B11" s="683" t="s">
        <v>504</v>
      </c>
      <c r="C11" s="684">
        <v>1108000</v>
      </c>
      <c r="D11" s="785">
        <v>1108000</v>
      </c>
      <c r="E11" s="785">
        <v>0</v>
      </c>
      <c r="F11" s="786">
        <v>0</v>
      </c>
      <c r="G11" s="786">
        <v>0</v>
      </c>
      <c r="H11" s="783">
        <f t="shared" si="0"/>
        <v>1108000</v>
      </c>
    </row>
    <row r="12" spans="1:11" ht="26.25" x14ac:dyDescent="0.25">
      <c r="A12" s="675" t="s">
        <v>20</v>
      </c>
      <c r="B12" s="685" t="s">
        <v>576</v>
      </c>
      <c r="C12" s="677">
        <v>741452</v>
      </c>
      <c r="D12" s="782">
        <v>741452</v>
      </c>
      <c r="E12" s="782">
        <v>0</v>
      </c>
      <c r="F12" s="782">
        <v>0</v>
      </c>
      <c r="G12" s="782">
        <v>0</v>
      </c>
      <c r="H12" s="783">
        <f t="shared" si="0"/>
        <v>741452</v>
      </c>
    </row>
    <row r="13" spans="1:11" ht="26.25" x14ac:dyDescent="0.25">
      <c r="A13" s="675" t="s">
        <v>21</v>
      </c>
      <c r="B13" s="685" t="s">
        <v>577</v>
      </c>
      <c r="C13" s="677">
        <v>2011242</v>
      </c>
      <c r="D13" s="782">
        <v>1270000</v>
      </c>
      <c r="E13" s="782">
        <v>741242</v>
      </c>
      <c r="F13" s="782">
        <v>0</v>
      </c>
      <c r="G13" s="782">
        <v>0</v>
      </c>
      <c r="H13" s="783">
        <f t="shared" si="0"/>
        <v>2011242</v>
      </c>
    </row>
    <row r="14" spans="1:11" ht="26.25" x14ac:dyDescent="0.25">
      <c r="A14" s="675" t="s">
        <v>22</v>
      </c>
      <c r="B14" s="681" t="s">
        <v>578</v>
      </c>
      <c r="C14" s="677">
        <v>5725526</v>
      </c>
      <c r="D14" s="782">
        <v>1668000</v>
      </c>
      <c r="E14" s="782">
        <v>1668000</v>
      </c>
      <c r="F14" s="782">
        <v>1668000</v>
      </c>
      <c r="G14" s="782">
        <v>721526</v>
      </c>
      <c r="H14" s="783">
        <f t="shared" si="0"/>
        <v>5725526</v>
      </c>
    </row>
    <row r="15" spans="1:11" ht="27.75" customHeight="1" x14ac:dyDescent="0.25">
      <c r="A15" s="675" t="s">
        <v>23</v>
      </c>
      <c r="B15" s="681" t="s">
        <v>579</v>
      </c>
      <c r="C15" s="677">
        <v>5373754</v>
      </c>
      <c r="D15" s="782">
        <v>1834504</v>
      </c>
      <c r="E15" s="782">
        <v>1834504</v>
      </c>
      <c r="F15" s="782">
        <v>1704746</v>
      </c>
      <c r="G15" s="782">
        <v>0</v>
      </c>
      <c r="H15" s="783">
        <f t="shared" si="0"/>
        <v>5373754</v>
      </c>
    </row>
    <row r="16" spans="1:11" ht="27" customHeight="1" x14ac:dyDescent="0.25">
      <c r="A16" s="675" t="s">
        <v>24</v>
      </c>
      <c r="B16" s="681" t="s">
        <v>580</v>
      </c>
      <c r="C16" s="677">
        <v>19444800</v>
      </c>
      <c r="D16" s="782">
        <v>2777600</v>
      </c>
      <c r="E16" s="782">
        <v>2777600</v>
      </c>
      <c r="F16" s="782">
        <v>2777600</v>
      </c>
      <c r="G16" s="782">
        <v>2777600</v>
      </c>
      <c r="H16" s="783">
        <f t="shared" si="0"/>
        <v>11110400</v>
      </c>
    </row>
    <row r="17" spans="1:8" ht="26.25" customHeight="1" x14ac:dyDescent="0.25">
      <c r="A17" s="675" t="s">
        <v>25</v>
      </c>
      <c r="B17" s="681" t="s">
        <v>581</v>
      </c>
      <c r="C17" s="677">
        <v>2485644</v>
      </c>
      <c r="D17" s="782">
        <v>1016000</v>
      </c>
      <c r="E17" s="782">
        <v>1016000</v>
      </c>
      <c r="F17" s="782">
        <v>453644</v>
      </c>
      <c r="G17" s="782">
        <v>0</v>
      </c>
      <c r="H17" s="783">
        <f t="shared" si="0"/>
        <v>2485644</v>
      </c>
    </row>
    <row r="18" spans="1:8" ht="26.25" x14ac:dyDescent="0.25">
      <c r="A18" s="675" t="s">
        <v>26</v>
      </c>
      <c r="B18" s="681" t="s">
        <v>582</v>
      </c>
      <c r="C18" s="677">
        <v>12809597</v>
      </c>
      <c r="D18" s="782">
        <v>3600000</v>
      </c>
      <c r="E18" s="782">
        <v>3600000</v>
      </c>
      <c r="F18" s="782">
        <v>3600000</v>
      </c>
      <c r="G18" s="782">
        <v>2009597</v>
      </c>
      <c r="H18" s="783">
        <f t="shared" si="0"/>
        <v>12809597</v>
      </c>
    </row>
    <row r="19" spans="1:8" x14ac:dyDescent="0.25">
      <c r="A19" s="675" t="s">
        <v>27</v>
      </c>
      <c r="B19" s="1023" t="s">
        <v>863</v>
      </c>
      <c r="C19" s="840">
        <v>11502781</v>
      </c>
      <c r="D19" s="841">
        <v>2300740</v>
      </c>
      <c r="E19" s="841">
        <v>2300740</v>
      </c>
      <c r="F19" s="841">
        <v>2300740</v>
      </c>
      <c r="G19" s="842">
        <v>2300740</v>
      </c>
      <c r="H19" s="783">
        <f t="shared" si="0"/>
        <v>9202960</v>
      </c>
    </row>
    <row r="20" spans="1:8" ht="22.5" x14ac:dyDescent="0.25">
      <c r="A20" s="834" t="s">
        <v>28</v>
      </c>
      <c r="B20" s="843" t="s">
        <v>864</v>
      </c>
      <c r="C20" s="840">
        <v>0</v>
      </c>
      <c r="D20" s="841">
        <v>0</v>
      </c>
      <c r="E20" s="841">
        <v>1568620</v>
      </c>
      <c r="F20" s="841">
        <v>1568620</v>
      </c>
      <c r="G20" s="842">
        <v>1568620</v>
      </c>
      <c r="H20" s="844">
        <f t="shared" si="0"/>
        <v>4705860</v>
      </c>
    </row>
    <row r="21" spans="1:8" ht="22.5" x14ac:dyDescent="0.25">
      <c r="A21" s="1199" t="s">
        <v>29</v>
      </c>
      <c r="B21" s="1200" t="s">
        <v>943</v>
      </c>
      <c r="C21" s="840">
        <v>0</v>
      </c>
      <c r="D21" s="841">
        <v>0</v>
      </c>
      <c r="E21" s="841">
        <v>0</v>
      </c>
      <c r="F21" s="841">
        <v>13920000</v>
      </c>
      <c r="G21" s="842">
        <v>13920000</v>
      </c>
      <c r="H21" s="1201">
        <f t="shared" ref="H21" si="1">SUM(D21:G21)</f>
        <v>27840000</v>
      </c>
    </row>
    <row r="22" spans="1:8" ht="15.75" thickBot="1" x14ac:dyDescent="0.3">
      <c r="A22" s="833" t="s">
        <v>30</v>
      </c>
      <c r="B22" s="1202" t="s">
        <v>962</v>
      </c>
      <c r="C22" s="1196">
        <v>0</v>
      </c>
      <c r="D22" s="1197">
        <v>0</v>
      </c>
      <c r="E22" s="1197">
        <v>0</v>
      </c>
      <c r="F22" s="1197">
        <v>2280000</v>
      </c>
      <c r="G22" s="1198">
        <v>2280000</v>
      </c>
      <c r="H22" s="1203">
        <f t="shared" si="0"/>
        <v>4560000</v>
      </c>
    </row>
    <row r="23" spans="1:8" ht="24" customHeight="1" thickBot="1" x14ac:dyDescent="0.3">
      <c r="A23" s="671"/>
      <c r="B23" s="686" t="s">
        <v>148</v>
      </c>
      <c r="C23" s="687">
        <f t="shared" ref="C23:E23" si="2">SUM(C8:C22)</f>
        <v>91898951</v>
      </c>
      <c r="D23" s="687">
        <f t="shared" si="2"/>
        <v>22728296</v>
      </c>
      <c r="E23" s="687">
        <f t="shared" si="2"/>
        <v>21918706</v>
      </c>
      <c r="F23" s="687">
        <f>SUM(F8:F22)</f>
        <v>36684350</v>
      </c>
      <c r="G23" s="687">
        <f>SUM(G8:G22)</f>
        <v>30518083</v>
      </c>
      <c r="H23" s="690">
        <f>SUM(H8:H22)</f>
        <v>111849435</v>
      </c>
    </row>
    <row r="25" spans="1:8" x14ac:dyDescent="0.25">
      <c r="B25" s="688" t="s">
        <v>583</v>
      </c>
    </row>
    <row r="27" spans="1:8" x14ac:dyDescent="0.25">
      <c r="B27" s="68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E10" sqref="E10"/>
    </sheetView>
  </sheetViews>
  <sheetFormatPr defaultRowHeight="15" x14ac:dyDescent="0.25"/>
  <cols>
    <col min="1" max="1" width="5.6640625" style="667" customWidth="1"/>
    <col min="2" max="2" width="68.6640625" style="667" customWidth="1"/>
    <col min="3" max="3" width="19.5" style="667" customWidth="1"/>
    <col min="4" max="4" width="11.33203125" style="667" customWidth="1"/>
    <col min="5" max="16384" width="9.33203125" style="667"/>
  </cols>
  <sheetData>
    <row r="1" spans="1:4" x14ac:dyDescent="0.25">
      <c r="A1" s="1405" t="str">
        <f>CONCATENATE("9. melléklet ",ALAPADATOK!A7," ",ALAPADATOK!B7," ",ALAPADATOK!C7," ",ALAPADATOK!D7," ",ALAPADATOK!E7," ",ALAPADATOK!F7," ",ALAPADATOK!G7," ",ALAPADATOK!H7)</f>
        <v>9. melléklet a .. / 2022. ( ……. ) önkormányzati rendelethez</v>
      </c>
      <c r="B1" s="1405"/>
      <c r="C1" s="1405"/>
    </row>
    <row r="3" spans="1:4" ht="33" customHeight="1" x14ac:dyDescent="0.25">
      <c r="A3" s="1406" t="s">
        <v>512</v>
      </c>
      <c r="B3" s="1406"/>
      <c r="C3" s="1406"/>
    </row>
    <row r="4" spans="1:4" ht="15.95" customHeight="1" thickBot="1" x14ac:dyDescent="0.3">
      <c r="A4" s="668"/>
      <c r="B4" s="668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959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35" t="s">
        <v>725</v>
      </c>
      <c r="C7" s="579">
        <v>376555000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36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15" t="s">
        <v>518</v>
      </c>
      <c r="B13" s="1416"/>
      <c r="C13" s="438">
        <f>SUM(C7:C12)</f>
        <v>449855000</v>
      </c>
    </row>
    <row r="14" spans="1:4" ht="23.25" customHeight="1" x14ac:dyDescent="0.25">
      <c r="A14" s="1417" t="s">
        <v>519</v>
      </c>
      <c r="B14" s="1417"/>
      <c r="C14" s="1417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D11" sqref="D11"/>
    </sheetView>
  </sheetViews>
  <sheetFormatPr defaultRowHeight="15" x14ac:dyDescent="0.25"/>
  <cols>
    <col min="1" max="1" width="5.6640625" style="667" customWidth="1"/>
    <col min="2" max="2" width="66.83203125" style="667" customWidth="1"/>
    <col min="3" max="3" width="27" style="667" customWidth="1"/>
    <col min="4" max="16384" width="9.33203125" style="667"/>
  </cols>
  <sheetData>
    <row r="1" spans="1:5" x14ac:dyDescent="0.25">
      <c r="A1" s="1405" t="str">
        <f>CONCATENATE("10. melléklet ",ALAPADATOK!A7," ",ALAPADATOK!B7," ",ALAPADATOK!C7," ",ALAPADATOK!D7," ",ALAPADATOK!E7," ",ALAPADATOK!F7," ",ALAPADATOK!G7," ",ALAPADATOK!H7)</f>
        <v>10. melléklet a .. / 2022. ( ……. ) önkormányzati rendelethez</v>
      </c>
      <c r="B1" s="1405"/>
      <c r="C1" s="1405"/>
    </row>
    <row r="3" spans="1:5" ht="33" customHeight="1" x14ac:dyDescent="0.25">
      <c r="A3" s="1406" t="s">
        <v>1029</v>
      </c>
      <c r="B3" s="1406"/>
      <c r="C3" s="1406"/>
    </row>
    <row r="4" spans="1:5" ht="15.95" customHeight="1" thickBot="1" x14ac:dyDescent="0.3">
      <c r="A4" s="668"/>
      <c r="B4" s="668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43" t="s">
        <v>963</v>
      </c>
      <c r="C7" s="519">
        <v>7058824</v>
      </c>
      <c r="D7" s="1018"/>
      <c r="E7" s="1018"/>
    </row>
    <row r="8" spans="1:5" ht="23.25" x14ac:dyDescent="0.25">
      <c r="A8" s="68" t="s">
        <v>17</v>
      </c>
      <c r="B8" s="1204" t="s">
        <v>964</v>
      </c>
      <c r="C8" s="1205">
        <v>167000000</v>
      </c>
    </row>
    <row r="9" spans="1:5" x14ac:dyDescent="0.25">
      <c r="A9" s="580" t="s">
        <v>18</v>
      </c>
      <c r="B9" s="843" t="s">
        <v>965</v>
      </c>
      <c r="C9" s="1019">
        <v>13674426</v>
      </c>
    </row>
    <row r="10" spans="1:5" x14ac:dyDescent="0.25">
      <c r="A10" s="68" t="s">
        <v>19</v>
      </c>
      <c r="B10" s="843"/>
      <c r="C10" s="836"/>
    </row>
    <row r="11" spans="1:5" x14ac:dyDescent="0.25">
      <c r="A11" s="68" t="s">
        <v>20</v>
      </c>
      <c r="B11" s="835"/>
      <c r="C11" s="837"/>
    </row>
    <row r="12" spans="1:5" x14ac:dyDescent="0.25">
      <c r="A12" s="580" t="s">
        <v>21</v>
      </c>
      <c r="B12" s="517"/>
      <c r="C12" s="519"/>
    </row>
    <row r="13" spans="1:5" x14ac:dyDescent="0.25">
      <c r="A13" s="580" t="s">
        <v>22</v>
      </c>
      <c r="B13" s="518"/>
      <c r="C13" s="520"/>
    </row>
    <row r="14" spans="1:5" x14ac:dyDescent="0.25">
      <c r="A14" s="580" t="s">
        <v>23</v>
      </c>
      <c r="B14" s="521"/>
      <c r="C14" s="520"/>
    </row>
    <row r="15" spans="1:5" s="523" customFormat="1" thickBot="1" x14ac:dyDescent="0.25">
      <c r="A15" s="580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0"/>
  <sheetViews>
    <sheetView zoomScaleNormal="100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427" customWidth="1"/>
    <col min="2" max="2" width="15.6640625" style="611" customWidth="1"/>
    <col min="3" max="3" width="16.33203125" style="611" customWidth="1"/>
    <col min="4" max="5" width="18" style="611" customWidth="1"/>
    <col min="6" max="6" width="16.6640625" style="611" customWidth="1"/>
    <col min="7" max="7" width="18.83203125" style="419" customWidth="1"/>
    <col min="8" max="9" width="12.83203125" style="706" customWidth="1"/>
    <col min="10" max="10" width="13.83203125" style="706" customWidth="1"/>
    <col min="11" max="11" width="12.6640625" style="706" bestFit="1" customWidth="1"/>
    <col min="12" max="12" width="12.6640625" style="706" customWidth="1"/>
    <col min="13" max="13" width="11.1640625" style="706" bestFit="1" customWidth="1"/>
    <col min="14" max="16384" width="9.33203125" style="706"/>
  </cols>
  <sheetData>
    <row r="1" spans="1:8" x14ac:dyDescent="0.2">
      <c r="A1" s="1418" t="str">
        <f>CONCATENATE("11. melléklet"," ",ALAPADATOK!A7," ",ALAPADATOK!B7," ",ALAPADATOK!C7," ",ALAPADATOK!D7," ",ALAPADATOK!E7," ",ALAPADATOK!F7," ",ALAPADATOK!G7," ",ALAPADATOK!H7)</f>
        <v>11. melléklet a .. / 2022. ( ……. ) önkormányzati rendelethez</v>
      </c>
      <c r="B1" s="1418"/>
      <c r="C1" s="1418"/>
      <c r="D1" s="1418"/>
      <c r="E1" s="1418"/>
      <c r="F1" s="1418"/>
      <c r="G1" s="1418"/>
    </row>
    <row r="3" spans="1:8" ht="25.5" customHeight="1" x14ac:dyDescent="0.2">
      <c r="A3" s="1419" t="s">
        <v>4</v>
      </c>
      <c r="B3" s="1419"/>
      <c r="C3" s="1419"/>
      <c r="D3" s="1419"/>
      <c r="E3" s="1419"/>
      <c r="F3" s="1419"/>
      <c r="G3" s="1419"/>
    </row>
    <row r="4" spans="1:8" ht="22.5" customHeight="1" thickBot="1" x14ac:dyDescent="0.3">
      <c r="B4" s="1124"/>
      <c r="C4" s="1124"/>
      <c r="D4" s="1124"/>
      <c r="E4" s="1124"/>
      <c r="F4" s="1124"/>
      <c r="G4" s="1119"/>
    </row>
    <row r="5" spans="1:8" s="606" customFormat="1" ht="44.25" customHeight="1" thickBot="1" x14ac:dyDescent="0.25">
      <c r="A5" s="924" t="s">
        <v>902</v>
      </c>
      <c r="B5" s="420" t="s">
        <v>60</v>
      </c>
      <c r="C5" s="421" t="s">
        <v>61</v>
      </c>
      <c r="D5" s="421" t="s">
        <v>967</v>
      </c>
      <c r="E5" s="421" t="s">
        <v>968</v>
      </c>
      <c r="F5" s="421" t="s">
        <v>959</v>
      </c>
      <c r="G5" s="422" t="s">
        <v>969</v>
      </c>
      <c r="H5" s="423"/>
    </row>
    <row r="6" spans="1:8" s="657" customFormat="1" ht="12" customHeight="1" thickBot="1" x14ac:dyDescent="0.25">
      <c r="A6" s="925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741</v>
      </c>
    </row>
    <row r="7" spans="1:8" s="657" customFormat="1" ht="12" customHeight="1" thickBot="1" x14ac:dyDescent="0.25">
      <c r="A7" s="923" t="s">
        <v>656</v>
      </c>
      <c r="B7" s="926">
        <f>SUM(B8:B29)</f>
        <v>974426651</v>
      </c>
      <c r="C7" s="700"/>
      <c r="D7" s="701">
        <f>SUM(D8:D29)</f>
        <v>221746213</v>
      </c>
      <c r="E7" s="701">
        <f>SUM(E8:E29)</f>
        <v>52563216</v>
      </c>
      <c r="F7" s="701">
        <f>SUM(F8:F29)</f>
        <v>700117222</v>
      </c>
      <c r="G7" s="701">
        <f>SUM(G8:G29)</f>
        <v>0</v>
      </c>
    </row>
    <row r="8" spans="1:8" s="611" customFormat="1" ht="15.95" customHeight="1" x14ac:dyDescent="0.2">
      <c r="A8" s="1367" t="s">
        <v>652</v>
      </c>
      <c r="B8" s="1368">
        <f>267489554-142138515+16601097+401550+101600</f>
        <v>142455286</v>
      </c>
      <c r="C8" s="1369" t="s">
        <v>884</v>
      </c>
      <c r="D8" s="1370">
        <f>13586200-204600+41610877</f>
        <v>54992477</v>
      </c>
      <c r="E8" s="1370">
        <v>16601097</v>
      </c>
      <c r="F8" s="1370">
        <v>70861712</v>
      </c>
      <c r="G8" s="694">
        <f>B8-D8-F8-E8</f>
        <v>0</v>
      </c>
    </row>
    <row r="9" spans="1:8" s="610" customFormat="1" ht="25.5" x14ac:dyDescent="0.2">
      <c r="A9" s="1367" t="s">
        <v>653</v>
      </c>
      <c r="B9" s="1368">
        <f>12274550-2533650</f>
        <v>9740900</v>
      </c>
      <c r="C9" s="1369" t="s">
        <v>884</v>
      </c>
      <c r="D9" s="1370">
        <f>5715000+2978360</f>
        <v>8693360</v>
      </c>
      <c r="E9" s="1370"/>
      <c r="F9" s="1370">
        <v>1047540</v>
      </c>
      <c r="G9" s="694">
        <f t="shared" ref="G9:G44" si="0">B9-D9-F9-E9</f>
        <v>0</v>
      </c>
    </row>
    <row r="10" spans="1:8" s="611" customFormat="1" ht="18.75" customHeight="1" x14ac:dyDescent="0.2">
      <c r="A10" s="1371" t="s">
        <v>565</v>
      </c>
      <c r="B10" s="1372">
        <v>17562217</v>
      </c>
      <c r="C10" s="1254" t="s">
        <v>884</v>
      </c>
      <c r="D10" s="691">
        <v>17312217</v>
      </c>
      <c r="E10" s="691"/>
      <c r="F10" s="691">
        <v>250000</v>
      </c>
      <c r="G10" s="1256">
        <f t="shared" si="0"/>
        <v>0</v>
      </c>
    </row>
    <row r="11" spans="1:8" s="611" customFormat="1" ht="15.95" customHeight="1" x14ac:dyDescent="0.2">
      <c r="A11" s="1373" t="s">
        <v>566</v>
      </c>
      <c r="B11" s="1372">
        <v>127000</v>
      </c>
      <c r="C11" s="1254" t="s">
        <v>966</v>
      </c>
      <c r="D11" s="691"/>
      <c r="E11" s="691"/>
      <c r="F11" s="691">
        <v>127000</v>
      </c>
      <c r="G11" s="1257">
        <f t="shared" si="0"/>
        <v>0</v>
      </c>
    </row>
    <row r="12" spans="1:8" s="611" customFormat="1" ht="15.95" customHeight="1" x14ac:dyDescent="0.2">
      <c r="A12" s="1374" t="s">
        <v>975</v>
      </c>
      <c r="B12" s="1372">
        <v>5194300</v>
      </c>
      <c r="C12" s="1254" t="s">
        <v>966</v>
      </c>
      <c r="D12" s="691"/>
      <c r="E12" s="691"/>
      <c r="F12" s="691">
        <v>5194300</v>
      </c>
      <c r="G12" s="1257">
        <f t="shared" si="0"/>
        <v>0</v>
      </c>
    </row>
    <row r="13" spans="1:8" s="611" customFormat="1" ht="31.5" customHeight="1" x14ac:dyDescent="0.2">
      <c r="A13" s="1374" t="s">
        <v>976</v>
      </c>
      <c r="B13" s="1372">
        <v>350500</v>
      </c>
      <c r="C13" s="1254" t="s">
        <v>966</v>
      </c>
      <c r="D13" s="691"/>
      <c r="E13" s="691"/>
      <c r="F13" s="691">
        <v>350500</v>
      </c>
      <c r="G13" s="1257">
        <f t="shared" si="0"/>
        <v>0</v>
      </c>
    </row>
    <row r="14" spans="1:8" s="611" customFormat="1" ht="25.5" x14ac:dyDescent="0.2">
      <c r="A14" s="1373" t="s">
        <v>587</v>
      </c>
      <c r="B14" s="1372">
        <f>6704583+2425</f>
        <v>6707008</v>
      </c>
      <c r="C14" s="1254" t="s">
        <v>1034</v>
      </c>
      <c r="D14" s="691">
        <f>1295700+3842258+1568000</f>
        <v>6705958</v>
      </c>
      <c r="E14" s="691"/>
      <c r="F14" s="691">
        <v>1050</v>
      </c>
      <c r="G14" s="1257">
        <f t="shared" si="0"/>
        <v>0</v>
      </c>
    </row>
    <row r="15" spans="1:8" s="612" customFormat="1" ht="29.25" customHeight="1" x14ac:dyDescent="0.2">
      <c r="A15" s="1375" t="s">
        <v>840</v>
      </c>
      <c r="B15" s="1261">
        <v>127000</v>
      </c>
      <c r="C15" s="1258" t="s">
        <v>966</v>
      </c>
      <c r="D15" s="1259"/>
      <c r="E15" s="1259"/>
      <c r="F15" s="1259">
        <v>127000</v>
      </c>
      <c r="G15" s="695">
        <f t="shared" si="0"/>
        <v>0</v>
      </c>
    </row>
    <row r="16" spans="1:8" s="612" customFormat="1" ht="25.5" x14ac:dyDescent="0.2">
      <c r="A16" s="1375" t="s">
        <v>878</v>
      </c>
      <c r="B16" s="1261">
        <f>1369240+500000-50800+31390</f>
        <v>1849830</v>
      </c>
      <c r="C16" s="1258" t="s">
        <v>842</v>
      </c>
      <c r="D16" s="1259">
        <f>455240+694590</f>
        <v>1149830</v>
      </c>
      <c r="E16" s="1259"/>
      <c r="F16" s="1259">
        <f>700000</f>
        <v>700000</v>
      </c>
      <c r="G16" s="695">
        <f t="shared" si="0"/>
        <v>0</v>
      </c>
    </row>
    <row r="17" spans="1:7" s="610" customFormat="1" x14ac:dyDescent="0.2">
      <c r="A17" s="1373" t="s">
        <v>574</v>
      </c>
      <c r="B17" s="1372">
        <v>254000</v>
      </c>
      <c r="C17" s="1254" t="s">
        <v>966</v>
      </c>
      <c r="D17" s="691"/>
      <c r="E17" s="691"/>
      <c r="F17" s="691">
        <v>254000</v>
      </c>
      <c r="G17" s="1257">
        <f t="shared" si="0"/>
        <v>0</v>
      </c>
    </row>
    <row r="18" spans="1:7" s="613" customFormat="1" ht="15.75" customHeight="1" x14ac:dyDescent="0.2">
      <c r="A18" s="1373" t="s">
        <v>654</v>
      </c>
      <c r="B18" s="1372">
        <v>30000000</v>
      </c>
      <c r="C18" s="1254" t="s">
        <v>884</v>
      </c>
      <c r="D18" s="691">
        <f>2679620+26934922+85458</f>
        <v>29700000</v>
      </c>
      <c r="E18" s="691"/>
      <c r="F18" s="691">
        <v>300000</v>
      </c>
      <c r="G18" s="1257">
        <f t="shared" si="0"/>
        <v>0</v>
      </c>
    </row>
    <row r="19" spans="1:7" s="612" customFormat="1" ht="15.75" customHeight="1" x14ac:dyDescent="0.2">
      <c r="A19" s="1373" t="s">
        <v>655</v>
      </c>
      <c r="B19" s="1261">
        <v>184400236</v>
      </c>
      <c r="C19" s="1258" t="s">
        <v>884</v>
      </c>
      <c r="D19" s="1259">
        <v>8473000</v>
      </c>
      <c r="E19" s="1259">
        <v>26204408</v>
      </c>
      <c r="F19" s="1259">
        <v>149722828</v>
      </c>
      <c r="G19" s="695">
        <f t="shared" si="0"/>
        <v>0</v>
      </c>
    </row>
    <row r="20" spans="1:7" s="615" customFormat="1" ht="15.75" customHeight="1" x14ac:dyDescent="0.2">
      <c r="A20" s="1373" t="s">
        <v>839</v>
      </c>
      <c r="B20" s="1372">
        <f>97575000+1809000-524600</f>
        <v>98859400</v>
      </c>
      <c r="C20" s="1254" t="s">
        <v>747</v>
      </c>
      <c r="D20" s="691">
        <v>89909035</v>
      </c>
      <c r="E20" s="691"/>
      <c r="F20" s="691">
        <v>8950365</v>
      </c>
      <c r="G20" s="1257">
        <f t="shared" si="0"/>
        <v>0</v>
      </c>
    </row>
    <row r="21" spans="1:7" s="615" customFormat="1" ht="33" customHeight="1" x14ac:dyDescent="0.2">
      <c r="A21" s="1376" t="s">
        <v>877</v>
      </c>
      <c r="B21" s="1261">
        <f>39476378+212598+10311024</f>
        <v>50000000</v>
      </c>
      <c r="C21" s="1258" t="s">
        <v>747</v>
      </c>
      <c r="D21" s="1259">
        <v>1600000</v>
      </c>
      <c r="E21" s="1259">
        <f>10311024-553313</f>
        <v>9757711</v>
      </c>
      <c r="F21" s="1259">
        <v>38642289</v>
      </c>
      <c r="G21" s="695">
        <f t="shared" si="0"/>
        <v>0</v>
      </c>
    </row>
    <row r="22" spans="1:7" s="615" customFormat="1" ht="25.5" x14ac:dyDescent="0.2">
      <c r="A22" s="1376" t="s">
        <v>879</v>
      </c>
      <c r="B22" s="1261">
        <f>2360000+637200</f>
        <v>2997200</v>
      </c>
      <c r="C22" s="1258" t="s">
        <v>747</v>
      </c>
      <c r="D22" s="1259"/>
      <c r="E22" s="1259"/>
      <c r="F22" s="1259">
        <v>2997200</v>
      </c>
      <c r="G22" s="695">
        <f t="shared" si="0"/>
        <v>0</v>
      </c>
    </row>
    <row r="23" spans="1:7" s="615" customFormat="1" ht="25.5" x14ac:dyDescent="0.2">
      <c r="A23" s="1376" t="s">
        <v>880</v>
      </c>
      <c r="B23" s="1261">
        <f>3937008+1062992</f>
        <v>5000000</v>
      </c>
      <c r="C23" s="1258" t="s">
        <v>747</v>
      </c>
      <c r="D23" s="1259"/>
      <c r="E23" s="1259"/>
      <c r="F23" s="1259">
        <v>5000000</v>
      </c>
      <c r="G23" s="695">
        <f t="shared" si="0"/>
        <v>0</v>
      </c>
    </row>
    <row r="24" spans="1:7" s="615" customFormat="1" ht="25.5" x14ac:dyDescent="0.2">
      <c r="A24" s="1376" t="s">
        <v>882</v>
      </c>
      <c r="B24" s="1261">
        <f>1547000+417690</f>
        <v>1964690</v>
      </c>
      <c r="C24" s="1258" t="s">
        <v>747</v>
      </c>
      <c r="D24" s="1259">
        <v>1964690</v>
      </c>
      <c r="E24" s="1259"/>
      <c r="F24" s="1259">
        <v>0</v>
      </c>
      <c r="G24" s="695">
        <f t="shared" si="0"/>
        <v>0</v>
      </c>
    </row>
    <row r="25" spans="1:7" s="615" customFormat="1" x14ac:dyDescent="0.2">
      <c r="A25" s="1376" t="s">
        <v>945</v>
      </c>
      <c r="B25" s="1261">
        <v>239013622</v>
      </c>
      <c r="C25" s="1258" t="s">
        <v>944</v>
      </c>
      <c r="D25" s="1259"/>
      <c r="E25" s="1259"/>
      <c r="F25" s="1259">
        <v>239013622</v>
      </c>
      <c r="G25" s="695">
        <f t="shared" si="0"/>
        <v>0</v>
      </c>
    </row>
    <row r="26" spans="1:7" s="615" customFormat="1" x14ac:dyDescent="0.2">
      <c r="A26" s="1376" t="s">
        <v>949</v>
      </c>
      <c r="B26" s="1261">
        <v>8786521</v>
      </c>
      <c r="C26" s="1258" t="s">
        <v>944</v>
      </c>
      <c r="D26" s="1259"/>
      <c r="E26" s="1259"/>
      <c r="F26" s="1259">
        <v>8786521</v>
      </c>
      <c r="G26" s="1180">
        <f t="shared" si="0"/>
        <v>0</v>
      </c>
    </row>
    <row r="27" spans="1:7" s="615" customFormat="1" ht="25.5" x14ac:dyDescent="0.2">
      <c r="A27" s="1376" t="s">
        <v>943</v>
      </c>
      <c r="B27" s="1261">
        <v>165000000</v>
      </c>
      <c r="C27" s="1258" t="s">
        <v>944</v>
      </c>
      <c r="D27" s="1259"/>
      <c r="E27" s="1259"/>
      <c r="F27" s="1259">
        <v>165000000</v>
      </c>
      <c r="G27" s="695">
        <f t="shared" ref="G27:G28" si="1">B27-D27-F27-E27</f>
        <v>0</v>
      </c>
    </row>
    <row r="28" spans="1:7" s="615" customFormat="1" ht="25.5" x14ac:dyDescent="0.2">
      <c r="A28" s="1208" t="s">
        <v>971</v>
      </c>
      <c r="B28" s="1261">
        <v>3736941</v>
      </c>
      <c r="C28" s="1258" t="s">
        <v>747</v>
      </c>
      <c r="D28" s="1259">
        <v>1245646</v>
      </c>
      <c r="E28" s="1259"/>
      <c r="F28" s="1259">
        <v>2491295</v>
      </c>
      <c r="G28" s="695">
        <f t="shared" si="1"/>
        <v>0</v>
      </c>
    </row>
    <row r="29" spans="1:7" s="615" customFormat="1" ht="13.5" thickBot="1" x14ac:dyDescent="0.25">
      <c r="A29" s="1208" t="s">
        <v>973</v>
      </c>
      <c r="B29" s="1261">
        <v>300000</v>
      </c>
      <c r="C29" s="1258" t="s">
        <v>966</v>
      </c>
      <c r="D29" s="1259">
        <v>0</v>
      </c>
      <c r="E29" s="1259"/>
      <c r="F29" s="1259">
        <v>300000</v>
      </c>
      <c r="G29" s="695">
        <f t="shared" si="0"/>
        <v>0</v>
      </c>
    </row>
    <row r="30" spans="1:7" s="611" customFormat="1" ht="13.5" thickBot="1" x14ac:dyDescent="0.25">
      <c r="A30" s="930" t="s">
        <v>698</v>
      </c>
      <c r="B30" s="931">
        <f>SUM(B31:B33)</f>
        <v>5095010</v>
      </c>
      <c r="C30" s="932"/>
      <c r="D30" s="933"/>
      <c r="E30" s="933"/>
      <c r="F30" s="933">
        <f>SUM(F31:F33)</f>
        <v>5095010</v>
      </c>
      <c r="G30" s="934">
        <f t="shared" si="0"/>
        <v>0</v>
      </c>
    </row>
    <row r="31" spans="1:7" s="610" customFormat="1" x14ac:dyDescent="0.2">
      <c r="A31" s="1131" t="s">
        <v>563</v>
      </c>
      <c r="B31" s="927">
        <v>4450010</v>
      </c>
      <c r="C31" s="922" t="s">
        <v>966</v>
      </c>
      <c r="D31" s="928"/>
      <c r="E31" s="928"/>
      <c r="F31" s="928">
        <v>4450010</v>
      </c>
      <c r="G31" s="929">
        <f t="shared" si="0"/>
        <v>0</v>
      </c>
    </row>
    <row r="32" spans="1:7" s="611" customFormat="1" x14ac:dyDescent="0.2">
      <c r="A32" s="1132" t="s">
        <v>697</v>
      </c>
      <c r="B32" s="693">
        <v>565000</v>
      </c>
      <c r="C32" s="1254" t="s">
        <v>966</v>
      </c>
      <c r="D32" s="691"/>
      <c r="E32" s="691"/>
      <c r="F32" s="691">
        <v>565000</v>
      </c>
      <c r="G32" s="696">
        <f t="shared" si="0"/>
        <v>0</v>
      </c>
    </row>
    <row r="33" spans="1:7" s="611" customFormat="1" ht="27" customHeight="1" thickBot="1" x14ac:dyDescent="0.25">
      <c r="A33" s="1133" t="s">
        <v>841</v>
      </c>
      <c r="B33" s="697">
        <v>80000</v>
      </c>
      <c r="C33" s="665" t="s">
        <v>966</v>
      </c>
      <c r="D33" s="698"/>
      <c r="E33" s="698"/>
      <c r="F33" s="698">
        <v>80000</v>
      </c>
      <c r="G33" s="699">
        <f t="shared" si="0"/>
        <v>0</v>
      </c>
    </row>
    <row r="34" spans="1:7" s="613" customFormat="1" ht="15.75" customHeight="1" thickBot="1" x14ac:dyDescent="0.25">
      <c r="A34" s="1269" t="s">
        <v>699</v>
      </c>
      <c r="B34" s="1266">
        <f>SUM(B35:B35)</f>
        <v>1206500</v>
      </c>
      <c r="C34" s="1267"/>
      <c r="D34" s="1266">
        <f>SUM(D35:D35)</f>
        <v>0</v>
      </c>
      <c r="E34" s="1266"/>
      <c r="F34" s="1266">
        <f>SUM(F35:F35)</f>
        <v>1206500</v>
      </c>
      <c r="G34" s="1253">
        <f t="shared" si="0"/>
        <v>0</v>
      </c>
    </row>
    <row r="35" spans="1:7" s="612" customFormat="1" ht="15.75" customHeight="1" thickBot="1" x14ac:dyDescent="0.25">
      <c r="A35" s="1270" t="s">
        <v>663</v>
      </c>
      <c r="B35" s="1262">
        <v>1206500</v>
      </c>
      <c r="C35" s="1263" t="s">
        <v>966</v>
      </c>
      <c r="D35" s="1264"/>
      <c r="E35" s="1264"/>
      <c r="F35" s="1264">
        <v>1206500</v>
      </c>
      <c r="G35" s="1265">
        <f t="shared" si="0"/>
        <v>0</v>
      </c>
    </row>
    <row r="36" spans="1:7" s="611" customFormat="1" ht="15.75" customHeight="1" thickBot="1" x14ac:dyDescent="0.25">
      <c r="A36" s="1134" t="s">
        <v>700</v>
      </c>
      <c r="B36" s="1266">
        <f>SUM(B37:B39)</f>
        <v>6858790</v>
      </c>
      <c r="C36" s="1267"/>
      <c r="D36" s="1266">
        <f>SUM(D37:D39)</f>
        <v>0</v>
      </c>
      <c r="E36" s="1266"/>
      <c r="F36" s="1266">
        <f>SUM(F37:F39)</f>
        <v>6858790</v>
      </c>
      <c r="G36" s="1253">
        <f t="shared" si="0"/>
        <v>0</v>
      </c>
    </row>
    <row r="37" spans="1:7" s="611" customFormat="1" ht="15.75" customHeight="1" x14ac:dyDescent="0.2">
      <c r="A37" s="1135" t="s">
        <v>664</v>
      </c>
      <c r="B37" s="1262">
        <v>2887500</v>
      </c>
      <c r="C37" s="1263" t="s">
        <v>966</v>
      </c>
      <c r="D37" s="1264"/>
      <c r="E37" s="1264"/>
      <c r="F37" s="1264">
        <v>2887500</v>
      </c>
      <c r="G37" s="1014">
        <f t="shared" si="0"/>
        <v>0</v>
      </c>
    </row>
    <row r="38" spans="1:7" s="611" customFormat="1" ht="15.75" customHeight="1" x14ac:dyDescent="0.2">
      <c r="A38" s="1137" t="s">
        <v>970</v>
      </c>
      <c r="B38" s="1011">
        <f>660400+72390</f>
        <v>732790</v>
      </c>
      <c r="C38" s="1012" t="s">
        <v>966</v>
      </c>
      <c r="D38" s="1013"/>
      <c r="E38" s="1013"/>
      <c r="F38" s="1013">
        <f>660400+72390</f>
        <v>732790</v>
      </c>
      <c r="G38" s="1170">
        <f t="shared" si="0"/>
        <v>0</v>
      </c>
    </row>
    <row r="39" spans="1:7" s="632" customFormat="1" ht="15.75" customHeight="1" thickBot="1" x14ac:dyDescent="0.25">
      <c r="A39" s="1137" t="s">
        <v>854</v>
      </c>
      <c r="B39" s="1011">
        <f>3238500</f>
        <v>3238500</v>
      </c>
      <c r="C39" s="1012" t="s">
        <v>966</v>
      </c>
      <c r="D39" s="1013"/>
      <c r="E39" s="1013"/>
      <c r="F39" s="1013">
        <v>3238500</v>
      </c>
      <c r="G39" s="1169">
        <f t="shared" si="0"/>
        <v>0</v>
      </c>
    </row>
    <row r="40" spans="1:7" s="633" customFormat="1" ht="35.25" customHeight="1" thickBot="1" x14ac:dyDescent="0.25">
      <c r="A40" s="1136" t="s">
        <v>702</v>
      </c>
      <c r="B40" s="1266">
        <f>SUM(B41:B44)</f>
        <v>25743941</v>
      </c>
      <c r="C40" s="1267"/>
      <c r="D40" s="1266">
        <f>SUM(D41:D44)</f>
        <v>0</v>
      </c>
      <c r="E40" s="1266"/>
      <c r="F40" s="1266">
        <f>SUM(F41:F44)</f>
        <v>25743941</v>
      </c>
      <c r="G40" s="1253">
        <f t="shared" si="0"/>
        <v>0</v>
      </c>
    </row>
    <row r="41" spans="1:7" s="613" customFormat="1" ht="21" customHeight="1" x14ac:dyDescent="0.2">
      <c r="A41" s="1377" t="s">
        <v>663</v>
      </c>
      <c r="B41" s="1378">
        <v>5321151</v>
      </c>
      <c r="C41" s="1379" t="s">
        <v>966</v>
      </c>
      <c r="D41" s="1380"/>
      <c r="E41" s="1380"/>
      <c r="F41" s="1380">
        <v>5321151</v>
      </c>
      <c r="G41" s="1014">
        <f t="shared" si="0"/>
        <v>0</v>
      </c>
    </row>
    <row r="42" spans="1:7" s="613" customFormat="1" ht="21" customHeight="1" x14ac:dyDescent="0.2">
      <c r="A42" s="1377" t="s">
        <v>563</v>
      </c>
      <c r="B42" s="1378">
        <v>508000</v>
      </c>
      <c r="C42" s="1379" t="s">
        <v>966</v>
      </c>
      <c r="D42" s="1380"/>
      <c r="E42" s="1380"/>
      <c r="F42" s="1380">
        <v>508000</v>
      </c>
      <c r="G42" s="1014">
        <f t="shared" si="0"/>
        <v>0</v>
      </c>
    </row>
    <row r="43" spans="1:7" s="613" customFormat="1" ht="21" customHeight="1" x14ac:dyDescent="0.2">
      <c r="A43" s="1381" t="s">
        <v>855</v>
      </c>
      <c r="B43" s="1262">
        <v>1053800</v>
      </c>
      <c r="C43" s="1263" t="s">
        <v>966</v>
      </c>
      <c r="D43" s="1264">
        <v>0</v>
      </c>
      <c r="E43" s="1264"/>
      <c r="F43" s="1264">
        <v>1053800</v>
      </c>
      <c r="G43" s="1265">
        <f t="shared" si="0"/>
        <v>0</v>
      </c>
    </row>
    <row r="44" spans="1:7" s="613" customFormat="1" ht="21" customHeight="1" thickBot="1" x14ac:dyDescent="0.25">
      <c r="A44" s="1135" t="s">
        <v>856</v>
      </c>
      <c r="B44" s="1262">
        <v>18860990</v>
      </c>
      <c r="C44" s="1263" t="s">
        <v>966</v>
      </c>
      <c r="D44" s="1264"/>
      <c r="E44" s="1382"/>
      <c r="F44" s="1262">
        <v>18860990</v>
      </c>
      <c r="G44" s="1265">
        <f t="shared" si="0"/>
        <v>0</v>
      </c>
    </row>
    <row r="45" spans="1:7" s="611" customFormat="1" ht="21" customHeight="1" thickBot="1" x14ac:dyDescent="0.25">
      <c r="A45" s="1138" t="s">
        <v>701</v>
      </c>
      <c r="B45" s="1015">
        <f>SUM(B46:B46)</f>
        <v>523597</v>
      </c>
      <c r="C45" s="1016"/>
      <c r="D45" s="1015">
        <f>SUM(D46:D46)</f>
        <v>0</v>
      </c>
      <c r="E45" s="1015"/>
      <c r="F45" s="1015">
        <f>SUM(F46:F46)</f>
        <v>523597</v>
      </c>
      <c r="G45" s="1017">
        <f t="shared" ref="G45:G48" si="2">B45-D45-F45-E45</f>
        <v>0</v>
      </c>
    </row>
    <row r="46" spans="1:7" s="610" customFormat="1" ht="19.5" customHeight="1" thickBot="1" x14ac:dyDescent="0.25">
      <c r="A46" s="1173" t="s">
        <v>857</v>
      </c>
      <c r="B46" s="1179">
        <v>523597</v>
      </c>
      <c r="C46" s="1038" t="s">
        <v>966</v>
      </c>
      <c r="D46" s="1037"/>
      <c r="E46" s="1037"/>
      <c r="F46" s="1037">
        <v>523597</v>
      </c>
      <c r="G46" s="1178">
        <f t="shared" si="2"/>
        <v>0</v>
      </c>
    </row>
    <row r="47" spans="1:7" s="611" customFormat="1" ht="19.5" customHeight="1" thickBot="1" x14ac:dyDescent="0.25">
      <c r="A47" s="634" t="s">
        <v>662</v>
      </c>
      <c r="B47" s="1139">
        <f>B45+B40+B36+B34+B30</f>
        <v>39427838</v>
      </c>
      <c r="C47" s="692"/>
      <c r="D47" s="692">
        <f>D45+D40+D36+D34+D30</f>
        <v>0</v>
      </c>
      <c r="E47" s="692"/>
      <c r="F47" s="692">
        <f>F45+F40+F36+F34+F30</f>
        <v>39427838</v>
      </c>
      <c r="G47" s="1253">
        <f t="shared" si="2"/>
        <v>0</v>
      </c>
    </row>
    <row r="48" spans="1:7" s="611" customFormat="1" ht="19.5" customHeight="1" thickBot="1" x14ac:dyDescent="0.25">
      <c r="A48" s="634" t="s">
        <v>703</v>
      </c>
      <c r="B48" s="1139">
        <f>B47+B7</f>
        <v>1013854489</v>
      </c>
      <c r="C48" s="692"/>
      <c r="D48" s="692">
        <f>D47+D7</f>
        <v>221746213</v>
      </c>
      <c r="E48" s="692">
        <f>+E47+E7</f>
        <v>52563216</v>
      </c>
      <c r="F48" s="692">
        <f>F47+F7</f>
        <v>739545060</v>
      </c>
      <c r="G48" s="1253">
        <f t="shared" si="2"/>
        <v>0</v>
      </c>
    </row>
    <row r="49" spans="6:6" x14ac:dyDescent="0.2">
      <c r="F49" s="611">
        <f>'1. sz.mell. '!C121</f>
        <v>739545060</v>
      </c>
    </row>
    <row r="50" spans="6:6" x14ac:dyDescent="0.2">
      <c r="F50" s="611">
        <f>F48-F49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24"/>
  <sheetViews>
    <sheetView zoomScaleNormal="100" zoomScaleSheetLayoutView="115" workbookViewId="0">
      <selection activeCell="G10" sqref="G10"/>
    </sheetView>
  </sheetViews>
  <sheetFormatPr defaultRowHeight="12.75" x14ac:dyDescent="0.2"/>
  <cols>
    <col min="1" max="1" width="60.6640625" style="614" customWidth="1"/>
    <col min="2" max="2" width="15.6640625" style="615" customWidth="1"/>
    <col min="3" max="3" width="16.33203125" style="615" customWidth="1"/>
    <col min="4" max="5" width="18" style="615" customWidth="1"/>
    <col min="6" max="6" width="16.6640625" style="615" customWidth="1"/>
    <col min="7" max="7" width="18.83203125" style="615" customWidth="1"/>
    <col min="8" max="9" width="12.83203125" style="706" customWidth="1"/>
    <col min="10" max="10" width="13.83203125" style="706" customWidth="1"/>
    <col min="11" max="16384" width="9.33203125" style="706"/>
  </cols>
  <sheetData>
    <row r="1" spans="1:8" s="615" customFormat="1" ht="15.75" x14ac:dyDescent="0.2">
      <c r="A1" s="1420" t="str">
        <f>CONCATENATE("12. melléklet"," ",ALAPADATOK!A7," ",ALAPADATOK!B7," ",ALAPADATOK!C7," ",ALAPADATOK!D7," ",ALAPADATOK!E7," ",ALAPADATOK!F7," ",ALAPADATOK!G7," ",ALAPADATOK!H7)</f>
        <v>12. melléklet a .. / 2022. ( ……. ) önkormányzati rendelethez</v>
      </c>
      <c r="B1" s="1420"/>
      <c r="C1" s="1420"/>
      <c r="D1" s="1420"/>
      <c r="E1" s="1420"/>
      <c r="F1" s="1420"/>
      <c r="G1" s="1420"/>
    </row>
    <row r="3" spans="1:8" ht="24.75" customHeight="1" x14ac:dyDescent="0.2">
      <c r="A3" s="1421" t="s">
        <v>5</v>
      </c>
      <c r="B3" s="1421"/>
      <c r="C3" s="1421"/>
      <c r="D3" s="1421"/>
      <c r="E3" s="1421"/>
      <c r="F3" s="1421"/>
      <c r="G3" s="1421"/>
    </row>
    <row r="4" spans="1:8" ht="23.25" customHeight="1" thickBot="1" x14ac:dyDescent="0.3">
      <c r="B4" s="1125"/>
      <c r="C4" s="1125"/>
      <c r="D4" s="1125"/>
      <c r="E4" s="1125"/>
      <c r="F4" s="1125"/>
      <c r="G4" s="1120"/>
    </row>
    <row r="5" spans="1:8" s="606" customFormat="1" ht="48.75" customHeight="1" thickBot="1" x14ac:dyDescent="0.25">
      <c r="A5" s="635" t="s">
        <v>903</v>
      </c>
      <c r="B5" s="636" t="s">
        <v>60</v>
      </c>
      <c r="C5" s="636" t="s">
        <v>61</v>
      </c>
      <c r="D5" s="636" t="s">
        <v>967</v>
      </c>
      <c r="E5" s="421" t="s">
        <v>968</v>
      </c>
      <c r="F5" s="636" t="s">
        <v>959</v>
      </c>
      <c r="G5" s="637" t="s">
        <v>974</v>
      </c>
      <c r="H5" s="276"/>
    </row>
    <row r="6" spans="1:8" s="657" customFormat="1" ht="15" customHeight="1" thickBot="1" x14ac:dyDescent="0.25">
      <c r="A6" s="638">
        <v>1</v>
      </c>
      <c r="B6" s="639">
        <v>2</v>
      </c>
      <c r="C6" s="639">
        <v>3</v>
      </c>
      <c r="D6" s="639">
        <v>4</v>
      </c>
      <c r="E6" s="639">
        <v>5</v>
      </c>
      <c r="F6" s="639">
        <v>6</v>
      </c>
      <c r="G6" s="640">
        <v>7</v>
      </c>
    </row>
    <row r="7" spans="1:8" s="657" customFormat="1" ht="15" customHeight="1" thickBot="1" x14ac:dyDescent="0.25">
      <c r="A7" s="1269" t="s">
        <v>575</v>
      </c>
      <c r="B7" s="1266">
        <f>SUM(B8:B20)</f>
        <v>2069077274</v>
      </c>
      <c r="C7" s="1267"/>
      <c r="D7" s="1266">
        <f>SUM(D8:D20)</f>
        <v>69447155</v>
      </c>
      <c r="E7" s="1266">
        <f>SUM(E8:E20)</f>
        <v>65411522</v>
      </c>
      <c r="F7" s="1266">
        <f>SUM(F8:F20)</f>
        <v>1934218597</v>
      </c>
      <c r="G7" s="1266">
        <f>SUM(G8:G20)</f>
        <v>0</v>
      </c>
    </row>
    <row r="8" spans="1:8" s="610" customFormat="1" ht="15.95" customHeight="1" x14ac:dyDescent="0.2">
      <c r="A8" s="1271" t="s">
        <v>652</v>
      </c>
      <c r="B8" s="1268">
        <f>80112238+101702816+14410+27198151</f>
        <v>209027615</v>
      </c>
      <c r="C8" s="1254" t="s">
        <v>884</v>
      </c>
      <c r="D8" s="1255">
        <f>80000+18962079</f>
        <v>19042079</v>
      </c>
      <c r="E8" s="1255">
        <v>27198151</v>
      </c>
      <c r="F8" s="1255">
        <v>162787385</v>
      </c>
      <c r="G8" s="1256">
        <f>B8-D8-E8-F8</f>
        <v>0</v>
      </c>
    </row>
    <row r="9" spans="1:8" ht="15.95" customHeight="1" x14ac:dyDescent="0.2">
      <c r="A9" s="1271" t="s">
        <v>564</v>
      </c>
      <c r="B9" s="1268">
        <v>6350000</v>
      </c>
      <c r="C9" s="1254" t="s">
        <v>966</v>
      </c>
      <c r="D9" s="1255"/>
      <c r="E9" s="1255"/>
      <c r="F9" s="1255">
        <v>6350000</v>
      </c>
      <c r="G9" s="1256">
        <f t="shared" ref="G9:G20" si="0">B9-D9-E9-F9</f>
        <v>0</v>
      </c>
    </row>
    <row r="10" spans="1:8" s="314" customFormat="1" ht="15.95" customHeight="1" x14ac:dyDescent="0.2">
      <c r="A10" s="1271" t="s">
        <v>588</v>
      </c>
      <c r="B10" s="1268">
        <f>48292993+677185+322815+317500-202993-2424</f>
        <v>49405076</v>
      </c>
      <c r="C10" s="1254" t="s">
        <v>1034</v>
      </c>
      <c r="D10" s="1255">
        <f>36051833-1206500+14559743</f>
        <v>49405076</v>
      </c>
      <c r="E10" s="1255"/>
      <c r="F10" s="1255">
        <v>0</v>
      </c>
      <c r="G10" s="1256">
        <f t="shared" si="0"/>
        <v>0</v>
      </c>
    </row>
    <row r="11" spans="1:8" ht="15.95" customHeight="1" x14ac:dyDescent="0.2">
      <c r="A11" s="1207" t="s">
        <v>978</v>
      </c>
      <c r="B11" s="1268">
        <v>2794000</v>
      </c>
      <c r="C11" s="1254" t="s">
        <v>966</v>
      </c>
      <c r="D11" s="1255"/>
      <c r="E11" s="1255"/>
      <c r="F11" s="1255">
        <v>2794000</v>
      </c>
      <c r="G11" s="1256">
        <f t="shared" si="0"/>
        <v>0</v>
      </c>
    </row>
    <row r="12" spans="1:8" x14ac:dyDescent="0.2">
      <c r="A12" s="1164" t="s">
        <v>883</v>
      </c>
      <c r="B12" s="1268">
        <f>47940700-1062168-286785</f>
        <v>46591747</v>
      </c>
      <c r="C12" s="1254" t="s">
        <v>747</v>
      </c>
      <c r="D12" s="1255"/>
      <c r="E12" s="1255"/>
      <c r="F12" s="1255">
        <f>36786462+9805285</f>
        <v>46591747</v>
      </c>
      <c r="G12" s="1257">
        <f t="shared" si="0"/>
        <v>0</v>
      </c>
    </row>
    <row r="13" spans="1:8" x14ac:dyDescent="0.2">
      <c r="A13" s="1272" t="s">
        <v>742</v>
      </c>
      <c r="B13" s="1268">
        <f>5627218+3175000</f>
        <v>8802218</v>
      </c>
      <c r="C13" s="1254" t="s">
        <v>842</v>
      </c>
      <c r="D13" s="1255"/>
      <c r="E13" s="1255"/>
      <c r="F13" s="1255">
        <v>8802218</v>
      </c>
      <c r="G13" s="1257">
        <f t="shared" si="0"/>
        <v>0</v>
      </c>
    </row>
    <row r="14" spans="1:8" s="1260" customFormat="1" x14ac:dyDescent="0.2">
      <c r="A14" s="1272" t="s">
        <v>977</v>
      </c>
      <c r="B14" s="1268">
        <v>40987313</v>
      </c>
      <c r="C14" s="1254" t="s">
        <v>747</v>
      </c>
      <c r="D14" s="1255"/>
      <c r="E14" s="1255"/>
      <c r="F14" s="1255">
        <v>40987313</v>
      </c>
      <c r="G14" s="1257">
        <f t="shared" si="0"/>
        <v>0</v>
      </c>
    </row>
    <row r="15" spans="1:8" ht="25.5" x14ac:dyDescent="0.2">
      <c r="A15" s="1272" t="s">
        <v>879</v>
      </c>
      <c r="B15" s="1268">
        <f>586618264+158386931-1937394-523096</f>
        <v>742544705</v>
      </c>
      <c r="C15" s="1254" t="s">
        <v>747</v>
      </c>
      <c r="D15" s="1255"/>
      <c r="E15" s="1255"/>
      <c r="F15" s="1255">
        <f>586618264+158386931-1937394-523096</f>
        <v>742544705</v>
      </c>
      <c r="G15" s="1257">
        <f t="shared" si="0"/>
        <v>0</v>
      </c>
    </row>
    <row r="16" spans="1:8" ht="25.5" x14ac:dyDescent="0.2">
      <c r="A16" s="1272" t="s">
        <v>880</v>
      </c>
      <c r="B16" s="1268">
        <f>189589237</f>
        <v>189589237</v>
      </c>
      <c r="C16" s="1254" t="s">
        <v>747</v>
      </c>
      <c r="D16" s="1255"/>
      <c r="E16" s="1255">
        <f>39317017-1103646</f>
        <v>38213371</v>
      </c>
      <c r="F16" s="1255">
        <f>153782518+1673065-4081388+1671</f>
        <v>151375866</v>
      </c>
      <c r="G16" s="1257">
        <f t="shared" si="0"/>
        <v>0</v>
      </c>
    </row>
    <row r="17" spans="1:7" ht="25.5" x14ac:dyDescent="0.2">
      <c r="A17" s="1272" t="s">
        <v>881</v>
      </c>
      <c r="B17" s="1268">
        <v>50000000</v>
      </c>
      <c r="C17" s="1254" t="s">
        <v>747</v>
      </c>
      <c r="D17" s="1255">
        <v>1000000</v>
      </c>
      <c r="E17" s="1255"/>
      <c r="F17" s="1255">
        <v>49000000</v>
      </c>
      <c r="G17" s="1257">
        <f t="shared" si="0"/>
        <v>0</v>
      </c>
    </row>
    <row r="18" spans="1:7" ht="25.5" x14ac:dyDescent="0.2">
      <c r="A18" s="1272" t="s">
        <v>882</v>
      </c>
      <c r="B18" s="1268">
        <f>200000000-3871338-260000-1056062-40000-3788820-491783</f>
        <v>190491997</v>
      </c>
      <c r="C18" s="1254" t="s">
        <v>747</v>
      </c>
      <c r="D18" s="1255"/>
      <c r="E18" s="1255"/>
      <c r="F18" s="1255">
        <f>153782518+40990082-3788820-491783</f>
        <v>190491997</v>
      </c>
      <c r="G18" s="1257">
        <f t="shared" si="0"/>
        <v>0</v>
      </c>
    </row>
    <row r="19" spans="1:7" x14ac:dyDescent="0.2">
      <c r="A19" s="1272" t="s">
        <v>946</v>
      </c>
      <c r="B19" s="1268">
        <v>295820280</v>
      </c>
      <c r="C19" s="1254" t="s">
        <v>944</v>
      </c>
      <c r="D19" s="1255"/>
      <c r="E19" s="1255"/>
      <c r="F19" s="1255">
        <v>295820280</v>
      </c>
      <c r="G19" s="1257">
        <f>B19-D19-E19-F19</f>
        <v>0</v>
      </c>
    </row>
    <row r="20" spans="1:7" ht="26.25" thickBot="1" x14ac:dyDescent="0.25">
      <c r="A20" s="1208" t="s">
        <v>971</v>
      </c>
      <c r="B20" s="1261">
        <v>236673086</v>
      </c>
      <c r="C20" s="1258" t="s">
        <v>972</v>
      </c>
      <c r="D20" s="1259"/>
      <c r="E20" s="1259"/>
      <c r="F20" s="1259">
        <v>236673086</v>
      </c>
      <c r="G20" s="1257">
        <f t="shared" si="0"/>
        <v>0</v>
      </c>
    </row>
    <row r="21" spans="1:7" s="1260" customFormat="1" ht="13.5" thickBot="1" x14ac:dyDescent="0.25">
      <c r="A21" s="1269" t="s">
        <v>699</v>
      </c>
      <c r="B21" s="1266">
        <f>SUM(B22:B22)</f>
        <v>596900</v>
      </c>
      <c r="C21" s="1267"/>
      <c r="D21" s="1266">
        <f>SUM(D22:D22)</f>
        <v>0</v>
      </c>
      <c r="E21" s="1266"/>
      <c r="F21" s="1266">
        <f>SUM(F22:F22)</f>
        <v>596900</v>
      </c>
      <c r="G21" s="1253">
        <f t="shared" ref="G21:G22" si="1">B21-D21-F21-E21</f>
        <v>0</v>
      </c>
    </row>
    <row r="22" spans="1:7" s="1260" customFormat="1" ht="13.5" thickBot="1" x14ac:dyDescent="0.25">
      <c r="A22" s="1270" t="s">
        <v>979</v>
      </c>
      <c r="B22" s="1262">
        <v>596900</v>
      </c>
      <c r="C22" s="1263" t="s">
        <v>966</v>
      </c>
      <c r="D22" s="1264"/>
      <c r="E22" s="1264"/>
      <c r="F22" s="1264">
        <v>596900</v>
      </c>
      <c r="G22" s="1265">
        <f t="shared" si="1"/>
        <v>0</v>
      </c>
    </row>
    <row r="23" spans="1:7" ht="13.5" thickBot="1" x14ac:dyDescent="0.25">
      <c r="A23" s="607" t="s">
        <v>59</v>
      </c>
      <c r="B23" s="608">
        <f>B7+B21</f>
        <v>2069674174</v>
      </c>
      <c r="C23" s="608"/>
      <c r="D23" s="1252">
        <f>D7+D21</f>
        <v>69447155</v>
      </c>
      <c r="E23" s="1252">
        <f>E7+E21</f>
        <v>65411522</v>
      </c>
      <c r="F23" s="1252">
        <f>F7+F21</f>
        <v>1934815497</v>
      </c>
      <c r="G23" s="609">
        <v>0</v>
      </c>
    </row>
    <row r="24" spans="1:7" x14ac:dyDescent="0.2">
      <c r="F24" s="615">
        <f>'1. sz.mell. '!C123</f>
        <v>1934815497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zoomScale="120" zoomScaleNormal="120" workbookViewId="0">
      <selection activeCell="G13" sqref="G13"/>
    </sheetView>
  </sheetViews>
  <sheetFormatPr defaultRowHeight="12.75" x14ac:dyDescent="0.2"/>
  <cols>
    <col min="1" max="1" width="38.6640625" style="1273" customWidth="1"/>
    <col min="2" max="4" width="24.83203125" style="1273" customWidth="1"/>
    <col min="5" max="5" width="26.83203125" style="1273" customWidth="1"/>
    <col min="6" max="6" width="9.33203125" style="1273"/>
    <col min="7" max="7" width="12.6640625" style="1273" customWidth="1"/>
    <col min="8" max="8" width="16.33203125" style="1273" customWidth="1"/>
    <col min="9" max="9" width="15.1640625" style="1273" bestFit="1" customWidth="1"/>
    <col min="10" max="10" width="17.83203125" style="1273" customWidth="1"/>
    <col min="11" max="11" width="14" style="1273" bestFit="1" customWidth="1"/>
    <col min="12" max="255" width="9.33203125" style="1273"/>
    <col min="256" max="256" width="38.6640625" style="1273" customWidth="1"/>
    <col min="257" max="259" width="24.83203125" style="1273" customWidth="1"/>
    <col min="260" max="260" width="26.83203125" style="1273" customWidth="1"/>
    <col min="261" max="261" width="5" style="1273" bestFit="1" customWidth="1"/>
    <col min="262" max="511" width="9.33203125" style="1273"/>
    <col min="512" max="512" width="38.6640625" style="1273" customWidth="1"/>
    <col min="513" max="515" width="24.83203125" style="1273" customWidth="1"/>
    <col min="516" max="516" width="26.83203125" style="1273" customWidth="1"/>
    <col min="517" max="517" width="5" style="1273" bestFit="1" customWidth="1"/>
    <col min="518" max="767" width="9.33203125" style="1273"/>
    <col min="768" max="768" width="38.6640625" style="1273" customWidth="1"/>
    <col min="769" max="771" width="24.83203125" style="1273" customWidth="1"/>
    <col min="772" max="772" width="26.83203125" style="1273" customWidth="1"/>
    <col min="773" max="773" width="5" style="1273" bestFit="1" customWidth="1"/>
    <col min="774" max="1023" width="9.33203125" style="1273"/>
    <col min="1024" max="1024" width="38.6640625" style="1273" customWidth="1"/>
    <col min="1025" max="1027" width="24.83203125" style="1273" customWidth="1"/>
    <col min="1028" max="1028" width="26.83203125" style="1273" customWidth="1"/>
    <col min="1029" max="1029" width="5" style="1273" bestFit="1" customWidth="1"/>
    <col min="1030" max="1279" width="9.33203125" style="1273"/>
    <col min="1280" max="1280" width="38.6640625" style="1273" customWidth="1"/>
    <col min="1281" max="1283" width="24.83203125" style="1273" customWidth="1"/>
    <col min="1284" max="1284" width="26.83203125" style="1273" customWidth="1"/>
    <col min="1285" max="1285" width="5" style="1273" bestFit="1" customWidth="1"/>
    <col min="1286" max="1535" width="9.33203125" style="1273"/>
    <col min="1536" max="1536" width="38.6640625" style="1273" customWidth="1"/>
    <col min="1537" max="1539" width="24.83203125" style="1273" customWidth="1"/>
    <col min="1540" max="1540" width="26.83203125" style="1273" customWidth="1"/>
    <col min="1541" max="1541" width="5" style="1273" bestFit="1" customWidth="1"/>
    <col min="1542" max="1791" width="9.33203125" style="1273"/>
    <col min="1792" max="1792" width="38.6640625" style="1273" customWidth="1"/>
    <col min="1793" max="1795" width="24.83203125" style="1273" customWidth="1"/>
    <col min="1796" max="1796" width="26.83203125" style="1273" customWidth="1"/>
    <col min="1797" max="1797" width="5" style="1273" bestFit="1" customWidth="1"/>
    <col min="1798" max="2047" width="9.33203125" style="1273"/>
    <col min="2048" max="2048" width="38.6640625" style="1273" customWidth="1"/>
    <col min="2049" max="2051" width="24.83203125" style="1273" customWidth="1"/>
    <col min="2052" max="2052" width="26.83203125" style="1273" customWidth="1"/>
    <col min="2053" max="2053" width="5" style="1273" bestFit="1" customWidth="1"/>
    <col min="2054" max="2303" width="9.33203125" style="1273"/>
    <col min="2304" max="2304" width="38.6640625" style="1273" customWidth="1"/>
    <col min="2305" max="2307" width="24.83203125" style="1273" customWidth="1"/>
    <col min="2308" max="2308" width="26.83203125" style="1273" customWidth="1"/>
    <col min="2309" max="2309" width="5" style="1273" bestFit="1" customWidth="1"/>
    <col min="2310" max="2559" width="9.33203125" style="1273"/>
    <col min="2560" max="2560" width="38.6640625" style="1273" customWidth="1"/>
    <col min="2561" max="2563" width="24.83203125" style="1273" customWidth="1"/>
    <col min="2564" max="2564" width="26.83203125" style="1273" customWidth="1"/>
    <col min="2565" max="2565" width="5" style="1273" bestFit="1" customWidth="1"/>
    <col min="2566" max="2815" width="9.33203125" style="1273"/>
    <col min="2816" max="2816" width="38.6640625" style="1273" customWidth="1"/>
    <col min="2817" max="2819" width="24.83203125" style="1273" customWidth="1"/>
    <col min="2820" max="2820" width="26.83203125" style="1273" customWidth="1"/>
    <col min="2821" max="2821" width="5" style="1273" bestFit="1" customWidth="1"/>
    <col min="2822" max="3071" width="9.33203125" style="1273"/>
    <col min="3072" max="3072" width="38.6640625" style="1273" customWidth="1"/>
    <col min="3073" max="3075" width="24.83203125" style="1273" customWidth="1"/>
    <col min="3076" max="3076" width="26.83203125" style="1273" customWidth="1"/>
    <col min="3077" max="3077" width="5" style="1273" bestFit="1" customWidth="1"/>
    <col min="3078" max="3327" width="9.33203125" style="1273"/>
    <col min="3328" max="3328" width="38.6640625" style="1273" customWidth="1"/>
    <col min="3329" max="3331" width="24.83203125" style="1273" customWidth="1"/>
    <col min="3332" max="3332" width="26.83203125" style="1273" customWidth="1"/>
    <col min="3333" max="3333" width="5" style="1273" bestFit="1" customWidth="1"/>
    <col min="3334" max="3583" width="9.33203125" style="1273"/>
    <col min="3584" max="3584" width="38.6640625" style="1273" customWidth="1"/>
    <col min="3585" max="3587" width="24.83203125" style="1273" customWidth="1"/>
    <col min="3588" max="3588" width="26.83203125" style="1273" customWidth="1"/>
    <col min="3589" max="3589" width="5" style="1273" bestFit="1" customWidth="1"/>
    <col min="3590" max="3839" width="9.33203125" style="1273"/>
    <col min="3840" max="3840" width="38.6640625" style="1273" customWidth="1"/>
    <col min="3841" max="3843" width="24.83203125" style="1273" customWidth="1"/>
    <col min="3844" max="3844" width="26.83203125" style="1273" customWidth="1"/>
    <col min="3845" max="3845" width="5" style="1273" bestFit="1" customWidth="1"/>
    <col min="3846" max="4095" width="9.33203125" style="1273"/>
    <col min="4096" max="4096" width="38.6640625" style="1273" customWidth="1"/>
    <col min="4097" max="4099" width="24.83203125" style="1273" customWidth="1"/>
    <col min="4100" max="4100" width="26.83203125" style="1273" customWidth="1"/>
    <col min="4101" max="4101" width="5" style="1273" bestFit="1" customWidth="1"/>
    <col min="4102" max="4351" width="9.33203125" style="1273"/>
    <col min="4352" max="4352" width="38.6640625" style="1273" customWidth="1"/>
    <col min="4353" max="4355" width="24.83203125" style="1273" customWidth="1"/>
    <col min="4356" max="4356" width="26.83203125" style="1273" customWidth="1"/>
    <col min="4357" max="4357" width="5" style="1273" bestFit="1" customWidth="1"/>
    <col min="4358" max="4607" width="9.33203125" style="1273"/>
    <col min="4608" max="4608" width="38.6640625" style="1273" customWidth="1"/>
    <col min="4609" max="4611" width="24.83203125" style="1273" customWidth="1"/>
    <col min="4612" max="4612" width="26.83203125" style="1273" customWidth="1"/>
    <col min="4613" max="4613" width="5" style="1273" bestFit="1" customWidth="1"/>
    <col min="4614" max="4863" width="9.33203125" style="1273"/>
    <col min="4864" max="4864" width="38.6640625" style="1273" customWidth="1"/>
    <col min="4865" max="4867" width="24.83203125" style="1273" customWidth="1"/>
    <col min="4868" max="4868" width="26.83203125" style="1273" customWidth="1"/>
    <col min="4869" max="4869" width="5" style="1273" bestFit="1" customWidth="1"/>
    <col min="4870" max="5119" width="9.33203125" style="1273"/>
    <col min="5120" max="5120" width="38.6640625" style="1273" customWidth="1"/>
    <col min="5121" max="5123" width="24.83203125" style="1273" customWidth="1"/>
    <col min="5124" max="5124" width="26.83203125" style="1273" customWidth="1"/>
    <col min="5125" max="5125" width="5" style="1273" bestFit="1" customWidth="1"/>
    <col min="5126" max="5375" width="9.33203125" style="1273"/>
    <col min="5376" max="5376" width="38.6640625" style="1273" customWidth="1"/>
    <col min="5377" max="5379" width="24.83203125" style="1273" customWidth="1"/>
    <col min="5380" max="5380" width="26.83203125" style="1273" customWidth="1"/>
    <col min="5381" max="5381" width="5" style="1273" bestFit="1" customWidth="1"/>
    <col min="5382" max="5631" width="9.33203125" style="1273"/>
    <col min="5632" max="5632" width="38.6640625" style="1273" customWidth="1"/>
    <col min="5633" max="5635" width="24.83203125" style="1273" customWidth="1"/>
    <col min="5636" max="5636" width="26.83203125" style="1273" customWidth="1"/>
    <col min="5637" max="5637" width="5" style="1273" bestFit="1" customWidth="1"/>
    <col min="5638" max="5887" width="9.33203125" style="1273"/>
    <col min="5888" max="5888" width="38.6640625" style="1273" customWidth="1"/>
    <col min="5889" max="5891" width="24.83203125" style="1273" customWidth="1"/>
    <col min="5892" max="5892" width="26.83203125" style="1273" customWidth="1"/>
    <col min="5893" max="5893" width="5" style="1273" bestFit="1" customWidth="1"/>
    <col min="5894" max="6143" width="9.33203125" style="1273"/>
    <col min="6144" max="6144" width="38.6640625" style="1273" customWidth="1"/>
    <col min="6145" max="6147" width="24.83203125" style="1273" customWidth="1"/>
    <col min="6148" max="6148" width="26.83203125" style="1273" customWidth="1"/>
    <col min="6149" max="6149" width="5" style="1273" bestFit="1" customWidth="1"/>
    <col min="6150" max="6399" width="9.33203125" style="1273"/>
    <col min="6400" max="6400" width="38.6640625" style="1273" customWidth="1"/>
    <col min="6401" max="6403" width="24.83203125" style="1273" customWidth="1"/>
    <col min="6404" max="6404" width="26.83203125" style="1273" customWidth="1"/>
    <col min="6405" max="6405" width="5" style="1273" bestFit="1" customWidth="1"/>
    <col min="6406" max="6655" width="9.33203125" style="1273"/>
    <col min="6656" max="6656" width="38.6640625" style="1273" customWidth="1"/>
    <col min="6657" max="6659" width="24.83203125" style="1273" customWidth="1"/>
    <col min="6660" max="6660" width="26.83203125" style="1273" customWidth="1"/>
    <col min="6661" max="6661" width="5" style="1273" bestFit="1" customWidth="1"/>
    <col min="6662" max="6911" width="9.33203125" style="1273"/>
    <col min="6912" max="6912" width="38.6640625" style="1273" customWidth="1"/>
    <col min="6913" max="6915" width="24.83203125" style="1273" customWidth="1"/>
    <col min="6916" max="6916" width="26.83203125" style="1273" customWidth="1"/>
    <col min="6917" max="6917" width="5" style="1273" bestFit="1" customWidth="1"/>
    <col min="6918" max="7167" width="9.33203125" style="1273"/>
    <col min="7168" max="7168" width="38.6640625" style="1273" customWidth="1"/>
    <col min="7169" max="7171" width="24.83203125" style="1273" customWidth="1"/>
    <col min="7172" max="7172" width="26.83203125" style="1273" customWidth="1"/>
    <col min="7173" max="7173" width="5" style="1273" bestFit="1" customWidth="1"/>
    <col min="7174" max="7423" width="9.33203125" style="1273"/>
    <col min="7424" max="7424" width="38.6640625" style="1273" customWidth="1"/>
    <col min="7425" max="7427" width="24.83203125" style="1273" customWidth="1"/>
    <col min="7428" max="7428" width="26.83203125" style="1273" customWidth="1"/>
    <col min="7429" max="7429" width="5" style="1273" bestFit="1" customWidth="1"/>
    <col min="7430" max="7679" width="9.33203125" style="1273"/>
    <col min="7680" max="7680" width="38.6640625" style="1273" customWidth="1"/>
    <col min="7681" max="7683" width="24.83203125" style="1273" customWidth="1"/>
    <col min="7684" max="7684" width="26.83203125" style="1273" customWidth="1"/>
    <col min="7685" max="7685" width="5" style="1273" bestFit="1" customWidth="1"/>
    <col min="7686" max="7935" width="9.33203125" style="1273"/>
    <col min="7936" max="7936" width="38.6640625" style="1273" customWidth="1"/>
    <col min="7937" max="7939" width="24.83203125" style="1273" customWidth="1"/>
    <col min="7940" max="7940" width="26.83203125" style="1273" customWidth="1"/>
    <col min="7941" max="7941" width="5" style="1273" bestFit="1" customWidth="1"/>
    <col min="7942" max="8191" width="9.33203125" style="1273"/>
    <col min="8192" max="8192" width="38.6640625" style="1273" customWidth="1"/>
    <col min="8193" max="8195" width="24.83203125" style="1273" customWidth="1"/>
    <col min="8196" max="8196" width="26.83203125" style="1273" customWidth="1"/>
    <col min="8197" max="8197" width="5" style="1273" bestFit="1" customWidth="1"/>
    <col min="8198" max="8447" width="9.33203125" style="1273"/>
    <col min="8448" max="8448" width="38.6640625" style="1273" customWidth="1"/>
    <col min="8449" max="8451" width="24.83203125" style="1273" customWidth="1"/>
    <col min="8452" max="8452" width="26.83203125" style="1273" customWidth="1"/>
    <col min="8453" max="8453" width="5" style="1273" bestFit="1" customWidth="1"/>
    <col min="8454" max="8703" width="9.33203125" style="1273"/>
    <col min="8704" max="8704" width="38.6640625" style="1273" customWidth="1"/>
    <col min="8705" max="8707" width="24.83203125" style="1273" customWidth="1"/>
    <col min="8708" max="8708" width="26.83203125" style="1273" customWidth="1"/>
    <col min="8709" max="8709" width="5" style="1273" bestFit="1" customWidth="1"/>
    <col min="8710" max="8959" width="9.33203125" style="1273"/>
    <col min="8960" max="8960" width="38.6640625" style="1273" customWidth="1"/>
    <col min="8961" max="8963" width="24.83203125" style="1273" customWidth="1"/>
    <col min="8964" max="8964" width="26.83203125" style="1273" customWidth="1"/>
    <col min="8965" max="8965" width="5" style="1273" bestFit="1" customWidth="1"/>
    <col min="8966" max="9215" width="9.33203125" style="1273"/>
    <col min="9216" max="9216" width="38.6640625" style="1273" customWidth="1"/>
    <col min="9217" max="9219" width="24.83203125" style="1273" customWidth="1"/>
    <col min="9220" max="9220" width="26.83203125" style="1273" customWidth="1"/>
    <col min="9221" max="9221" width="5" style="1273" bestFit="1" customWidth="1"/>
    <col min="9222" max="9471" width="9.33203125" style="1273"/>
    <col min="9472" max="9472" width="38.6640625" style="1273" customWidth="1"/>
    <col min="9473" max="9475" width="24.83203125" style="1273" customWidth="1"/>
    <col min="9476" max="9476" width="26.83203125" style="1273" customWidth="1"/>
    <col min="9477" max="9477" width="5" style="1273" bestFit="1" customWidth="1"/>
    <col min="9478" max="9727" width="9.33203125" style="1273"/>
    <col min="9728" max="9728" width="38.6640625" style="1273" customWidth="1"/>
    <col min="9729" max="9731" width="24.83203125" style="1273" customWidth="1"/>
    <col min="9732" max="9732" width="26.83203125" style="1273" customWidth="1"/>
    <col min="9733" max="9733" width="5" style="1273" bestFit="1" customWidth="1"/>
    <col min="9734" max="9983" width="9.33203125" style="1273"/>
    <col min="9984" max="9984" width="38.6640625" style="1273" customWidth="1"/>
    <col min="9985" max="9987" width="24.83203125" style="1273" customWidth="1"/>
    <col min="9988" max="9988" width="26.83203125" style="1273" customWidth="1"/>
    <col min="9989" max="9989" width="5" style="1273" bestFit="1" customWidth="1"/>
    <col min="9990" max="10239" width="9.33203125" style="1273"/>
    <col min="10240" max="10240" width="38.6640625" style="1273" customWidth="1"/>
    <col min="10241" max="10243" width="24.83203125" style="1273" customWidth="1"/>
    <col min="10244" max="10244" width="26.83203125" style="1273" customWidth="1"/>
    <col min="10245" max="10245" width="5" style="1273" bestFit="1" customWidth="1"/>
    <col min="10246" max="10495" width="9.33203125" style="1273"/>
    <col min="10496" max="10496" width="38.6640625" style="1273" customWidth="1"/>
    <col min="10497" max="10499" width="24.83203125" style="1273" customWidth="1"/>
    <col min="10500" max="10500" width="26.83203125" style="1273" customWidth="1"/>
    <col min="10501" max="10501" width="5" style="1273" bestFit="1" customWidth="1"/>
    <col min="10502" max="10751" width="9.33203125" style="1273"/>
    <col min="10752" max="10752" width="38.6640625" style="1273" customWidth="1"/>
    <col min="10753" max="10755" width="24.83203125" style="1273" customWidth="1"/>
    <col min="10756" max="10756" width="26.83203125" style="1273" customWidth="1"/>
    <col min="10757" max="10757" width="5" style="1273" bestFit="1" customWidth="1"/>
    <col min="10758" max="11007" width="9.33203125" style="1273"/>
    <col min="11008" max="11008" width="38.6640625" style="1273" customWidth="1"/>
    <col min="11009" max="11011" width="24.83203125" style="1273" customWidth="1"/>
    <col min="11012" max="11012" width="26.83203125" style="1273" customWidth="1"/>
    <col min="11013" max="11013" width="5" style="1273" bestFit="1" customWidth="1"/>
    <col min="11014" max="11263" width="9.33203125" style="1273"/>
    <col min="11264" max="11264" width="38.6640625" style="1273" customWidth="1"/>
    <col min="11265" max="11267" width="24.83203125" style="1273" customWidth="1"/>
    <col min="11268" max="11268" width="26.83203125" style="1273" customWidth="1"/>
    <col min="11269" max="11269" width="5" style="1273" bestFit="1" customWidth="1"/>
    <col min="11270" max="11519" width="9.33203125" style="1273"/>
    <col min="11520" max="11520" width="38.6640625" style="1273" customWidth="1"/>
    <col min="11521" max="11523" width="24.83203125" style="1273" customWidth="1"/>
    <col min="11524" max="11524" width="26.83203125" style="1273" customWidth="1"/>
    <col min="11525" max="11525" width="5" style="1273" bestFit="1" customWidth="1"/>
    <col min="11526" max="11775" width="9.33203125" style="1273"/>
    <col min="11776" max="11776" width="38.6640625" style="1273" customWidth="1"/>
    <col min="11777" max="11779" width="24.83203125" style="1273" customWidth="1"/>
    <col min="11780" max="11780" width="26.83203125" style="1273" customWidth="1"/>
    <col min="11781" max="11781" width="5" style="1273" bestFit="1" customWidth="1"/>
    <col min="11782" max="12031" width="9.33203125" style="1273"/>
    <col min="12032" max="12032" width="38.6640625" style="1273" customWidth="1"/>
    <col min="12033" max="12035" width="24.83203125" style="1273" customWidth="1"/>
    <col min="12036" max="12036" width="26.83203125" style="1273" customWidth="1"/>
    <col min="12037" max="12037" width="5" style="1273" bestFit="1" customWidth="1"/>
    <col min="12038" max="12287" width="9.33203125" style="1273"/>
    <col min="12288" max="12288" width="38.6640625" style="1273" customWidth="1"/>
    <col min="12289" max="12291" width="24.83203125" style="1273" customWidth="1"/>
    <col min="12292" max="12292" width="26.83203125" style="1273" customWidth="1"/>
    <col min="12293" max="12293" width="5" style="1273" bestFit="1" customWidth="1"/>
    <col min="12294" max="12543" width="9.33203125" style="1273"/>
    <col min="12544" max="12544" width="38.6640625" style="1273" customWidth="1"/>
    <col min="12545" max="12547" width="24.83203125" style="1273" customWidth="1"/>
    <col min="12548" max="12548" width="26.83203125" style="1273" customWidth="1"/>
    <col min="12549" max="12549" width="5" style="1273" bestFit="1" customWidth="1"/>
    <col min="12550" max="12799" width="9.33203125" style="1273"/>
    <col min="12800" max="12800" width="38.6640625" style="1273" customWidth="1"/>
    <col min="12801" max="12803" width="24.83203125" style="1273" customWidth="1"/>
    <col min="12804" max="12804" width="26.83203125" style="1273" customWidth="1"/>
    <col min="12805" max="12805" width="5" style="1273" bestFit="1" customWidth="1"/>
    <col min="12806" max="13055" width="9.33203125" style="1273"/>
    <col min="13056" max="13056" width="38.6640625" style="1273" customWidth="1"/>
    <col min="13057" max="13059" width="24.83203125" style="1273" customWidth="1"/>
    <col min="13060" max="13060" width="26.83203125" style="1273" customWidth="1"/>
    <col min="13061" max="13061" width="5" style="1273" bestFit="1" customWidth="1"/>
    <col min="13062" max="13311" width="9.33203125" style="1273"/>
    <col min="13312" max="13312" width="38.6640625" style="1273" customWidth="1"/>
    <col min="13313" max="13315" width="24.83203125" style="1273" customWidth="1"/>
    <col min="13316" max="13316" width="26.83203125" style="1273" customWidth="1"/>
    <col min="13317" max="13317" width="5" style="1273" bestFit="1" customWidth="1"/>
    <col min="13318" max="13567" width="9.33203125" style="1273"/>
    <col min="13568" max="13568" width="38.6640625" style="1273" customWidth="1"/>
    <col min="13569" max="13571" width="24.83203125" style="1273" customWidth="1"/>
    <col min="13572" max="13572" width="26.83203125" style="1273" customWidth="1"/>
    <col min="13573" max="13573" width="5" style="1273" bestFit="1" customWidth="1"/>
    <col min="13574" max="13823" width="9.33203125" style="1273"/>
    <col min="13824" max="13824" width="38.6640625" style="1273" customWidth="1"/>
    <col min="13825" max="13827" width="24.83203125" style="1273" customWidth="1"/>
    <col min="13828" max="13828" width="26.83203125" style="1273" customWidth="1"/>
    <col min="13829" max="13829" width="5" style="1273" bestFit="1" customWidth="1"/>
    <col min="13830" max="14079" width="9.33203125" style="1273"/>
    <col min="14080" max="14080" width="38.6640625" style="1273" customWidth="1"/>
    <col min="14081" max="14083" width="24.83203125" style="1273" customWidth="1"/>
    <col min="14084" max="14084" width="26.83203125" style="1273" customWidth="1"/>
    <col min="14085" max="14085" width="5" style="1273" bestFit="1" customWidth="1"/>
    <col min="14086" max="14335" width="9.33203125" style="1273"/>
    <col min="14336" max="14336" width="38.6640625" style="1273" customWidth="1"/>
    <col min="14337" max="14339" width="24.83203125" style="1273" customWidth="1"/>
    <col min="14340" max="14340" width="26.83203125" style="1273" customWidth="1"/>
    <col min="14341" max="14341" width="5" style="1273" bestFit="1" customWidth="1"/>
    <col min="14342" max="14591" width="9.33203125" style="1273"/>
    <col min="14592" max="14592" width="38.6640625" style="1273" customWidth="1"/>
    <col min="14593" max="14595" width="24.83203125" style="1273" customWidth="1"/>
    <col min="14596" max="14596" width="26.83203125" style="1273" customWidth="1"/>
    <col min="14597" max="14597" width="5" style="1273" bestFit="1" customWidth="1"/>
    <col min="14598" max="14847" width="9.33203125" style="1273"/>
    <col min="14848" max="14848" width="38.6640625" style="1273" customWidth="1"/>
    <col min="14849" max="14851" width="24.83203125" style="1273" customWidth="1"/>
    <col min="14852" max="14852" width="26.83203125" style="1273" customWidth="1"/>
    <col min="14853" max="14853" width="5" style="1273" bestFit="1" customWidth="1"/>
    <col min="14854" max="15103" width="9.33203125" style="1273"/>
    <col min="15104" max="15104" width="38.6640625" style="1273" customWidth="1"/>
    <col min="15105" max="15107" width="24.83203125" style="1273" customWidth="1"/>
    <col min="15108" max="15108" width="26.83203125" style="1273" customWidth="1"/>
    <col min="15109" max="15109" width="5" style="1273" bestFit="1" customWidth="1"/>
    <col min="15110" max="15359" width="9.33203125" style="1273"/>
    <col min="15360" max="15360" width="38.6640625" style="1273" customWidth="1"/>
    <col min="15361" max="15363" width="24.83203125" style="1273" customWidth="1"/>
    <col min="15364" max="15364" width="26.83203125" style="1273" customWidth="1"/>
    <col min="15365" max="15365" width="5" style="1273" bestFit="1" customWidth="1"/>
    <col min="15366" max="15615" width="9.33203125" style="1273"/>
    <col min="15616" max="15616" width="38.6640625" style="1273" customWidth="1"/>
    <col min="15617" max="15619" width="24.83203125" style="1273" customWidth="1"/>
    <col min="15620" max="15620" width="26.83203125" style="1273" customWidth="1"/>
    <col min="15621" max="15621" width="5" style="1273" bestFit="1" customWidth="1"/>
    <col min="15622" max="15871" width="9.33203125" style="1273"/>
    <col min="15872" max="15872" width="38.6640625" style="1273" customWidth="1"/>
    <col min="15873" max="15875" width="24.83203125" style="1273" customWidth="1"/>
    <col min="15876" max="15876" width="26.83203125" style="1273" customWidth="1"/>
    <col min="15877" max="15877" width="5" style="1273" bestFit="1" customWidth="1"/>
    <col min="15878" max="16127" width="9.33203125" style="1273"/>
    <col min="16128" max="16128" width="38.6640625" style="1273" customWidth="1"/>
    <col min="16129" max="16131" width="24.83203125" style="1273" customWidth="1"/>
    <col min="16132" max="16132" width="26.83203125" style="1273" customWidth="1"/>
    <col min="16133" max="16133" width="5" style="1273" bestFit="1" customWidth="1"/>
    <col min="16134" max="16384" width="9.33203125" style="1273"/>
  </cols>
  <sheetData>
    <row r="1" spans="1:5" x14ac:dyDescent="0.2">
      <c r="A1" s="1442" t="str">
        <f>CONCATENATE("13. melléklet"," ",ALAPADATOK!A7," ",ALAPADATOK!B7," ",ALAPADATOK!C7," ",ALAPADATOK!D7," ",ALAPADATOK!E7," ",ALAPADATOK!F7," ",ALAPADATOK!G7," ",ALAPADATOK!H7)</f>
        <v>13. melléklet a .. / 2022. ( ……. ) önkormányzati rendelethez</v>
      </c>
      <c r="B1" s="1442"/>
      <c r="C1" s="1442"/>
      <c r="D1" s="1442"/>
      <c r="E1" s="1442"/>
    </row>
    <row r="2" spans="1:5" ht="15.75" customHeight="1" x14ac:dyDescent="0.2">
      <c r="A2" s="1422" t="s">
        <v>980</v>
      </c>
      <c r="B2" s="1422"/>
      <c r="C2" s="1422"/>
      <c r="D2" s="1422"/>
      <c r="E2" s="1422"/>
    </row>
    <row r="3" spans="1:5" ht="15.75" x14ac:dyDescent="0.2">
      <c r="A3" s="1423"/>
      <c r="B3" s="1422"/>
      <c r="C3" s="1422"/>
      <c r="D3" s="1422"/>
      <c r="E3" s="1422"/>
    </row>
    <row r="4" spans="1:5" ht="31.5" customHeight="1" x14ac:dyDescent="0.2">
      <c r="A4" s="1440" t="s">
        <v>986</v>
      </c>
      <c r="B4" s="1440"/>
      <c r="C4" s="1440"/>
      <c r="D4" s="1440"/>
      <c r="E4" s="1440"/>
    </row>
    <row r="5" spans="1:5" ht="15.75" thickBot="1" x14ac:dyDescent="0.25">
      <c r="A5" s="1284"/>
      <c r="B5" s="1284"/>
      <c r="C5" s="1284"/>
      <c r="D5" s="1284"/>
      <c r="E5" s="1286" t="s">
        <v>494</v>
      </c>
    </row>
    <row r="6" spans="1:5" ht="13.5" thickBot="1" x14ac:dyDescent="0.25">
      <c r="A6" s="1430" t="s">
        <v>520</v>
      </c>
      <c r="B6" s="1433" t="s">
        <v>981</v>
      </c>
      <c r="C6" s="1434"/>
      <c r="D6" s="1434"/>
      <c r="E6" s="1435"/>
    </row>
    <row r="7" spans="1:5" ht="13.5" customHeight="1" thickBot="1" x14ac:dyDescent="0.25">
      <c r="A7" s="1431"/>
      <c r="B7" s="1427" t="s">
        <v>991</v>
      </c>
      <c r="C7" s="1424" t="s">
        <v>982</v>
      </c>
      <c r="D7" s="1437"/>
      <c r="E7" s="1438"/>
    </row>
    <row r="8" spans="1:5" ht="13.5" customHeight="1" x14ac:dyDescent="0.2">
      <c r="A8" s="1431"/>
      <c r="B8" s="1436"/>
      <c r="C8" s="1427" t="str">
        <f>CONCATENATE(ALAPADATOK!$D$7," előttre ütemezett bevétel, kiadás")</f>
        <v>2022. előttre ütemezett bevétel, kiadás</v>
      </c>
      <c r="D8" s="1427" t="str">
        <f>CONCATENATE(ALAPADATOK!$D$7," évre ütemezett bevétel, kiadás")</f>
        <v>2022. évre ütemezett bevétel, kiadás</v>
      </c>
      <c r="E8" s="1427" t="str">
        <f>CONCATENATE(ALAPADATOK!$D$7," utánra ütemezett bevétel, kiadás")</f>
        <v>2022. utánra ütemezett bevétel, kiadás</v>
      </c>
    </row>
    <row r="9" spans="1:5" ht="13.5" thickBot="1" x14ac:dyDescent="0.25">
      <c r="A9" s="1432"/>
      <c r="B9" s="1429"/>
      <c r="C9" s="1428"/>
      <c r="D9" s="1428"/>
      <c r="E9" s="1429"/>
    </row>
    <row r="10" spans="1:5" ht="13.5" thickBot="1" x14ac:dyDescent="0.25">
      <c r="A10" s="1287" t="s">
        <v>385</v>
      </c>
      <c r="B10" s="1288" t="s">
        <v>983</v>
      </c>
      <c r="C10" s="1289" t="s">
        <v>387</v>
      </c>
      <c r="D10" s="1285" t="s">
        <v>437</v>
      </c>
      <c r="E10" s="1290" t="s">
        <v>438</v>
      </c>
    </row>
    <row r="11" spans="1:5" ht="14.25" customHeight="1" x14ac:dyDescent="0.2">
      <c r="A11" s="1291" t="s">
        <v>521</v>
      </c>
      <c r="B11" s="1301">
        <f>C11+D11+E11</f>
        <v>3152164</v>
      </c>
      <c r="C11" s="1302">
        <v>3136412</v>
      </c>
      <c r="D11" s="1302">
        <v>15752</v>
      </c>
      <c r="E11" s="1303"/>
    </row>
    <row r="12" spans="1:5" x14ac:dyDescent="0.2">
      <c r="A12" s="1292" t="s">
        <v>522</v>
      </c>
      <c r="B12" s="1304">
        <f t="shared" ref="B12:B21" si="0">C12+D12+E12</f>
        <v>0</v>
      </c>
      <c r="C12" s="1305"/>
      <c r="D12" s="1305"/>
      <c r="E12" s="1305"/>
    </row>
    <row r="13" spans="1:5" ht="13.5" customHeight="1" x14ac:dyDescent="0.2">
      <c r="A13" s="1293" t="s">
        <v>985</v>
      </c>
      <c r="B13" s="1306">
        <f t="shared" si="0"/>
        <v>139014928</v>
      </c>
      <c r="C13" s="1307">
        <v>107440289</v>
      </c>
      <c r="D13" s="1307">
        <v>31574639</v>
      </c>
      <c r="E13" s="1307"/>
    </row>
    <row r="14" spans="1:5" ht="12.75" customHeight="1" x14ac:dyDescent="0.2">
      <c r="A14" s="1293" t="s">
        <v>109</v>
      </c>
      <c r="B14" s="1306">
        <f t="shared" si="0"/>
        <v>0</v>
      </c>
      <c r="C14" s="1307"/>
      <c r="D14" s="1307"/>
      <c r="E14" s="1307"/>
    </row>
    <row r="15" spans="1:5" ht="13.5" thickBot="1" x14ac:dyDescent="0.25">
      <c r="A15" s="1293" t="s">
        <v>523</v>
      </c>
      <c r="B15" s="1306">
        <f t="shared" si="0"/>
        <v>0</v>
      </c>
      <c r="C15" s="1307"/>
      <c r="D15" s="1307"/>
      <c r="E15" s="1307"/>
    </row>
    <row r="16" spans="1:5" ht="13.5" thickBot="1" x14ac:dyDescent="0.25">
      <c r="A16" s="1294" t="s">
        <v>524</v>
      </c>
      <c r="B16" s="1308">
        <f>B11+SUM(B13:B15)</f>
        <v>142167092</v>
      </c>
      <c r="C16" s="1308">
        <f>C11+SUM(C13:C15)</f>
        <v>110576701</v>
      </c>
      <c r="D16" s="1308">
        <f>D11+SUM(D13:D15)</f>
        <v>31590391</v>
      </c>
      <c r="E16" s="1309">
        <f>E11+SUM(E13:E15)</f>
        <v>0</v>
      </c>
    </row>
    <row r="17" spans="1:9" x14ac:dyDescent="0.2">
      <c r="A17" s="1295" t="s">
        <v>525</v>
      </c>
      <c r="B17" s="1301">
        <f>C17+D17+E17</f>
        <v>7671008</v>
      </c>
      <c r="C17" s="1302">
        <f>5335564+2026145</f>
        <v>7361709</v>
      </c>
      <c r="D17" s="1302">
        <f>293547+15752</f>
        <v>309299</v>
      </c>
      <c r="E17" s="1303"/>
    </row>
    <row r="18" spans="1:9" x14ac:dyDescent="0.2">
      <c r="A18" s="1296" t="s">
        <v>752</v>
      </c>
      <c r="B18" s="1306">
        <f t="shared" si="0"/>
        <v>56112084</v>
      </c>
      <c r="C18" s="1307">
        <f>54543034+1568000</f>
        <v>56111034</v>
      </c>
      <c r="D18" s="1307">
        <v>1050</v>
      </c>
      <c r="E18" s="1307"/>
    </row>
    <row r="19" spans="1:9" x14ac:dyDescent="0.2">
      <c r="A19" s="1296" t="s">
        <v>527</v>
      </c>
      <c r="B19" s="1306">
        <f t="shared" si="0"/>
        <v>9072000</v>
      </c>
      <c r="C19" s="1307">
        <f>5688000+2885669</f>
        <v>8573669</v>
      </c>
      <c r="D19" s="1307">
        <v>498331</v>
      </c>
      <c r="E19" s="1307"/>
    </row>
    <row r="20" spans="1:9" x14ac:dyDescent="0.2">
      <c r="A20" s="1296" t="s">
        <v>528</v>
      </c>
      <c r="B20" s="1306">
        <f t="shared" si="0"/>
        <v>0</v>
      </c>
      <c r="C20" s="1307"/>
      <c r="D20" s="1307"/>
      <c r="E20" s="1307"/>
    </row>
    <row r="21" spans="1:9" ht="13.5" thickBot="1" x14ac:dyDescent="0.25">
      <c r="A21" s="1297" t="s">
        <v>988</v>
      </c>
      <c r="B21" s="1310">
        <f t="shared" si="0"/>
        <v>69312000</v>
      </c>
      <c r="C21" s="1311">
        <f>22670000+14880000</f>
        <v>37550000</v>
      </c>
      <c r="D21" s="1311">
        <v>31762000</v>
      </c>
      <c r="E21" s="1312"/>
    </row>
    <row r="22" spans="1:9" ht="13.5" thickBot="1" x14ac:dyDescent="0.25">
      <c r="A22" s="1298" t="s">
        <v>97</v>
      </c>
      <c r="B22" s="1308">
        <f>SUM(B17:B21)</f>
        <v>142167092</v>
      </c>
      <c r="C22" s="1308">
        <f>SUM(C17:C21)</f>
        <v>109596412</v>
      </c>
      <c r="D22" s="1308">
        <f>SUM(D17:D21)</f>
        <v>32570680</v>
      </c>
      <c r="E22" s="1309">
        <f>SUM(E17:E21)</f>
        <v>0</v>
      </c>
    </row>
    <row r="23" spans="1:9" x14ac:dyDescent="0.2">
      <c r="A23" s="1445" t="s">
        <v>984</v>
      </c>
      <c r="B23" s="1445"/>
      <c r="C23" s="1445"/>
      <c r="D23" s="1445"/>
      <c r="E23" s="1445"/>
    </row>
    <row r="24" spans="1:9" x14ac:dyDescent="0.2">
      <c r="A24" s="1299"/>
      <c r="B24" s="1299"/>
      <c r="C24" s="1299"/>
      <c r="D24" s="1299"/>
      <c r="E24" s="1299"/>
    </row>
    <row r="25" spans="1:9" ht="31.5" customHeight="1" x14ac:dyDescent="0.2">
      <c r="A25" s="1443" t="s">
        <v>989</v>
      </c>
      <c r="B25" s="1443"/>
      <c r="C25" s="1443"/>
      <c r="D25" s="1443"/>
      <c r="E25" s="1443"/>
    </row>
    <row r="26" spans="1:9" ht="15.75" thickBot="1" x14ac:dyDescent="0.25">
      <c r="A26" s="1284"/>
      <c r="B26" s="1284"/>
      <c r="C26" s="1284"/>
      <c r="D26" s="1284"/>
      <c r="E26" s="1286" t="s">
        <v>494</v>
      </c>
    </row>
    <row r="27" spans="1:9" ht="13.5" thickBot="1" x14ac:dyDescent="0.25">
      <c r="A27" s="1430" t="s">
        <v>520</v>
      </c>
      <c r="B27" s="1433" t="s">
        <v>981</v>
      </c>
      <c r="C27" s="1434"/>
      <c r="D27" s="1434"/>
      <c r="E27" s="1435"/>
      <c r="G27" s="1316"/>
      <c r="H27" s="1316"/>
      <c r="I27" s="1316"/>
    </row>
    <row r="28" spans="1:9" ht="13.5" thickBot="1" x14ac:dyDescent="0.25">
      <c r="A28" s="1431"/>
      <c r="B28" s="1427" t="str">
        <f>B7</f>
        <v>A projektre jóváhagyott összes
 bevétel, kiadás</v>
      </c>
      <c r="C28" s="1424" t="s">
        <v>982</v>
      </c>
      <c r="D28" s="1425"/>
      <c r="E28" s="1426"/>
      <c r="G28" s="1316"/>
      <c r="H28" s="1316"/>
      <c r="I28" s="1316"/>
    </row>
    <row r="29" spans="1:9" ht="12.75" customHeight="1" x14ac:dyDescent="0.2">
      <c r="A29" s="1431"/>
      <c r="B29" s="1436"/>
      <c r="C29" s="1427" t="str">
        <f>CONCATENATE(ALAPADATOK!$D$7," előttre ütemezett bevétel, kiadás")</f>
        <v>2022. előttre ütemezett bevétel, kiadás</v>
      </c>
      <c r="D29" s="1427" t="str">
        <f>CONCATENATE(ALAPADATOK!$D$7," évre ütemezett bevétel, kiadás")</f>
        <v>2022. évre ütemezett bevétel, kiadás</v>
      </c>
      <c r="E29" s="1427" t="str">
        <f>CONCATENATE(ALAPADATOK!$D$7," utánra ütemezett bevétel, kiadás")</f>
        <v>2022. utánra ütemezett bevétel, kiadás</v>
      </c>
      <c r="G29" s="1316"/>
      <c r="H29" s="1316"/>
      <c r="I29" s="1316"/>
    </row>
    <row r="30" spans="1:9" ht="12.75" customHeight="1" thickBot="1" x14ac:dyDescent="0.25">
      <c r="A30" s="1432"/>
      <c r="B30" s="1439"/>
      <c r="C30" s="1428"/>
      <c r="D30" s="1428"/>
      <c r="E30" s="1429"/>
      <c r="G30" s="1316"/>
      <c r="H30" s="1316"/>
      <c r="I30" s="1316"/>
    </row>
    <row r="31" spans="1:9" ht="13.5" thickBot="1" x14ac:dyDescent="0.25">
      <c r="A31" s="1287" t="s">
        <v>385</v>
      </c>
      <c r="B31" s="1288" t="s">
        <v>983</v>
      </c>
      <c r="C31" s="1289" t="s">
        <v>387</v>
      </c>
      <c r="D31" s="1285" t="s">
        <v>437</v>
      </c>
      <c r="E31" s="1290" t="s">
        <v>438</v>
      </c>
      <c r="G31" s="1316"/>
      <c r="H31" s="1316"/>
      <c r="I31" s="1316"/>
    </row>
    <row r="32" spans="1:9" x14ac:dyDescent="0.2">
      <c r="A32" s="1291" t="s">
        <v>521</v>
      </c>
      <c r="B32" s="1301">
        <f t="shared" ref="B32:B36" si="1">C32+D32+E32</f>
        <v>0</v>
      </c>
      <c r="C32" s="1302"/>
      <c r="D32" s="1302"/>
      <c r="E32" s="1303"/>
      <c r="G32" s="1316"/>
      <c r="H32" s="1316"/>
      <c r="I32" s="1316"/>
    </row>
    <row r="33" spans="1:11" x14ac:dyDescent="0.2">
      <c r="A33" s="1292" t="s">
        <v>522</v>
      </c>
      <c r="B33" s="1304">
        <f t="shared" si="1"/>
        <v>0</v>
      </c>
      <c r="C33" s="1305"/>
      <c r="D33" s="1305"/>
      <c r="E33" s="1305"/>
      <c r="G33" s="1316"/>
      <c r="H33" s="1316"/>
      <c r="I33" s="1316"/>
    </row>
    <row r="34" spans="1:11" x14ac:dyDescent="0.2">
      <c r="A34" s="1293" t="s">
        <v>985</v>
      </c>
      <c r="B34" s="1306">
        <f t="shared" si="1"/>
        <v>31491050</v>
      </c>
      <c r="C34" s="1307">
        <f>5715000+25776050</f>
        <v>31491050</v>
      </c>
      <c r="D34" s="1307"/>
      <c r="E34" s="1307"/>
      <c r="G34" s="1316"/>
      <c r="H34" s="1316"/>
      <c r="I34" s="1316"/>
    </row>
    <row r="35" spans="1:11" ht="12.75" customHeight="1" x14ac:dyDescent="0.2">
      <c r="A35" s="1293" t="s">
        <v>109</v>
      </c>
      <c r="B35" s="1306">
        <f t="shared" si="1"/>
        <v>0</v>
      </c>
      <c r="C35" s="1307"/>
      <c r="D35" s="1307"/>
      <c r="E35" s="1307"/>
      <c r="G35" s="1316"/>
      <c r="H35" s="1316"/>
      <c r="I35" s="1316"/>
    </row>
    <row r="36" spans="1:11" ht="13.5" thickBot="1" x14ac:dyDescent="0.25">
      <c r="A36" s="1293" t="s">
        <v>523</v>
      </c>
      <c r="B36" s="1306">
        <f t="shared" si="1"/>
        <v>0</v>
      </c>
      <c r="C36" s="1307"/>
      <c r="D36" s="1307"/>
      <c r="E36" s="1307"/>
      <c r="G36" s="1316"/>
      <c r="H36" s="1316"/>
      <c r="I36" s="1316"/>
    </row>
    <row r="37" spans="1:11" ht="13.5" thickBot="1" x14ac:dyDescent="0.25">
      <c r="A37" s="1294" t="s">
        <v>524</v>
      </c>
      <c r="B37" s="1308">
        <f>B32+SUM(B34:B36)</f>
        <v>31491050</v>
      </c>
      <c r="C37" s="1308">
        <f>C32+SUM(C34:C36)</f>
        <v>31491050</v>
      </c>
      <c r="D37" s="1308">
        <f>D32+SUM(D34:D36)</f>
        <v>0</v>
      </c>
      <c r="E37" s="1309">
        <f>E32+SUM(E34:E36)</f>
        <v>0</v>
      </c>
      <c r="G37" s="1316"/>
      <c r="H37" s="1317"/>
      <c r="I37" s="1316"/>
    </row>
    <row r="38" spans="1:11" x14ac:dyDescent="0.2">
      <c r="A38" s="1295" t="s">
        <v>525</v>
      </c>
      <c r="B38" s="1301">
        <f>C38+D38+E38</f>
        <v>420187</v>
      </c>
      <c r="C38" s="1302">
        <v>204000</v>
      </c>
      <c r="D38" s="1302">
        <f>96000+120187</f>
        <v>216187</v>
      </c>
      <c r="E38" s="1303"/>
      <c r="G38" s="1316"/>
      <c r="H38" s="1317"/>
      <c r="I38" s="1317"/>
      <c r="J38" s="1315"/>
    </row>
    <row r="39" spans="1:11" x14ac:dyDescent="0.2">
      <c r="A39" s="1296" t="s">
        <v>752</v>
      </c>
      <c r="B39" s="1306">
        <f>C39+D39+E39</f>
        <v>8451640</v>
      </c>
      <c r="C39" s="1307">
        <f>1270000+3175000+2959100</f>
        <v>7404100</v>
      </c>
      <c r="D39" s="1307">
        <v>1047540</v>
      </c>
      <c r="E39" s="1307"/>
      <c r="G39" s="1316"/>
      <c r="H39" s="1317"/>
      <c r="I39" s="1317"/>
      <c r="J39" s="1315"/>
    </row>
    <row r="40" spans="1:11" x14ac:dyDescent="0.2">
      <c r="A40" s="1296" t="s">
        <v>527</v>
      </c>
      <c r="B40" s="1306">
        <f>C40+D40+E40</f>
        <v>21933670</v>
      </c>
      <c r="C40" s="1307">
        <f>1270000+3049076+12631424</f>
        <v>16950500</v>
      </c>
      <c r="D40" s="1307">
        <v>4983170</v>
      </c>
      <c r="E40" s="1307"/>
      <c r="G40" s="1316"/>
      <c r="H40" s="1317"/>
      <c r="I40" s="1317"/>
      <c r="J40" s="1315"/>
    </row>
    <row r="41" spans="1:11" x14ac:dyDescent="0.2">
      <c r="A41" s="1296" t="s">
        <v>528</v>
      </c>
      <c r="B41" s="1306">
        <f>C41+D41+E41</f>
        <v>0</v>
      </c>
      <c r="C41" s="1307"/>
      <c r="D41" s="1307"/>
      <c r="E41" s="1307"/>
      <c r="G41" s="1316"/>
      <c r="H41" s="1317"/>
      <c r="I41" s="1316"/>
      <c r="J41" s="1315"/>
      <c r="K41" s="1315"/>
    </row>
    <row r="42" spans="1:11" ht="13.5" thickBot="1" x14ac:dyDescent="0.25">
      <c r="A42" s="1297" t="s">
        <v>529</v>
      </c>
      <c r="B42" s="1310">
        <f>C42+D42+E42</f>
        <v>685553</v>
      </c>
      <c r="C42" s="1311"/>
      <c r="D42" s="1311">
        <v>685553</v>
      </c>
      <c r="E42" s="1312"/>
      <c r="G42" s="1316"/>
      <c r="H42" s="1317"/>
      <c r="I42" s="1316"/>
    </row>
    <row r="43" spans="1:11" ht="13.5" thickBot="1" x14ac:dyDescent="0.25">
      <c r="A43" s="1298" t="s">
        <v>97</v>
      </c>
      <c r="B43" s="1308">
        <f>SUM(B38:B42)</f>
        <v>31491050</v>
      </c>
      <c r="C43" s="1308">
        <f>SUM(C38:C42)</f>
        <v>24558600</v>
      </c>
      <c r="D43" s="1308">
        <f>SUM(D38:D42)</f>
        <v>6932450</v>
      </c>
      <c r="E43" s="1309">
        <f>SUM(E38:E42)</f>
        <v>0</v>
      </c>
      <c r="G43" s="1318"/>
      <c r="H43" s="1316"/>
      <c r="I43" s="1316"/>
    </row>
    <row r="44" spans="1:11" x14ac:dyDescent="0.2">
      <c r="A44" s="1313"/>
      <c r="B44" s="1313"/>
      <c r="C44" s="1313"/>
      <c r="D44" s="1313"/>
      <c r="E44" s="1313"/>
      <c r="G44" s="1316"/>
      <c r="H44" s="1316"/>
      <c r="I44" s="1316"/>
    </row>
    <row r="45" spans="1:11" ht="33" customHeight="1" x14ac:dyDescent="0.2">
      <c r="A45" s="1440" t="s">
        <v>990</v>
      </c>
      <c r="B45" s="1440"/>
      <c r="C45" s="1440"/>
      <c r="D45" s="1440"/>
      <c r="E45" s="1440"/>
    </row>
    <row r="46" spans="1:11" ht="15.75" thickBot="1" x14ac:dyDescent="0.25">
      <c r="A46" s="1284"/>
      <c r="B46" s="1284"/>
      <c r="C46" s="1284"/>
      <c r="D46" s="1284"/>
      <c r="E46" s="1286" t="s">
        <v>494</v>
      </c>
    </row>
    <row r="47" spans="1:11" ht="13.5" thickBot="1" x14ac:dyDescent="0.25">
      <c r="A47" s="1430" t="s">
        <v>520</v>
      </c>
      <c r="B47" s="1433" t="s">
        <v>981</v>
      </c>
      <c r="C47" s="1434"/>
      <c r="D47" s="1434"/>
      <c r="E47" s="1435"/>
    </row>
    <row r="48" spans="1:11" ht="13.5" thickBot="1" x14ac:dyDescent="0.25">
      <c r="A48" s="1431"/>
      <c r="B48" s="1427" t="str">
        <f>B28</f>
        <v>A projektre jóváhagyott összes
 bevétel, kiadás</v>
      </c>
      <c r="C48" s="1424" t="s">
        <v>982</v>
      </c>
      <c r="D48" s="1425"/>
      <c r="E48" s="1426"/>
    </row>
    <row r="49" spans="1:5" ht="12.75" customHeight="1" x14ac:dyDescent="0.2">
      <c r="A49" s="1431"/>
      <c r="B49" s="1436"/>
      <c r="C49" s="1427" t="str">
        <f>CONCATENATE(ALAPADATOK!$D$7," előttre ütemezett bevétel, kiadás")</f>
        <v>2022. előttre ütemezett bevétel, kiadás</v>
      </c>
      <c r="D49" s="1427" t="str">
        <f>CONCATENATE(ALAPADATOK!$D$7," évre ütemezett bevétel, kiadás")</f>
        <v>2022. évre ütemezett bevétel, kiadás</v>
      </c>
      <c r="E49" s="1427" t="str">
        <f>CONCATENATE(ALAPADATOK!$D$7," utánra ütemezett bevétel, kiadás")</f>
        <v>2022. utánra ütemezett bevétel, kiadás</v>
      </c>
    </row>
    <row r="50" spans="1:5" ht="13.5" thickBot="1" x14ac:dyDescent="0.25">
      <c r="A50" s="1432"/>
      <c r="B50" s="1439"/>
      <c r="C50" s="1428"/>
      <c r="D50" s="1428"/>
      <c r="E50" s="1429"/>
    </row>
    <row r="51" spans="1:5" ht="13.5" thickBot="1" x14ac:dyDescent="0.25">
      <c r="A51" s="1287" t="s">
        <v>385</v>
      </c>
      <c r="B51" s="1288" t="s">
        <v>983</v>
      </c>
      <c r="C51" s="1289" t="s">
        <v>387</v>
      </c>
      <c r="D51" s="1285" t="s">
        <v>437</v>
      </c>
      <c r="E51" s="1290" t="s">
        <v>438</v>
      </c>
    </row>
    <row r="52" spans="1:5" x14ac:dyDescent="0.2">
      <c r="A52" s="1291" t="s">
        <v>521</v>
      </c>
      <c r="B52" s="1301">
        <f t="shared" ref="B52:B56" si="2">C52+D52+E52</f>
        <v>0</v>
      </c>
      <c r="C52" s="1302"/>
      <c r="D52" s="1302"/>
      <c r="E52" s="1303"/>
    </row>
    <row r="53" spans="1:5" x14ac:dyDescent="0.2">
      <c r="A53" s="1292" t="s">
        <v>522</v>
      </c>
      <c r="B53" s="1304">
        <f t="shared" si="2"/>
        <v>0</v>
      </c>
      <c r="C53" s="1305"/>
      <c r="D53" s="1305"/>
      <c r="E53" s="1305"/>
    </row>
    <row r="54" spans="1:5" x14ac:dyDescent="0.2">
      <c r="A54" s="1293" t="s">
        <v>985</v>
      </c>
      <c r="B54" s="1306">
        <f t="shared" si="2"/>
        <v>74782484</v>
      </c>
      <c r="C54" s="1307">
        <v>74782484</v>
      </c>
      <c r="D54" s="1307"/>
      <c r="E54" s="1307"/>
    </row>
    <row r="55" spans="1:5" x14ac:dyDescent="0.2">
      <c r="A55" s="1293" t="s">
        <v>109</v>
      </c>
      <c r="B55" s="1306">
        <f t="shared" si="2"/>
        <v>0</v>
      </c>
      <c r="C55" s="1307"/>
      <c r="D55" s="1307"/>
      <c r="E55" s="1307"/>
    </row>
    <row r="56" spans="1:5" ht="13.5" thickBot="1" x14ac:dyDescent="0.25">
      <c r="A56" s="1293" t="s">
        <v>523</v>
      </c>
      <c r="B56" s="1306">
        <f t="shared" si="2"/>
        <v>0</v>
      </c>
      <c r="C56" s="1307"/>
      <c r="D56" s="1307"/>
      <c r="E56" s="1307"/>
    </row>
    <row r="57" spans="1:5" ht="13.5" thickBot="1" x14ac:dyDescent="0.25">
      <c r="A57" s="1294" t="s">
        <v>524</v>
      </c>
      <c r="B57" s="1308">
        <f>B52+SUM(B54:B56)</f>
        <v>74782484</v>
      </c>
      <c r="C57" s="1308">
        <f>C52+SUM(C54:C56)</f>
        <v>74782484</v>
      </c>
      <c r="D57" s="1308">
        <f>D52+SUM(D54:D56)</f>
        <v>0</v>
      </c>
      <c r="E57" s="1309">
        <f>E52+SUM(E54:E56)</f>
        <v>0</v>
      </c>
    </row>
    <row r="58" spans="1:5" x14ac:dyDescent="0.2">
      <c r="A58" s="1295" t="s">
        <v>525</v>
      </c>
      <c r="B58" s="1301">
        <f>C58+D58+E58</f>
        <v>68123543</v>
      </c>
      <c r="C58" s="1302">
        <v>39416957</v>
      </c>
      <c r="D58" s="1302">
        <v>28706586</v>
      </c>
      <c r="E58" s="1303"/>
    </row>
    <row r="59" spans="1:5" x14ac:dyDescent="0.2">
      <c r="A59" s="1296" t="s">
        <v>526</v>
      </c>
      <c r="B59" s="1306">
        <f>C59+D59+E59</f>
        <v>1515441</v>
      </c>
      <c r="C59" s="1307">
        <v>191483</v>
      </c>
      <c r="D59" s="1307">
        <v>1323958</v>
      </c>
      <c r="E59" s="1307"/>
    </row>
    <row r="60" spans="1:5" x14ac:dyDescent="0.2">
      <c r="A60" s="1296" t="s">
        <v>527</v>
      </c>
      <c r="B60" s="1306">
        <f>C60+D60+E60</f>
        <v>5143500</v>
      </c>
      <c r="C60" s="1307">
        <v>3469600</v>
      </c>
      <c r="D60" s="1307">
        <v>1673900</v>
      </c>
      <c r="E60" s="1307"/>
    </row>
    <row r="61" spans="1:5" x14ac:dyDescent="0.2">
      <c r="A61" s="1296" t="s">
        <v>528</v>
      </c>
      <c r="B61" s="1306">
        <f>C61+D61+E61</f>
        <v>0</v>
      </c>
      <c r="C61" s="1307"/>
      <c r="D61" s="1307"/>
      <c r="E61" s="1307"/>
    </row>
    <row r="62" spans="1:5" ht="13.5" thickBot="1" x14ac:dyDescent="0.25">
      <c r="A62" s="1297"/>
      <c r="B62" s="1310">
        <f>C62+D62+E62</f>
        <v>0</v>
      </c>
      <c r="C62" s="1311"/>
      <c r="D62" s="1311"/>
      <c r="E62" s="1312"/>
    </row>
    <row r="63" spans="1:5" ht="13.5" thickBot="1" x14ac:dyDescent="0.25">
      <c r="A63" s="1298" t="s">
        <v>97</v>
      </c>
      <c r="B63" s="1308">
        <f>SUM(B58:B62)</f>
        <v>74782484</v>
      </c>
      <c r="C63" s="1308">
        <f>SUM(C58:C62)</f>
        <v>43078040</v>
      </c>
      <c r="D63" s="1308">
        <f>SUM(D58:D62)</f>
        <v>31704444</v>
      </c>
      <c r="E63" s="1309">
        <f>SUM(E58:E62)</f>
        <v>0</v>
      </c>
    </row>
    <row r="64" spans="1:5" x14ac:dyDescent="0.2">
      <c r="A64" s="1313"/>
      <c r="B64" s="1313"/>
      <c r="C64" s="1313"/>
      <c r="D64" s="1313"/>
      <c r="E64" s="1313"/>
    </row>
    <row r="65" spans="1:5" ht="14.25" customHeight="1" x14ac:dyDescent="0.2">
      <c r="A65" s="1444" t="s">
        <v>992</v>
      </c>
      <c r="B65" s="1444"/>
      <c r="C65" s="1444"/>
      <c r="D65" s="1444"/>
      <c r="E65" s="1444"/>
    </row>
    <row r="66" spans="1:5" ht="15.75" thickBot="1" x14ac:dyDescent="0.25">
      <c r="A66" s="1284"/>
      <c r="B66" s="1284"/>
      <c r="C66" s="1284"/>
      <c r="D66" s="1284"/>
      <c r="E66" s="1286" t="s">
        <v>494</v>
      </c>
    </row>
    <row r="67" spans="1:5" ht="13.5" thickBot="1" x14ac:dyDescent="0.25">
      <c r="A67" s="1430" t="s">
        <v>520</v>
      </c>
      <c r="B67" s="1433" t="s">
        <v>981</v>
      </c>
      <c r="C67" s="1434"/>
      <c r="D67" s="1434"/>
      <c r="E67" s="1435"/>
    </row>
    <row r="68" spans="1:5" ht="13.5" thickBot="1" x14ac:dyDescent="0.25">
      <c r="A68" s="1431"/>
      <c r="B68" s="1427" t="str">
        <f>B48</f>
        <v>A projektre jóváhagyott összes
 bevétel, kiadás</v>
      </c>
      <c r="C68" s="1424" t="s">
        <v>982</v>
      </c>
      <c r="D68" s="1425"/>
      <c r="E68" s="1426"/>
    </row>
    <row r="69" spans="1:5" ht="12.75" customHeight="1" x14ac:dyDescent="0.2">
      <c r="A69" s="1431"/>
      <c r="B69" s="1436"/>
      <c r="C69" s="1427" t="str">
        <f>CONCATENATE(ALAPADATOK!$D$7," előttre ütemezett bevétel, kiadás")</f>
        <v>2022. előttre ütemezett bevétel, kiadás</v>
      </c>
      <c r="D69" s="1427" t="str">
        <f>CONCATENATE(ALAPADATOK!$D$7," évre ütemezett bevétel, kiadás")</f>
        <v>2022. évre ütemezett bevétel, kiadás</v>
      </c>
      <c r="E69" s="1427" t="str">
        <f>CONCATENATE(ALAPADATOK!$D$7," utánra ütemezett bevétel, kiadás")</f>
        <v>2022. utánra ütemezett bevétel, kiadás</v>
      </c>
    </row>
    <row r="70" spans="1:5" ht="13.5" thickBot="1" x14ac:dyDescent="0.25">
      <c r="A70" s="1432"/>
      <c r="B70" s="1439"/>
      <c r="C70" s="1428"/>
      <c r="D70" s="1428"/>
      <c r="E70" s="1429"/>
    </row>
    <row r="71" spans="1:5" ht="13.5" thickBot="1" x14ac:dyDescent="0.25">
      <c r="A71" s="1287" t="s">
        <v>385</v>
      </c>
      <c r="B71" s="1288" t="s">
        <v>983</v>
      </c>
      <c r="C71" s="1289" t="s">
        <v>387</v>
      </c>
      <c r="D71" s="1285" t="s">
        <v>437</v>
      </c>
      <c r="E71" s="1290" t="s">
        <v>438</v>
      </c>
    </row>
    <row r="72" spans="1:5" x14ac:dyDescent="0.2">
      <c r="A72" s="1291" t="s">
        <v>521</v>
      </c>
      <c r="B72" s="1301">
        <f t="shared" ref="B72:B76" si="3">C72+D72+E72</f>
        <v>2341395</v>
      </c>
      <c r="C72" s="1302"/>
      <c r="D72" s="1302">
        <f>2038794+302601</f>
        <v>2341395</v>
      </c>
      <c r="E72" s="1303"/>
    </row>
    <row r="73" spans="1:5" x14ac:dyDescent="0.2">
      <c r="A73" s="1292" t="s">
        <v>522</v>
      </c>
      <c r="B73" s="1304">
        <f t="shared" si="3"/>
        <v>0</v>
      </c>
      <c r="C73" s="1305"/>
      <c r="D73" s="1305"/>
      <c r="E73" s="1305"/>
    </row>
    <row r="74" spans="1:5" x14ac:dyDescent="0.2">
      <c r="A74" s="1293" t="s">
        <v>985</v>
      </c>
      <c r="B74" s="1306">
        <f t="shared" si="3"/>
        <v>369968656</v>
      </c>
      <c r="C74" s="1307">
        <v>363618656</v>
      </c>
      <c r="D74" s="1307">
        <v>6350000</v>
      </c>
      <c r="E74" s="1307"/>
    </row>
    <row r="75" spans="1:5" x14ac:dyDescent="0.2">
      <c r="A75" s="1293" t="s">
        <v>109</v>
      </c>
      <c r="B75" s="1306">
        <f t="shared" si="3"/>
        <v>0</v>
      </c>
      <c r="C75" s="1307"/>
      <c r="D75" s="1307"/>
      <c r="E75" s="1307"/>
    </row>
    <row r="76" spans="1:5" ht="13.5" thickBot="1" x14ac:dyDescent="0.25">
      <c r="A76" s="1293" t="s">
        <v>523</v>
      </c>
      <c r="B76" s="1306">
        <f t="shared" si="3"/>
        <v>243600</v>
      </c>
      <c r="C76" s="1307">
        <v>243600</v>
      </c>
      <c r="D76" s="1307"/>
      <c r="E76" s="1307"/>
    </row>
    <row r="77" spans="1:5" ht="13.5" thickBot="1" x14ac:dyDescent="0.25">
      <c r="A77" s="1294" t="s">
        <v>524</v>
      </c>
      <c r="B77" s="1308">
        <f>B72+SUM(B74:B76)</f>
        <v>372553651</v>
      </c>
      <c r="C77" s="1308">
        <f>C72+SUM(C74:C76)</f>
        <v>363862256</v>
      </c>
      <c r="D77" s="1308">
        <f>D72+SUM(D74:D76)</f>
        <v>8691395</v>
      </c>
      <c r="E77" s="1309">
        <f>E72+SUM(E74:E76)</f>
        <v>0</v>
      </c>
    </row>
    <row r="78" spans="1:5" x14ac:dyDescent="0.2">
      <c r="A78" s="1295" t="s">
        <v>525</v>
      </c>
      <c r="B78" s="1301">
        <f>C78+D78+E78</f>
        <v>0</v>
      </c>
      <c r="C78" s="1302"/>
      <c r="D78" s="1302"/>
      <c r="E78" s="1303"/>
    </row>
    <row r="79" spans="1:5" x14ac:dyDescent="0.2">
      <c r="A79" s="1296" t="s">
        <v>526</v>
      </c>
      <c r="B79" s="1306">
        <f>C79+D79+E79</f>
        <v>291755324</v>
      </c>
      <c r="C79" s="1307">
        <v>14306979</v>
      </c>
      <c r="D79" s="1307">
        <v>277448345</v>
      </c>
      <c r="E79" s="1307"/>
    </row>
    <row r="80" spans="1:5" x14ac:dyDescent="0.2">
      <c r="A80" s="1296" t="s">
        <v>527</v>
      </c>
      <c r="B80" s="1306">
        <f>C80+D80+E80</f>
        <v>80798327</v>
      </c>
      <c r="C80" s="1307">
        <v>73954556</v>
      </c>
      <c r="D80" s="1307">
        <v>6843771</v>
      </c>
      <c r="E80" s="1307"/>
    </row>
    <row r="81" spans="1:5" x14ac:dyDescent="0.2">
      <c r="A81" s="1296" t="s">
        <v>528</v>
      </c>
      <c r="B81" s="1306">
        <f>C81+D81+E81</f>
        <v>0</v>
      </c>
      <c r="C81" s="1307"/>
      <c r="D81" s="1307"/>
      <c r="E81" s="1307"/>
    </row>
    <row r="82" spans="1:5" ht="13.5" thickBot="1" x14ac:dyDescent="0.25">
      <c r="A82" s="1297" t="s">
        <v>529</v>
      </c>
      <c r="B82" s="1310">
        <f>C82+D82+E82</f>
        <v>0</v>
      </c>
      <c r="C82" s="1311"/>
      <c r="D82" s="1311"/>
      <c r="E82" s="1312"/>
    </row>
    <row r="83" spans="1:5" ht="13.5" thickBot="1" x14ac:dyDescent="0.25">
      <c r="A83" s="1298" t="s">
        <v>97</v>
      </c>
      <c r="B83" s="1308">
        <f>SUM(B78:B82)</f>
        <v>372553651</v>
      </c>
      <c r="C83" s="1308">
        <f>SUM(C78:C82)</f>
        <v>88261535</v>
      </c>
      <c r="D83" s="1308">
        <f>SUM(D78:D82)</f>
        <v>284292116</v>
      </c>
      <c r="E83" s="1309">
        <f>SUM(E78:E82)</f>
        <v>0</v>
      </c>
    </row>
    <row r="84" spans="1:5" x14ac:dyDescent="0.2">
      <c r="A84" s="1313"/>
      <c r="B84" s="1313"/>
      <c r="C84" s="1313"/>
      <c r="D84" s="1313"/>
      <c r="E84" s="1313"/>
    </row>
    <row r="85" spans="1:5" ht="14.25" customHeight="1" x14ac:dyDescent="0.2">
      <c r="A85" s="1440" t="s">
        <v>993</v>
      </c>
      <c r="B85" s="1440"/>
      <c r="C85" s="1440"/>
      <c r="D85" s="1440"/>
      <c r="E85" s="1440"/>
    </row>
    <row r="86" spans="1:5" ht="15.75" thickBot="1" x14ac:dyDescent="0.25">
      <c r="A86" s="1284"/>
      <c r="B86" s="1284"/>
      <c r="C86" s="1284"/>
      <c r="D86" s="1284"/>
      <c r="E86" s="1286" t="s">
        <v>494</v>
      </c>
    </row>
    <row r="87" spans="1:5" ht="13.5" thickBot="1" x14ac:dyDescent="0.25">
      <c r="A87" s="1430" t="s">
        <v>520</v>
      </c>
      <c r="B87" s="1433" t="s">
        <v>981</v>
      </c>
      <c r="C87" s="1434"/>
      <c r="D87" s="1434"/>
      <c r="E87" s="1435"/>
    </row>
    <row r="88" spans="1:5" ht="13.5" thickBot="1" x14ac:dyDescent="0.25">
      <c r="A88" s="1431"/>
      <c r="B88" s="1427" t="str">
        <f>B68</f>
        <v>A projektre jóváhagyott összes
 bevétel, kiadás</v>
      </c>
      <c r="C88" s="1424" t="s">
        <v>982</v>
      </c>
      <c r="D88" s="1425"/>
      <c r="E88" s="1426"/>
    </row>
    <row r="89" spans="1:5" ht="12.75" customHeight="1" x14ac:dyDescent="0.2">
      <c r="A89" s="1431"/>
      <c r="B89" s="1436"/>
      <c r="C89" s="1427" t="str">
        <f>CONCATENATE(ALAPADATOK!$D$7," előttre ütemezett bevétel, kiadás")</f>
        <v>2022. előttre ütemezett bevétel, kiadás</v>
      </c>
      <c r="D89" s="1427" t="str">
        <f>CONCATENATE(ALAPADATOK!$D$7," évre ütemezett bevétel, kiadás")</f>
        <v>2022. évre ütemezett bevétel, kiadás</v>
      </c>
      <c r="E89" s="1427" t="str">
        <f>CONCATENATE(ALAPADATOK!$D$7," utánra ütemezett bevétel, kiadás")</f>
        <v>2022. utánra ütemezett bevétel, kiadás</v>
      </c>
    </row>
    <row r="90" spans="1:5" ht="13.5" thickBot="1" x14ac:dyDescent="0.25">
      <c r="A90" s="1432"/>
      <c r="B90" s="1439"/>
      <c r="C90" s="1428"/>
      <c r="D90" s="1428"/>
      <c r="E90" s="1429"/>
    </row>
    <row r="91" spans="1:5" ht="13.5" thickBot="1" x14ac:dyDescent="0.25">
      <c r="A91" s="1287" t="s">
        <v>385</v>
      </c>
      <c r="B91" s="1288" t="s">
        <v>983</v>
      </c>
      <c r="C91" s="1289" t="s">
        <v>387</v>
      </c>
      <c r="D91" s="1285" t="s">
        <v>437</v>
      </c>
      <c r="E91" s="1290" t="s">
        <v>438</v>
      </c>
    </row>
    <row r="92" spans="1:5" x14ac:dyDescent="0.2">
      <c r="A92" s="1291" t="s">
        <v>521</v>
      </c>
      <c r="B92" s="1301">
        <f t="shared" ref="B92:B96" si="4">C92+D92+E92</f>
        <v>885800</v>
      </c>
      <c r="C92" s="1302"/>
      <c r="D92" s="1302">
        <v>885800</v>
      </c>
      <c r="E92" s="1303"/>
    </row>
    <row r="93" spans="1:5" x14ac:dyDescent="0.2">
      <c r="A93" s="1292" t="s">
        <v>522</v>
      </c>
      <c r="B93" s="1304">
        <f t="shared" si="4"/>
        <v>0</v>
      </c>
      <c r="C93" s="1305"/>
      <c r="D93" s="1305"/>
      <c r="E93" s="1305"/>
    </row>
    <row r="94" spans="1:5" x14ac:dyDescent="0.2">
      <c r="A94" s="1293" t="s">
        <v>985</v>
      </c>
      <c r="B94" s="1306">
        <f t="shared" si="4"/>
        <v>192258856</v>
      </c>
      <c r="C94" s="1307">
        <v>168611550</v>
      </c>
      <c r="D94" s="1307">
        <v>23647306</v>
      </c>
      <c r="E94" s="1307"/>
    </row>
    <row r="95" spans="1:5" x14ac:dyDescent="0.2">
      <c r="A95" s="1293" t="s">
        <v>109</v>
      </c>
      <c r="B95" s="1306">
        <f t="shared" si="4"/>
        <v>0</v>
      </c>
      <c r="C95" s="1307"/>
      <c r="D95" s="1307"/>
      <c r="E95" s="1307"/>
    </row>
    <row r="96" spans="1:5" ht="13.5" thickBot="1" x14ac:dyDescent="0.25">
      <c r="A96" s="1293" t="s">
        <v>523</v>
      </c>
      <c r="B96" s="1306">
        <f t="shared" si="4"/>
        <v>0</v>
      </c>
      <c r="C96" s="1307"/>
      <c r="D96" s="1307"/>
      <c r="E96" s="1307"/>
    </row>
    <row r="97" spans="1:5" ht="13.5" thickBot="1" x14ac:dyDescent="0.25">
      <c r="A97" s="1294" t="s">
        <v>524</v>
      </c>
      <c r="B97" s="1308">
        <f>B92+SUM(B94:B96)</f>
        <v>193144656</v>
      </c>
      <c r="C97" s="1308">
        <f>C92+SUM(C94:C96)</f>
        <v>168611550</v>
      </c>
      <c r="D97" s="1308">
        <f>D92+SUM(D94:D96)</f>
        <v>24533106</v>
      </c>
      <c r="E97" s="1309">
        <f>E92+SUM(E94:E96)</f>
        <v>0</v>
      </c>
    </row>
    <row r="98" spans="1:5" x14ac:dyDescent="0.2">
      <c r="A98" s="1295" t="s">
        <v>525</v>
      </c>
      <c r="B98" s="1301">
        <f t="shared" ref="B98:B103" si="5">C98+D98+E98</f>
        <v>0</v>
      </c>
      <c r="C98" s="1302"/>
      <c r="D98" s="1302"/>
      <c r="E98" s="1303"/>
    </row>
    <row r="99" spans="1:5" x14ac:dyDescent="0.2">
      <c r="A99" s="1296" t="s">
        <v>526</v>
      </c>
      <c r="B99" s="1306">
        <f t="shared" si="5"/>
        <v>158195828</v>
      </c>
      <c r="C99" s="1307">
        <f>8103000+370000</f>
        <v>8473000</v>
      </c>
      <c r="D99" s="1307">
        <v>149722828</v>
      </c>
      <c r="E99" s="1307"/>
    </row>
    <row r="100" spans="1:5" x14ac:dyDescent="0.2">
      <c r="A100" s="1296" t="s">
        <v>527</v>
      </c>
      <c r="B100" s="1306">
        <f t="shared" si="5"/>
        <v>8744420</v>
      </c>
      <c r="C100" s="1307">
        <v>4702725</v>
      </c>
      <c r="D100" s="1307">
        <v>4041695</v>
      </c>
      <c r="E100" s="1307"/>
    </row>
    <row r="101" spans="1:5" x14ac:dyDescent="0.2">
      <c r="A101" s="1296" t="s">
        <v>528</v>
      </c>
      <c r="B101" s="1306">
        <f t="shared" si="5"/>
        <v>0</v>
      </c>
      <c r="C101" s="1307"/>
      <c r="D101" s="1307"/>
      <c r="E101" s="1307"/>
    </row>
    <row r="102" spans="1:5" x14ac:dyDescent="0.2">
      <c r="A102" s="1314" t="s">
        <v>529</v>
      </c>
      <c r="B102" s="1306">
        <f t="shared" si="5"/>
        <v>0</v>
      </c>
      <c r="C102" s="1311"/>
      <c r="D102" s="1311">
        <v>0</v>
      </c>
      <c r="E102" s="1311"/>
    </row>
    <row r="103" spans="1:5" ht="13.5" thickBot="1" x14ac:dyDescent="0.25">
      <c r="A103" s="1297" t="s">
        <v>987</v>
      </c>
      <c r="B103" s="1310">
        <f t="shared" si="5"/>
        <v>26204408</v>
      </c>
      <c r="C103" s="1311"/>
      <c r="D103" s="1311">
        <v>26204408</v>
      </c>
      <c r="E103" s="1312"/>
    </row>
    <row r="104" spans="1:5" ht="13.5" thickBot="1" x14ac:dyDescent="0.25">
      <c r="A104" s="1298" t="s">
        <v>97</v>
      </c>
      <c r="B104" s="1308">
        <f>SUM(B98:B103)</f>
        <v>193144656</v>
      </c>
      <c r="C104" s="1308">
        <f>SUM(C98:C103)</f>
        <v>13175725</v>
      </c>
      <c r="D104" s="1308">
        <f>SUM(D98:D103)</f>
        <v>179968931</v>
      </c>
      <c r="E104" s="1309">
        <f>SUM(E98:E103)</f>
        <v>0</v>
      </c>
    </row>
    <row r="105" spans="1:5" x14ac:dyDescent="0.2">
      <c r="A105" s="1300"/>
      <c r="B105" s="1300"/>
      <c r="C105" s="1300"/>
      <c r="D105" s="1300"/>
      <c r="E105" s="1300"/>
    </row>
    <row r="106" spans="1:5" ht="27" customHeight="1" x14ac:dyDescent="0.2">
      <c r="A106" s="1440" t="s">
        <v>994</v>
      </c>
      <c r="B106" s="1440"/>
      <c r="C106" s="1440"/>
      <c r="D106" s="1440"/>
      <c r="E106" s="1440"/>
    </row>
    <row r="107" spans="1:5" ht="15.75" thickBot="1" x14ac:dyDescent="0.25">
      <c r="A107" s="1284"/>
      <c r="B107" s="1284"/>
      <c r="C107" s="1284"/>
      <c r="D107" s="1284"/>
      <c r="E107" s="1286" t="s">
        <v>494</v>
      </c>
    </row>
    <row r="108" spans="1:5" ht="13.5" thickBot="1" x14ac:dyDescent="0.25">
      <c r="A108" s="1430" t="s">
        <v>520</v>
      </c>
      <c r="B108" s="1433" t="s">
        <v>981</v>
      </c>
      <c r="C108" s="1434"/>
      <c r="D108" s="1434"/>
      <c r="E108" s="1435"/>
    </row>
    <row r="109" spans="1:5" ht="13.5" thickBot="1" x14ac:dyDescent="0.25">
      <c r="A109" s="1431"/>
      <c r="B109" s="1427" t="str">
        <f>B88</f>
        <v>A projektre jóváhagyott összes
 bevétel, kiadás</v>
      </c>
      <c r="C109" s="1424" t="s">
        <v>982</v>
      </c>
      <c r="D109" s="1425"/>
      <c r="E109" s="1426"/>
    </row>
    <row r="110" spans="1:5" ht="12.75" customHeight="1" x14ac:dyDescent="0.2">
      <c r="A110" s="1431"/>
      <c r="B110" s="1436"/>
      <c r="C110" s="1427" t="str">
        <f>CONCATENATE(ALAPADATOK!$D$7," előttre ütemezett bevétel, kiadás")</f>
        <v>2022. előttre ütemezett bevétel, kiadás</v>
      </c>
      <c r="D110" s="1427" t="str">
        <f>CONCATENATE(ALAPADATOK!$D$7," évre ütemezett bevétel, kiadás")</f>
        <v>2022. évre ütemezett bevétel, kiadás</v>
      </c>
      <c r="E110" s="1427" t="str">
        <f>CONCATENATE(ALAPADATOK!$D$7," utánra ütemezett bevétel, kiadás")</f>
        <v>2022. utánra ütemezett bevétel, kiadás</v>
      </c>
    </row>
    <row r="111" spans="1:5" ht="13.5" thickBot="1" x14ac:dyDescent="0.25">
      <c r="A111" s="1432"/>
      <c r="B111" s="1439"/>
      <c r="C111" s="1428"/>
      <c r="D111" s="1428"/>
      <c r="E111" s="1429"/>
    </row>
    <row r="112" spans="1:5" ht="13.5" thickBot="1" x14ac:dyDescent="0.25">
      <c r="A112" s="1287" t="s">
        <v>385</v>
      </c>
      <c r="B112" s="1288" t="s">
        <v>983</v>
      </c>
      <c r="C112" s="1289" t="s">
        <v>387</v>
      </c>
      <c r="D112" s="1285" t="s">
        <v>437</v>
      </c>
      <c r="E112" s="1290" t="s">
        <v>438</v>
      </c>
    </row>
    <row r="113" spans="1:5" x14ac:dyDescent="0.2">
      <c r="A113" s="1291" t="s">
        <v>521</v>
      </c>
      <c r="B113" s="1301">
        <f t="shared" ref="B113:B117" si="6">C113+D113+E113</f>
        <v>5000</v>
      </c>
      <c r="C113" s="1302"/>
      <c r="D113" s="1302">
        <v>5000</v>
      </c>
      <c r="E113" s="1303"/>
    </row>
    <row r="114" spans="1:5" x14ac:dyDescent="0.2">
      <c r="A114" s="1292" t="s">
        <v>522</v>
      </c>
      <c r="B114" s="1304">
        <f t="shared" si="6"/>
        <v>0</v>
      </c>
      <c r="C114" s="1305"/>
      <c r="D114" s="1305"/>
      <c r="E114" s="1305"/>
    </row>
    <row r="115" spans="1:5" x14ac:dyDescent="0.2">
      <c r="A115" s="1293" t="s">
        <v>985</v>
      </c>
      <c r="B115" s="1306">
        <f t="shared" si="6"/>
        <v>230195216</v>
      </c>
      <c r="C115" s="1307">
        <v>230195216</v>
      </c>
      <c r="D115" s="1307"/>
      <c r="E115" s="1307"/>
    </row>
    <row r="116" spans="1:5" x14ac:dyDescent="0.2">
      <c r="A116" s="1293" t="s">
        <v>109</v>
      </c>
      <c r="B116" s="1306">
        <f t="shared" si="6"/>
        <v>0</v>
      </c>
      <c r="C116" s="1307"/>
      <c r="D116" s="1307"/>
      <c r="E116" s="1307"/>
    </row>
    <row r="117" spans="1:5" ht="13.5" thickBot="1" x14ac:dyDescent="0.25">
      <c r="A117" s="1293" t="s">
        <v>523</v>
      </c>
      <c r="B117" s="1306">
        <f t="shared" si="6"/>
        <v>0</v>
      </c>
      <c r="C117" s="1307"/>
      <c r="D117" s="1307"/>
      <c r="E117" s="1307"/>
    </row>
    <row r="118" spans="1:5" ht="13.5" thickBot="1" x14ac:dyDescent="0.25">
      <c r="A118" s="1294" t="s">
        <v>524</v>
      </c>
      <c r="B118" s="1308">
        <f>B113+SUM(B115:B117)</f>
        <v>230200216</v>
      </c>
      <c r="C118" s="1308">
        <f>C113+SUM(C115:C117)</f>
        <v>230195216</v>
      </c>
      <c r="D118" s="1308">
        <f>D113+SUM(D115:D117)</f>
        <v>5000</v>
      </c>
      <c r="E118" s="1309">
        <f>E113+SUM(E115:E117)</f>
        <v>0</v>
      </c>
    </row>
    <row r="119" spans="1:5" x14ac:dyDescent="0.2">
      <c r="A119" s="1295" t="s">
        <v>525</v>
      </c>
      <c r="B119" s="1301">
        <f>C119+D119+E119</f>
        <v>0</v>
      </c>
      <c r="C119" s="1302"/>
      <c r="D119" s="1302"/>
      <c r="E119" s="1303"/>
    </row>
    <row r="120" spans="1:5" x14ac:dyDescent="0.2">
      <c r="A120" s="1296" t="s">
        <v>526</v>
      </c>
      <c r="B120" s="1306">
        <f>C120+D120+E120</f>
        <v>227538416</v>
      </c>
      <c r="C120" s="1307">
        <f>6731000+220807416</f>
        <v>227538416</v>
      </c>
      <c r="D120" s="1307"/>
      <c r="E120" s="1307"/>
    </row>
    <row r="121" spans="1:5" x14ac:dyDescent="0.2">
      <c r="A121" s="1296" t="s">
        <v>527</v>
      </c>
      <c r="B121" s="1306">
        <f>C121+D121+E121</f>
        <v>2661800</v>
      </c>
      <c r="C121" s="1307">
        <v>2286630</v>
      </c>
      <c r="D121" s="1307">
        <v>375170</v>
      </c>
      <c r="E121" s="1307"/>
    </row>
    <row r="122" spans="1:5" x14ac:dyDescent="0.2">
      <c r="A122" s="1296" t="s">
        <v>528</v>
      </c>
      <c r="B122" s="1306">
        <f>C122+D122+E122</f>
        <v>0</v>
      </c>
      <c r="C122" s="1307"/>
      <c r="D122" s="1307"/>
      <c r="E122" s="1307"/>
    </row>
    <row r="123" spans="1:5" ht="13.5" thickBot="1" x14ac:dyDescent="0.25">
      <c r="A123" s="1297"/>
      <c r="B123" s="1310">
        <f>C123+D123+E123</f>
        <v>0</v>
      </c>
      <c r="C123" s="1311"/>
      <c r="D123" s="1311"/>
      <c r="E123" s="1312"/>
    </row>
    <row r="124" spans="1:5" ht="13.5" thickBot="1" x14ac:dyDescent="0.25">
      <c r="A124" s="1298" t="s">
        <v>97</v>
      </c>
      <c r="B124" s="1308">
        <f>SUM(B119:B123)</f>
        <v>230200216</v>
      </c>
      <c r="C124" s="1308">
        <f>SUM(C119:C123)</f>
        <v>229825046</v>
      </c>
      <c r="D124" s="1308">
        <f>SUM(D119:D123)</f>
        <v>375170</v>
      </c>
      <c r="E124" s="1309">
        <f>SUM(E119:E123)</f>
        <v>0</v>
      </c>
    </row>
    <row r="125" spans="1:5" x14ac:dyDescent="0.2">
      <c r="A125" s="1300"/>
      <c r="B125" s="1300"/>
      <c r="C125" s="1300"/>
      <c r="D125" s="1300"/>
      <c r="E125" s="1300"/>
    </row>
    <row r="126" spans="1:5" ht="14.25" x14ac:dyDescent="0.2">
      <c r="A126" s="1441" t="s">
        <v>995</v>
      </c>
      <c r="B126" s="1441"/>
      <c r="C126" s="1441"/>
      <c r="D126" s="1441"/>
      <c r="E126" s="1441"/>
    </row>
    <row r="127" spans="1:5" ht="15.75" thickBot="1" x14ac:dyDescent="0.25">
      <c r="A127" s="1284"/>
      <c r="B127" s="1284"/>
      <c r="C127" s="1284"/>
      <c r="D127" s="1284"/>
      <c r="E127" s="1286" t="s">
        <v>494</v>
      </c>
    </row>
    <row r="128" spans="1:5" ht="13.5" thickBot="1" x14ac:dyDescent="0.25">
      <c r="A128" s="1430" t="s">
        <v>520</v>
      </c>
      <c r="B128" s="1433" t="s">
        <v>981</v>
      </c>
      <c r="C128" s="1434"/>
      <c r="D128" s="1434"/>
      <c r="E128" s="1435"/>
    </row>
    <row r="129" spans="1:5" ht="13.5" thickBot="1" x14ac:dyDescent="0.25">
      <c r="A129" s="1431"/>
      <c r="B129" s="1427" t="str">
        <f>B109</f>
        <v>A projektre jóváhagyott összes
 bevétel, kiadás</v>
      </c>
      <c r="C129" s="1424" t="s">
        <v>982</v>
      </c>
      <c r="D129" s="1425"/>
      <c r="E129" s="1426"/>
    </row>
    <row r="130" spans="1:5" ht="12.75" customHeight="1" x14ac:dyDescent="0.2">
      <c r="A130" s="1431"/>
      <c r="B130" s="1436"/>
      <c r="C130" s="1427" t="str">
        <f>CONCATENATE(ALAPADATOK!$D$7," előttre ütemezett bevétel, kiadás")</f>
        <v>2022. előttre ütemezett bevétel, kiadás</v>
      </c>
      <c r="D130" s="1427" t="str">
        <f>CONCATENATE(ALAPADATOK!$D$7," évre ütemezett bevétel, kiadás")</f>
        <v>2022. évre ütemezett bevétel, kiadás</v>
      </c>
      <c r="E130" s="1427" t="str">
        <f>CONCATENATE(ALAPADATOK!$D$7," utánra ütemezett bevétel, kiadás")</f>
        <v>2022. utánra ütemezett bevétel, kiadás</v>
      </c>
    </row>
    <row r="131" spans="1:5" ht="13.5" thickBot="1" x14ac:dyDescent="0.25">
      <c r="A131" s="1432"/>
      <c r="B131" s="1439"/>
      <c r="C131" s="1428"/>
      <c r="D131" s="1428"/>
      <c r="E131" s="1429"/>
    </row>
    <row r="132" spans="1:5" ht="13.5" thickBot="1" x14ac:dyDescent="0.25">
      <c r="A132" s="1287" t="s">
        <v>385</v>
      </c>
      <c r="B132" s="1288" t="s">
        <v>983</v>
      </c>
      <c r="C132" s="1289" t="s">
        <v>387</v>
      </c>
      <c r="D132" s="1285" t="s">
        <v>437</v>
      </c>
      <c r="E132" s="1290" t="s">
        <v>438</v>
      </c>
    </row>
    <row r="133" spans="1:5" x14ac:dyDescent="0.2">
      <c r="A133" s="1291" t="s">
        <v>521</v>
      </c>
      <c r="B133" s="1301">
        <f t="shared" ref="B133:B137" si="7">C133+D133+E133</f>
        <v>0</v>
      </c>
      <c r="C133" s="1302"/>
      <c r="D133" s="1302"/>
      <c r="E133" s="1303"/>
    </row>
    <row r="134" spans="1:5" x14ac:dyDescent="0.2">
      <c r="A134" s="1292" t="s">
        <v>522</v>
      </c>
      <c r="B134" s="1304">
        <f t="shared" si="7"/>
        <v>0</v>
      </c>
      <c r="C134" s="1305"/>
      <c r="D134" s="1305"/>
      <c r="E134" s="1305"/>
    </row>
    <row r="135" spans="1:5" x14ac:dyDescent="0.2">
      <c r="A135" s="1293" t="s">
        <v>985</v>
      </c>
      <c r="B135" s="1306">
        <f t="shared" si="7"/>
        <v>236673075</v>
      </c>
      <c r="C135" s="1307"/>
      <c r="D135" s="1307">
        <v>236673075</v>
      </c>
      <c r="E135" s="1307"/>
    </row>
    <row r="136" spans="1:5" x14ac:dyDescent="0.2">
      <c r="A136" s="1293" t="s">
        <v>109</v>
      </c>
      <c r="B136" s="1306">
        <f t="shared" si="7"/>
        <v>0</v>
      </c>
      <c r="C136" s="1307"/>
      <c r="D136" s="1307"/>
      <c r="E136" s="1307"/>
    </row>
    <row r="137" spans="1:5" ht="13.5" thickBot="1" x14ac:dyDescent="0.25">
      <c r="A137" s="1293" t="s">
        <v>523</v>
      </c>
      <c r="B137" s="1306">
        <f t="shared" si="7"/>
        <v>12456514</v>
      </c>
      <c r="C137" s="1307"/>
      <c r="D137" s="1307">
        <f>12456775-261</f>
        <v>12456514</v>
      </c>
      <c r="E137" s="1307"/>
    </row>
    <row r="138" spans="1:5" ht="13.5" thickBot="1" x14ac:dyDescent="0.25">
      <c r="A138" s="1294" t="s">
        <v>524</v>
      </c>
      <c r="B138" s="1308">
        <f>B133+SUM(B135:B137)</f>
        <v>249129589</v>
      </c>
      <c r="C138" s="1308">
        <f>C133+SUM(C135:C137)</f>
        <v>0</v>
      </c>
      <c r="D138" s="1308">
        <f>D133+SUM(D135:D137)</f>
        <v>249129589</v>
      </c>
      <c r="E138" s="1309">
        <f>E133+SUM(E135:E137)</f>
        <v>0</v>
      </c>
    </row>
    <row r="139" spans="1:5" x14ac:dyDescent="0.2">
      <c r="A139" s="1295" t="s">
        <v>525</v>
      </c>
      <c r="B139" s="1301">
        <f>C139+D139+E139</f>
        <v>0</v>
      </c>
      <c r="C139" s="1302"/>
      <c r="D139" s="1302"/>
      <c r="E139" s="1303"/>
    </row>
    <row r="140" spans="1:5" x14ac:dyDescent="0.2">
      <c r="A140" s="1296" t="s">
        <v>526</v>
      </c>
      <c r="B140" s="1306">
        <f>C140+D140+E140</f>
        <v>240410058</v>
      </c>
      <c r="C140" s="1307">
        <v>1245677</v>
      </c>
      <c r="D140" s="1307">
        <v>239164381</v>
      </c>
      <c r="E140" s="1307"/>
    </row>
    <row r="141" spans="1:5" x14ac:dyDescent="0.2">
      <c r="A141" s="1296" t="s">
        <v>527</v>
      </c>
      <c r="B141" s="1306">
        <f>C141+D141+E141</f>
        <v>8719531</v>
      </c>
      <c r="C141" s="1307"/>
      <c r="D141" s="1307">
        <v>8719531</v>
      </c>
      <c r="E141" s="1307"/>
    </row>
    <row r="142" spans="1:5" x14ac:dyDescent="0.2">
      <c r="A142" s="1296" t="s">
        <v>528</v>
      </c>
      <c r="B142" s="1306">
        <f>C142+D142+E142</f>
        <v>0</v>
      </c>
      <c r="C142" s="1307"/>
      <c r="D142" s="1307"/>
      <c r="E142" s="1307"/>
    </row>
    <row r="143" spans="1:5" ht="13.5" thickBot="1" x14ac:dyDescent="0.25">
      <c r="A143" s="1297"/>
      <c r="B143" s="1310">
        <f>C143+D143+E143</f>
        <v>0</v>
      </c>
      <c r="C143" s="1311"/>
      <c r="D143" s="1311"/>
      <c r="E143" s="1312"/>
    </row>
    <row r="144" spans="1:5" ht="13.5" thickBot="1" x14ac:dyDescent="0.25">
      <c r="A144" s="1298" t="s">
        <v>97</v>
      </c>
      <c r="B144" s="1308">
        <f>SUM(B139:B143)</f>
        <v>249129589</v>
      </c>
      <c r="C144" s="1308">
        <f>SUM(C139:C143)</f>
        <v>1245677</v>
      </c>
      <c r="D144" s="1308">
        <f>SUM(D139:D143)</f>
        <v>247883912</v>
      </c>
      <c r="E144" s="1309">
        <f>SUM(E139:E143)</f>
        <v>0</v>
      </c>
    </row>
    <row r="145" spans="1:5" x14ac:dyDescent="0.2">
      <c r="A145" s="1300"/>
      <c r="B145" s="1300"/>
      <c r="C145" s="1300"/>
      <c r="D145" s="1300"/>
      <c r="E145" s="1300"/>
    </row>
  </sheetData>
  <mergeCells count="60"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06:E106"/>
    <mergeCell ref="A87:A90"/>
    <mergeCell ref="B87:E87"/>
    <mergeCell ref="B88:B90"/>
    <mergeCell ref="C88:E88"/>
    <mergeCell ref="C89:C90"/>
    <mergeCell ref="D89:D90"/>
    <mergeCell ref="E89:E90"/>
    <mergeCell ref="A67:A70"/>
    <mergeCell ref="B67:E67"/>
    <mergeCell ref="B68:B70"/>
    <mergeCell ref="C68:E68"/>
    <mergeCell ref="C69:C70"/>
    <mergeCell ref="D69:D70"/>
    <mergeCell ref="E69:E70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2" manualBreakCount="2">
    <brk id="64" max="16383" man="1"/>
    <brk id="12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5"/>
  <sheetViews>
    <sheetView zoomScale="115" zoomScaleNormal="115" zoomScaleSheetLayoutView="85" workbookViewId="0">
      <selection activeCell="A3" sqref="A3:C3"/>
    </sheetView>
  </sheetViews>
  <sheetFormatPr defaultRowHeight="12.75" x14ac:dyDescent="0.2"/>
  <cols>
    <col min="1" max="1" width="19.5" style="755" customWidth="1"/>
    <col min="2" max="2" width="72" style="344" customWidth="1"/>
    <col min="3" max="3" width="25" style="315" customWidth="1"/>
    <col min="4" max="4" width="16.6640625" style="714" hidden="1" customWidth="1"/>
    <col min="5" max="5" width="11.83203125" style="714" hidden="1" customWidth="1"/>
    <col min="6" max="6" width="12" style="713" hidden="1" customWidth="1"/>
    <col min="7" max="16384" width="9.33203125" style="704"/>
  </cols>
  <sheetData>
    <row r="1" spans="1:6" x14ac:dyDescent="0.2">
      <c r="A1" s="1446" t="str">
        <f>CONCATENATE("14. melléklet"," ",ALAPADATOK!A7," ",ALAPADATOK!B7," ",ALAPADATOK!C7," ",ALAPADATOK!D7," ",ALAPADATOK!E7," ",ALAPADATOK!F7," ",ALAPADATOK!G7," ",ALAPADATOK!H7)</f>
        <v>14. melléklet a .. / 2022. ( ……. ) önkormányzati rendelethez</v>
      </c>
      <c r="B1" s="1446"/>
      <c r="C1" s="1446"/>
    </row>
    <row r="2" spans="1:6" x14ac:dyDescent="0.2">
      <c r="A2" s="1127"/>
      <c r="B2" s="1127"/>
      <c r="C2" s="1383"/>
    </row>
    <row r="3" spans="1:6" s="1" customFormat="1" ht="16.5" customHeight="1" thickBot="1" x14ac:dyDescent="0.25">
      <c r="A3" s="1403" t="s">
        <v>904</v>
      </c>
      <c r="B3" s="1403"/>
      <c r="C3" s="1403"/>
      <c r="D3" s="714"/>
      <c r="E3" s="714"/>
      <c r="F3" s="713"/>
    </row>
    <row r="4" spans="1:6" ht="13.5" thickBot="1" x14ac:dyDescent="0.25">
      <c r="A4" s="175" t="s">
        <v>153</v>
      </c>
      <c r="B4" s="81" t="s">
        <v>50</v>
      </c>
      <c r="C4" s="156" t="s">
        <v>905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4"/>
      <c r="E5" s="714"/>
      <c r="F5" s="337"/>
    </row>
    <row r="6" spans="1:6" s="32" customFormat="1" ht="15.95" customHeight="1" thickBot="1" x14ac:dyDescent="0.25">
      <c r="A6" s="83"/>
      <c r="B6" s="84" t="s">
        <v>52</v>
      </c>
      <c r="C6" s="157"/>
      <c r="D6" s="714"/>
      <c r="E6" s="714"/>
      <c r="F6" s="337"/>
    </row>
    <row r="7" spans="1:6" s="32" customFormat="1" ht="12" customHeight="1" thickBot="1" x14ac:dyDescent="0.25">
      <c r="A7" s="25" t="s">
        <v>16</v>
      </c>
      <c r="B7" s="18" t="s">
        <v>179</v>
      </c>
      <c r="C7" s="1274">
        <f t="shared" ref="C7" si="0">+C8+C9+C10+C13+C14+C15</f>
        <v>1984935258</v>
      </c>
      <c r="D7" s="338">
        <f>'15. sz. mell. Önk.'!C7+'16. sz. mell. Önk.'!C7</f>
        <v>1984935258</v>
      </c>
      <c r="E7" s="338">
        <f t="shared" ref="E7:E71" si="1">C7-D7</f>
        <v>0</v>
      </c>
      <c r="F7" s="337">
        <f>C7-D7</f>
        <v>0</v>
      </c>
    </row>
    <row r="8" spans="1:6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1"/>
        <v>0</v>
      </c>
      <c r="F8" s="337">
        <f t="shared" ref="F8:F72" si="2">C8-D8</f>
        <v>0</v>
      </c>
    </row>
    <row r="9" spans="1:6" s="39" customFormat="1" ht="12" customHeight="1" thickBot="1" x14ac:dyDescent="0.25">
      <c r="A9" s="199" t="s">
        <v>86</v>
      </c>
      <c r="B9" s="185" t="s">
        <v>181</v>
      </c>
      <c r="C9" s="767">
        <v>296342550</v>
      </c>
      <c r="D9" s="338">
        <f>'15. sz. mell. Önk.'!C9+'16. sz. mell. Önk.'!C9</f>
        <v>296342550</v>
      </c>
      <c r="E9" s="340">
        <f t="shared" si="1"/>
        <v>0</v>
      </c>
      <c r="F9" s="337">
        <f t="shared" si="2"/>
        <v>0</v>
      </c>
    </row>
    <row r="10" spans="1:6" s="39" customFormat="1" ht="12" customHeight="1" thickBot="1" x14ac:dyDescent="0.25">
      <c r="A10" s="199" t="s">
        <v>87</v>
      </c>
      <c r="B10" s="185" t="s">
        <v>722</v>
      </c>
      <c r="C10" s="767">
        <f t="shared" ref="C10" si="3">SUM(C11:C12)</f>
        <v>1010986711</v>
      </c>
      <c r="D10" s="338">
        <f>'15. sz. mell. Önk.'!C10+'16. sz. mell. Önk.'!C10</f>
        <v>1010986711</v>
      </c>
      <c r="E10" s="340">
        <f t="shared" si="1"/>
        <v>0</v>
      </c>
      <c r="F10" s="337">
        <f t="shared" si="2"/>
        <v>0</v>
      </c>
    </row>
    <row r="11" spans="1:6" s="39" customFormat="1" ht="12" customHeight="1" thickBot="1" x14ac:dyDescent="0.25">
      <c r="A11" s="199" t="s">
        <v>720</v>
      </c>
      <c r="B11" s="185" t="s">
        <v>723</v>
      </c>
      <c r="C11" s="767">
        <f>586051194+153930858</f>
        <v>739982052</v>
      </c>
      <c r="D11" s="338">
        <f>'15. sz. mell. Önk.'!C11+'16. sz. mell. Önk.'!C11</f>
        <v>739982052</v>
      </c>
      <c r="E11" s="340">
        <f t="shared" si="1"/>
        <v>0</v>
      </c>
      <c r="F11" s="337">
        <f t="shared" si="2"/>
        <v>0</v>
      </c>
    </row>
    <row r="12" spans="1:6" s="39" customFormat="1" ht="12" customHeight="1" thickBot="1" x14ac:dyDescent="0.25">
      <c r="A12" s="199" t="s">
        <v>721</v>
      </c>
      <c r="B12" s="185" t="s">
        <v>724</v>
      </c>
      <c r="C12" s="767">
        <v>271004659</v>
      </c>
      <c r="D12" s="338">
        <f>'15. sz. mell. Önk.'!C12+'16. sz. mell. Önk.'!C12</f>
        <v>271004659</v>
      </c>
      <c r="E12" s="340">
        <f t="shared" si="1"/>
        <v>0</v>
      </c>
      <c r="F12" s="337">
        <f t="shared" si="2"/>
        <v>0</v>
      </c>
    </row>
    <row r="13" spans="1:6" s="39" customFormat="1" ht="12" customHeight="1" thickBot="1" x14ac:dyDescent="0.25">
      <c r="A13" s="199" t="s">
        <v>88</v>
      </c>
      <c r="B13" s="185" t="s">
        <v>183</v>
      </c>
      <c r="C13" s="767">
        <v>41287119</v>
      </c>
      <c r="D13" s="338">
        <f>'15. sz. mell. Önk.'!C13+'16. sz. mell. Önk.'!C13</f>
        <v>41287119</v>
      </c>
      <c r="E13" s="340">
        <f t="shared" si="1"/>
        <v>0</v>
      </c>
      <c r="F13" s="337">
        <f t="shared" si="2"/>
        <v>0</v>
      </c>
    </row>
    <row r="14" spans="1:6" s="39" customFormat="1" ht="12" customHeight="1" thickBot="1" x14ac:dyDescent="0.25">
      <c r="A14" s="199" t="s">
        <v>111</v>
      </c>
      <c r="B14" s="185" t="s">
        <v>446</v>
      </c>
      <c r="C14" s="767">
        <v>335081987</v>
      </c>
      <c r="D14" s="338">
        <f>'15. sz. mell. Önk.'!C14+'16. sz. mell. Önk.'!C14</f>
        <v>335081987</v>
      </c>
      <c r="E14" s="340">
        <f t="shared" si="1"/>
        <v>0</v>
      </c>
      <c r="F14" s="337">
        <f t="shared" si="2"/>
        <v>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75"/>
      <c r="D15" s="338">
        <f>'15. sz. mell. Önk.'!C15+'16. sz. mell. Önk.'!C15</f>
        <v>0</v>
      </c>
      <c r="E15" s="341">
        <f t="shared" si="1"/>
        <v>0</v>
      </c>
      <c r="F15" s="337">
        <f t="shared" si="2"/>
        <v>0</v>
      </c>
    </row>
    <row r="16" spans="1:6" s="38" customFormat="1" ht="12" customHeight="1" thickBot="1" x14ac:dyDescent="0.25">
      <c r="A16" s="25" t="s">
        <v>17</v>
      </c>
      <c r="B16" s="107" t="s">
        <v>184</v>
      </c>
      <c r="C16" s="1274">
        <f t="shared" ref="C16" si="4">+C17+C18+C19+C20+C21</f>
        <v>219593831</v>
      </c>
      <c r="D16" s="338">
        <f>'15. sz. mell. Önk.'!C16+'16. sz. mell. Önk.'!C16</f>
        <v>219593831</v>
      </c>
      <c r="E16" s="338">
        <f t="shared" si="1"/>
        <v>0</v>
      </c>
      <c r="F16" s="337">
        <f t="shared" si="2"/>
        <v>0</v>
      </c>
    </row>
    <row r="17" spans="1:6" s="38" customFormat="1" ht="12" customHeight="1" thickBot="1" x14ac:dyDescent="0.25">
      <c r="A17" s="198" t="s">
        <v>91</v>
      </c>
      <c r="B17" s="184" t="s">
        <v>185</v>
      </c>
      <c r="C17" s="1276"/>
      <c r="D17" s="338">
        <f>'15. sz. mell. Önk.'!C17+'16. sz. mell. Önk.'!C17</f>
        <v>0</v>
      </c>
      <c r="E17" s="339">
        <f t="shared" si="1"/>
        <v>0</v>
      </c>
      <c r="F17" s="337">
        <f t="shared" si="2"/>
        <v>0</v>
      </c>
    </row>
    <row r="18" spans="1:6" s="38" customFormat="1" ht="12" customHeight="1" thickBot="1" x14ac:dyDescent="0.25">
      <c r="A18" s="199" t="s">
        <v>92</v>
      </c>
      <c r="B18" s="185" t="s">
        <v>186</v>
      </c>
      <c r="C18" s="1275"/>
      <c r="D18" s="338">
        <f>'15. sz. mell. Önk.'!C18+'16. sz. mell. Önk.'!C18</f>
        <v>0</v>
      </c>
      <c r="E18" s="340">
        <f t="shared" si="1"/>
        <v>0</v>
      </c>
      <c r="F18" s="337">
        <f t="shared" si="2"/>
        <v>0</v>
      </c>
    </row>
    <row r="19" spans="1:6" s="38" customFormat="1" ht="12" customHeight="1" thickBot="1" x14ac:dyDescent="0.25">
      <c r="A19" s="199" t="s">
        <v>93</v>
      </c>
      <c r="B19" s="185" t="s">
        <v>352</v>
      </c>
      <c r="C19" s="1275"/>
      <c r="D19" s="338">
        <f>'15. sz. mell. Önk.'!C19+'16. sz. mell. Önk.'!C19</f>
        <v>0</v>
      </c>
      <c r="E19" s="340">
        <f t="shared" si="1"/>
        <v>0</v>
      </c>
      <c r="F19" s="337">
        <f t="shared" si="2"/>
        <v>0</v>
      </c>
    </row>
    <row r="20" spans="1:6" s="38" customFormat="1" ht="12" customHeight="1" thickBot="1" x14ac:dyDescent="0.25">
      <c r="A20" s="199" t="s">
        <v>94</v>
      </c>
      <c r="B20" s="185" t="s">
        <v>353</v>
      </c>
      <c r="C20" s="1275"/>
      <c r="D20" s="338">
        <f>'15. sz. mell. Önk.'!C20+'16. sz. mell. Önk.'!C20</f>
        <v>0</v>
      </c>
      <c r="E20" s="340">
        <f t="shared" si="1"/>
        <v>0</v>
      </c>
      <c r="F20" s="337">
        <f t="shared" si="2"/>
        <v>0</v>
      </c>
    </row>
    <row r="21" spans="1:6" s="38" customFormat="1" ht="12" customHeight="1" thickBot="1" x14ac:dyDescent="0.25">
      <c r="A21" s="199" t="s">
        <v>95</v>
      </c>
      <c r="B21" s="185" t="s">
        <v>187</v>
      </c>
      <c r="C21" s="1278">
        <v>219593831</v>
      </c>
      <c r="D21" s="338">
        <f>'15. sz. mell. Önk.'!C21+'16. sz. mell. Önk.'!C21</f>
        <v>219593831</v>
      </c>
      <c r="E21" s="340">
        <f t="shared" si="1"/>
        <v>0</v>
      </c>
      <c r="F21" s="337">
        <f t="shared" si="2"/>
        <v>0</v>
      </c>
    </row>
    <row r="22" spans="1:6" s="39" customFormat="1" ht="12" customHeight="1" thickBot="1" x14ac:dyDescent="0.25">
      <c r="A22" s="200" t="s">
        <v>104</v>
      </c>
      <c r="B22" s="186" t="s">
        <v>188</v>
      </c>
      <c r="C22" s="1279">
        <v>56195378</v>
      </c>
      <c r="D22" s="338">
        <f>'15. sz. mell. Önk.'!C22+'16. sz. mell. Önk.'!C22</f>
        <v>56195378</v>
      </c>
      <c r="E22" s="341">
        <f t="shared" si="1"/>
        <v>0</v>
      </c>
      <c r="F22" s="337">
        <f t="shared" si="2"/>
        <v>0</v>
      </c>
    </row>
    <row r="23" spans="1:6" s="39" customFormat="1" ht="12" customHeight="1" thickBot="1" x14ac:dyDescent="0.25">
      <c r="A23" s="25" t="s">
        <v>18</v>
      </c>
      <c r="B23" s="18" t="s">
        <v>189</v>
      </c>
      <c r="C23" s="1274">
        <f t="shared" ref="C23" si="5">+C24+C25+C26+C27+C28</f>
        <v>270822642</v>
      </c>
      <c r="D23" s="338">
        <f>'15. sz. mell. Önk.'!C23+'16. sz. mell. Önk.'!C23</f>
        <v>270822642</v>
      </c>
      <c r="E23" s="338">
        <f t="shared" si="1"/>
        <v>0</v>
      </c>
      <c r="F23" s="337">
        <f t="shared" si="2"/>
        <v>0</v>
      </c>
    </row>
    <row r="24" spans="1:6" s="39" customFormat="1" ht="12" customHeight="1" thickBot="1" x14ac:dyDescent="0.25">
      <c r="A24" s="198" t="s">
        <v>74</v>
      </c>
      <c r="B24" s="184" t="s">
        <v>190</v>
      </c>
      <c r="C24" s="1280">
        <f>28773000</f>
        <v>28773000</v>
      </c>
      <c r="D24" s="338">
        <f>'15. sz. mell. Önk.'!C24+'16. sz. mell. Önk.'!C24</f>
        <v>28773000</v>
      </c>
      <c r="E24" s="339">
        <f t="shared" si="1"/>
        <v>0</v>
      </c>
      <c r="F24" s="337">
        <f t="shared" si="2"/>
        <v>0</v>
      </c>
    </row>
    <row r="25" spans="1:6" s="38" customFormat="1" ht="12" customHeight="1" thickBot="1" x14ac:dyDescent="0.25">
      <c r="A25" s="199" t="s">
        <v>75</v>
      </c>
      <c r="B25" s="185" t="s">
        <v>191</v>
      </c>
      <c r="C25" s="1278"/>
      <c r="D25" s="338">
        <f>'15. sz. mell. Önk.'!C25+'16. sz. mell. Önk.'!C25</f>
        <v>0</v>
      </c>
      <c r="E25" s="340">
        <f t="shared" si="1"/>
        <v>0</v>
      </c>
      <c r="F25" s="337">
        <f t="shared" si="2"/>
        <v>0</v>
      </c>
    </row>
    <row r="26" spans="1:6" s="39" customFormat="1" ht="12" customHeight="1" thickBot="1" x14ac:dyDescent="0.25">
      <c r="A26" s="199" t="s">
        <v>76</v>
      </c>
      <c r="B26" s="185" t="s">
        <v>354</v>
      </c>
      <c r="C26" s="1278"/>
      <c r="D26" s="338">
        <f>'15. sz. mell. Önk.'!C26+'16. sz. mell. Önk.'!C26</f>
        <v>0</v>
      </c>
      <c r="E26" s="340">
        <f t="shared" si="1"/>
        <v>0</v>
      </c>
      <c r="F26" s="337">
        <f t="shared" si="2"/>
        <v>0</v>
      </c>
    </row>
    <row r="27" spans="1:6" s="39" customFormat="1" ht="12" customHeight="1" thickBot="1" x14ac:dyDescent="0.25">
      <c r="A27" s="199" t="s">
        <v>77</v>
      </c>
      <c r="B27" s="185" t="s">
        <v>355</v>
      </c>
      <c r="C27" s="1278"/>
      <c r="D27" s="338">
        <f>'15. sz. mell. Önk.'!C27+'16. sz. mell. Önk.'!C27</f>
        <v>0</v>
      </c>
      <c r="E27" s="340">
        <f t="shared" si="1"/>
        <v>0</v>
      </c>
      <c r="F27" s="337">
        <f t="shared" si="2"/>
        <v>0</v>
      </c>
    </row>
    <row r="28" spans="1:6" s="39" customFormat="1" ht="12" customHeight="1" thickBot="1" x14ac:dyDescent="0.25">
      <c r="A28" s="199" t="s">
        <v>122</v>
      </c>
      <c r="B28" s="185" t="s">
        <v>192</v>
      </c>
      <c r="C28" s="1278">
        <v>242049642</v>
      </c>
      <c r="D28" s="338">
        <f>'15. sz. mell. Önk.'!C28+'16. sz. mell. Önk.'!C28</f>
        <v>242049642</v>
      </c>
      <c r="E28" s="340">
        <f t="shared" si="1"/>
        <v>0</v>
      </c>
      <c r="F28" s="337">
        <f t="shared" si="2"/>
        <v>0</v>
      </c>
    </row>
    <row r="29" spans="1:6" s="39" customFormat="1" ht="12" customHeight="1" thickBot="1" x14ac:dyDescent="0.25">
      <c r="A29" s="200" t="s">
        <v>123</v>
      </c>
      <c r="B29" s="186" t="s">
        <v>193</v>
      </c>
      <c r="C29" s="1279">
        <v>242049642</v>
      </c>
      <c r="D29" s="338">
        <f>'15. sz. mell. Önk.'!C29+'16. sz. mell. Önk.'!C29</f>
        <v>242049642</v>
      </c>
      <c r="E29" s="341">
        <f t="shared" si="1"/>
        <v>0</v>
      </c>
      <c r="F29" s="337">
        <f t="shared" si="2"/>
        <v>0</v>
      </c>
    </row>
    <row r="30" spans="1:6" s="39" customFormat="1" ht="12" customHeight="1" thickBot="1" x14ac:dyDescent="0.25">
      <c r="A30" s="25" t="s">
        <v>124</v>
      </c>
      <c r="B30" s="18" t="s">
        <v>194</v>
      </c>
      <c r="C30" s="1281">
        <f t="shared" ref="C30" si="6">+C31++C35+C36</f>
        <v>391355000</v>
      </c>
      <c r="D30" s="338">
        <f>'15. sz. mell. Önk.'!C30+'16. sz. mell. Önk.'!C30</f>
        <v>391355000</v>
      </c>
      <c r="E30" s="338">
        <f t="shared" si="1"/>
        <v>0</v>
      </c>
      <c r="F30" s="337">
        <f t="shared" si="2"/>
        <v>0</v>
      </c>
    </row>
    <row r="31" spans="1:6" s="39" customFormat="1" ht="12" customHeight="1" thickBot="1" x14ac:dyDescent="0.25">
      <c r="A31" s="198" t="s">
        <v>195</v>
      </c>
      <c r="B31" s="184" t="s">
        <v>562</v>
      </c>
      <c r="C31" s="1250">
        <f t="shared" ref="C31" si="7">SUM(C32:C33)</f>
        <v>376555000</v>
      </c>
      <c r="D31" s="338">
        <f>'15. sz. mell. Önk.'!C31+'16. sz. mell. Önk.'!C31</f>
        <v>376555000</v>
      </c>
      <c r="E31" s="339">
        <f t="shared" si="1"/>
        <v>0</v>
      </c>
      <c r="F31" s="337">
        <f t="shared" si="2"/>
        <v>0</v>
      </c>
    </row>
    <row r="32" spans="1:6" s="39" customFormat="1" ht="12" customHeight="1" thickBot="1" x14ac:dyDescent="0.25">
      <c r="A32" s="199" t="s">
        <v>196</v>
      </c>
      <c r="B32" s="185" t="s">
        <v>201</v>
      </c>
      <c r="C32" s="1275">
        <f>85000000+5500000</f>
        <v>90500000</v>
      </c>
      <c r="D32" s="338">
        <f>'15. sz. mell. Önk.'!C32+'16. sz. mell. Önk.'!C32</f>
        <v>90500000</v>
      </c>
      <c r="E32" s="340">
        <f t="shared" si="1"/>
        <v>0</v>
      </c>
      <c r="F32" s="337">
        <f t="shared" si="2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275">
        <f>286055000</f>
        <v>286055000</v>
      </c>
      <c r="D33" s="338">
        <f>'15. sz. mell. Önk.'!C33+'16. sz. mell. Önk.'!C33</f>
        <v>286055000</v>
      </c>
      <c r="E33" s="340">
        <f t="shared" si="1"/>
        <v>0</v>
      </c>
      <c r="F33" s="337">
        <f t="shared" si="2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78"/>
      <c r="D34" s="338">
        <f>'15. sz. mell. Önk.'!C34+'16. sz. mell. Önk.'!C34</f>
        <v>0</v>
      </c>
      <c r="E34" s="340">
        <f t="shared" si="1"/>
        <v>0</v>
      </c>
      <c r="F34" s="337">
        <f t="shared" si="2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75"/>
      <c r="D35" s="338">
        <f>'15. sz. mell. Önk.'!C35+'16. sz. mell. Önk.'!C35</f>
        <v>0</v>
      </c>
      <c r="E35" s="340">
        <f t="shared" si="1"/>
        <v>0</v>
      </c>
      <c r="F35" s="337">
        <f t="shared" si="2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79">
        <v>14800000</v>
      </c>
      <c r="D36" s="338">
        <f>'15. sz. mell. Önk.'!C36+'16. sz. mell. Önk.'!C36</f>
        <v>14800000</v>
      </c>
      <c r="E36" s="341">
        <f t="shared" si="1"/>
        <v>0</v>
      </c>
      <c r="F36" s="337">
        <f t="shared" si="2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74">
        <f t="shared" ref="C37" si="8">SUM(C38:C48)</f>
        <v>65208269</v>
      </c>
      <c r="D37" s="338">
        <f>'15. sz. mell. Önk.'!C37+'16. sz. mell. Önk.'!C37</f>
        <v>65208269</v>
      </c>
      <c r="E37" s="338">
        <f t="shared" si="1"/>
        <v>0</v>
      </c>
      <c r="F37" s="337">
        <f t="shared" si="2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80"/>
      <c r="D38" s="338">
        <f>'15. sz. mell. Önk.'!C38+'16. sz. mell. Önk.'!C38</f>
        <v>0</v>
      </c>
      <c r="E38" s="339">
        <f t="shared" si="1"/>
        <v>0</v>
      </c>
      <c r="F38" s="337">
        <f t="shared" si="2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278">
        <v>13481102</v>
      </c>
      <c r="D39" s="338">
        <f>'15. sz. mell. Önk.'!C39+'16. sz. mell. Önk.'!C39</f>
        <v>13481102</v>
      </c>
      <c r="E39" s="340">
        <f t="shared" si="1"/>
        <v>0</v>
      </c>
      <c r="F39" s="337">
        <f t="shared" si="2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278">
        <v>13152488</v>
      </c>
      <c r="D40" s="338">
        <f>'15. sz. mell. Önk.'!C40+'16. sz. mell. Önk.'!C40</f>
        <v>13152488</v>
      </c>
      <c r="E40" s="340">
        <f t="shared" si="1"/>
        <v>0</v>
      </c>
      <c r="F40" s="337">
        <f t="shared" si="2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78">
        <v>9500000</v>
      </c>
      <c r="D41" s="338">
        <f>'15. sz. mell. Önk.'!C41+'16. sz. mell. Önk.'!C41</f>
        <v>9500000</v>
      </c>
      <c r="E41" s="340">
        <f t="shared" si="1"/>
        <v>0</v>
      </c>
      <c r="F41" s="337">
        <f t="shared" si="2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78"/>
      <c r="D42" s="338">
        <f>'15. sz. mell. Önk.'!C42+'16. sz. mell. Önk.'!C42</f>
        <v>0</v>
      </c>
      <c r="E42" s="340">
        <f t="shared" si="1"/>
        <v>0</v>
      </c>
      <c r="F42" s="337">
        <f t="shared" si="2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278">
        <v>8508178</v>
      </c>
      <c r="D43" s="338">
        <f>'15. sz. mell. Önk.'!C43+'16. sz. mell. Önk.'!C43</f>
        <v>8508178</v>
      </c>
      <c r="E43" s="340">
        <f t="shared" si="1"/>
        <v>0</v>
      </c>
      <c r="F43" s="337">
        <f t="shared" si="2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78">
        <v>19458900</v>
      </c>
      <c r="D44" s="338">
        <f>'15. sz. mell. Önk.'!C44+'16. sz. mell. Önk.'!C44</f>
        <v>19458900</v>
      </c>
      <c r="E44" s="340">
        <f t="shared" si="1"/>
        <v>0</v>
      </c>
      <c r="F44" s="337">
        <f t="shared" si="2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78"/>
      <c r="D45" s="338">
        <f>'15. sz. mell. Önk.'!C45+'16. sz. mell. Önk.'!C45</f>
        <v>0</v>
      </c>
      <c r="E45" s="340">
        <f t="shared" si="1"/>
        <v>0</v>
      </c>
      <c r="F45" s="337">
        <f t="shared" si="2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78"/>
      <c r="D46" s="338">
        <f>'15. sz. mell. Önk.'!C46+'16. sz. mell. Önk.'!C46</f>
        <v>0</v>
      </c>
      <c r="E46" s="340">
        <f t="shared" si="1"/>
        <v>0</v>
      </c>
      <c r="F46" s="337">
        <f t="shared" si="2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79"/>
      <c r="D47" s="338">
        <f>'15. sz. mell. Önk.'!C47+'16. sz. mell. Önk.'!C47</f>
        <v>0</v>
      </c>
      <c r="E47" s="340">
        <f t="shared" si="1"/>
        <v>0</v>
      </c>
      <c r="F47" s="337">
        <f t="shared" si="2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79">
        <v>1107601</v>
      </c>
      <c r="D48" s="338">
        <f>'15. sz. mell. Önk.'!C48+'16. sz. mell. Önk.'!C48</f>
        <v>1107601</v>
      </c>
      <c r="E48" s="341">
        <f t="shared" si="1"/>
        <v>0</v>
      </c>
      <c r="F48" s="337">
        <f t="shared" si="2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74">
        <f t="shared" ref="C49" si="9">SUM(C50:C54)</f>
        <v>48000000</v>
      </c>
      <c r="D49" s="338">
        <f>'15. sz. mell. Önk.'!C49+'16. sz. mell. Önk.'!C49</f>
        <v>48000000</v>
      </c>
      <c r="E49" s="338">
        <f t="shared" si="1"/>
        <v>0</v>
      </c>
      <c r="F49" s="337">
        <f t="shared" si="2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80"/>
      <c r="D50" s="338">
        <f>'15. sz. mell. Önk.'!C50+'16. sz. mell. Önk.'!C50</f>
        <v>0</v>
      </c>
      <c r="E50" s="339">
        <f t="shared" si="1"/>
        <v>0</v>
      </c>
      <c r="F50" s="337">
        <f t="shared" si="2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78">
        <v>48000000</v>
      </c>
      <c r="D51" s="338">
        <f>'15. sz. mell. Önk.'!C51+'16. sz. mell. Önk.'!C51</f>
        <v>48000000</v>
      </c>
      <c r="E51" s="340">
        <f t="shared" si="1"/>
        <v>0</v>
      </c>
      <c r="F51" s="337">
        <f t="shared" si="2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78"/>
      <c r="D52" s="338">
        <f>'15. sz. mell. Önk.'!C52+'16. sz. mell. Önk.'!C52</f>
        <v>0</v>
      </c>
      <c r="E52" s="340">
        <f t="shared" si="1"/>
        <v>0</v>
      </c>
      <c r="F52" s="337">
        <f t="shared" si="2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78"/>
      <c r="D53" s="338">
        <f>'15. sz. mell. Önk.'!C53+'16. sz. mell. Önk.'!C53</f>
        <v>0</v>
      </c>
      <c r="E53" s="340">
        <f t="shared" si="1"/>
        <v>0</v>
      </c>
      <c r="F53" s="337">
        <f t="shared" si="2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79"/>
      <c r="D54" s="338">
        <f>'15. sz. mell. Önk.'!C54+'16. sz. mell. Önk.'!C54</f>
        <v>0</v>
      </c>
      <c r="E54" s="341">
        <f t="shared" si="1"/>
        <v>0</v>
      </c>
      <c r="F54" s="337">
        <f t="shared" si="2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74">
        <f t="shared" ref="C55" si="10">SUM(C56:C58)</f>
        <v>1200000</v>
      </c>
      <c r="D55" s="338">
        <f>'15. sz. mell. Önk.'!C55+'16. sz. mell. Önk.'!C55</f>
        <v>1200000</v>
      </c>
      <c r="E55" s="338">
        <f t="shared" si="1"/>
        <v>0</v>
      </c>
      <c r="F55" s="337">
        <f t="shared" si="2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76">
        <v>1000000</v>
      </c>
      <c r="D56" s="338">
        <f>'15. sz. mell. Önk.'!C56+'16. sz. mell. Önk.'!C56</f>
        <v>1000000</v>
      </c>
      <c r="E56" s="339">
        <f t="shared" si="1"/>
        <v>0</v>
      </c>
      <c r="F56" s="337">
        <f t="shared" si="2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78">
        <v>200000</v>
      </c>
      <c r="D57" s="338">
        <f>'15. sz. mell. Önk.'!C57+'16. sz. mell. Önk.'!C57</f>
        <v>200000</v>
      </c>
      <c r="E57" s="340">
        <f t="shared" si="1"/>
        <v>0</v>
      </c>
      <c r="F57" s="337">
        <f t="shared" si="2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78"/>
      <c r="D58" s="338">
        <f>'15. sz. mell. Önk.'!C58+'16. sz. mell. Önk.'!C58</f>
        <v>0</v>
      </c>
      <c r="E58" s="340">
        <f t="shared" si="1"/>
        <v>0</v>
      </c>
      <c r="F58" s="337">
        <f t="shared" si="2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77"/>
      <c r="D59" s="338">
        <f>'15. sz. mell. Önk.'!C59+'16. sz. mell. Önk.'!C59</f>
        <v>0</v>
      </c>
      <c r="E59" s="341">
        <f t="shared" si="1"/>
        <v>0</v>
      </c>
      <c r="F59" s="337">
        <f t="shared" si="2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74">
        <f t="shared" ref="C60" si="11">SUM(C61:C63)</f>
        <v>0</v>
      </c>
      <c r="D60" s="338">
        <f>'15. sz. mell. Önk.'!C60+'16. sz. mell. Önk.'!C60</f>
        <v>0</v>
      </c>
      <c r="E60" s="338">
        <f t="shared" si="1"/>
        <v>0</v>
      </c>
      <c r="F60" s="337">
        <f t="shared" si="2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78"/>
      <c r="D61" s="338">
        <f>'15. sz. mell. Önk.'!C61+'16. sz. mell. Önk.'!C61</f>
        <v>0</v>
      </c>
      <c r="E61" s="339">
        <f t="shared" si="1"/>
        <v>0</v>
      </c>
      <c r="F61" s="337">
        <f t="shared" si="2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78"/>
      <c r="D62" s="338">
        <f>'15. sz. mell. Önk.'!C62+'16. sz. mell. Önk.'!C62</f>
        <v>0</v>
      </c>
      <c r="E62" s="340">
        <f t="shared" si="1"/>
        <v>0</v>
      </c>
      <c r="F62" s="337">
        <f t="shared" si="2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78"/>
      <c r="D63" s="338">
        <f>'15. sz. mell. Önk.'!C63+'16. sz. mell. Önk.'!C63</f>
        <v>0</v>
      </c>
      <c r="E63" s="340">
        <f t="shared" si="1"/>
        <v>0</v>
      </c>
      <c r="F63" s="337">
        <f t="shared" si="2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78"/>
      <c r="D64" s="338">
        <f>'15. sz. mell. Önk.'!C64+'16. sz. mell. Önk.'!C64</f>
        <v>0</v>
      </c>
      <c r="E64" s="341">
        <f t="shared" si="1"/>
        <v>0</v>
      </c>
      <c r="F64" s="337">
        <f t="shared" si="2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81">
        <f t="shared" ref="C65" si="12">+C7+C16+C23+C30+C37+C49+C55+C60</f>
        <v>2981115000</v>
      </c>
      <c r="D65" s="338">
        <f>'15. sz. mell. Önk.'!C65+'16. sz. mell. Önk.'!C65</f>
        <v>2981115000</v>
      </c>
      <c r="E65" s="338">
        <f t="shared" si="1"/>
        <v>0</v>
      </c>
      <c r="F65" s="337">
        <f t="shared" si="2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74">
        <f t="shared" ref="C66" si="13">SUM(C67:C69)</f>
        <v>1187733250</v>
      </c>
      <c r="D66" s="338">
        <f>'15. sz. mell. Önk.'!C66+'16. sz. mell. Önk.'!C66</f>
        <v>1187733250</v>
      </c>
      <c r="E66" s="338">
        <f t="shared" si="1"/>
        <v>0</v>
      </c>
      <c r="F66" s="337">
        <f t="shared" si="2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78">
        <v>187733250</v>
      </c>
      <c r="D67" s="338">
        <f>'15. sz. mell. Önk.'!C67+'16. sz. mell. Önk.'!C67</f>
        <v>187733250</v>
      </c>
      <c r="E67" s="339">
        <f t="shared" si="1"/>
        <v>0</v>
      </c>
      <c r="F67" s="337">
        <f t="shared" si="2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78">
        <v>1000000000</v>
      </c>
      <c r="D68" s="338">
        <f>'15. sz. mell. Önk.'!C68+'16. sz. mell. Önk.'!C68</f>
        <v>1000000000</v>
      </c>
      <c r="E68" s="340">
        <f t="shared" si="1"/>
        <v>0</v>
      </c>
      <c r="F68" s="337">
        <f t="shared" si="2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78"/>
      <c r="D69" s="338">
        <f>'15. sz. mell. Önk.'!C69+'16. sz. mell. Önk.'!C69</f>
        <v>0</v>
      </c>
      <c r="E69" s="341">
        <f t="shared" si="1"/>
        <v>0</v>
      </c>
      <c r="F69" s="337">
        <f t="shared" si="2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74">
        <f t="shared" ref="C70" si="14">SUM(C71:C74)</f>
        <v>0</v>
      </c>
      <c r="D70" s="338">
        <f>'15. sz. mell. Önk.'!C70+'16. sz. mell. Önk.'!C70</f>
        <v>0</v>
      </c>
      <c r="E70" s="338">
        <f t="shared" si="1"/>
        <v>0</v>
      </c>
      <c r="F70" s="337">
        <f t="shared" si="2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78"/>
      <c r="D71" s="338">
        <f>'15. sz. mell. Önk.'!C71+'16. sz. mell. Önk.'!C71</f>
        <v>0</v>
      </c>
      <c r="E71" s="339">
        <f t="shared" si="1"/>
        <v>0</v>
      </c>
      <c r="F71" s="337">
        <f t="shared" si="2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78"/>
      <c r="D72" s="338">
        <f>'15. sz. mell. Önk.'!C72+'16. sz. mell. Önk.'!C72</f>
        <v>0</v>
      </c>
      <c r="E72" s="340">
        <f t="shared" ref="E72:E90" si="15">C72-D72</f>
        <v>0</v>
      </c>
      <c r="F72" s="337">
        <f t="shared" si="2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78"/>
      <c r="D73" s="338">
        <f>'15. sz. mell. Önk.'!C73+'16. sz. mell. Önk.'!C73</f>
        <v>0</v>
      </c>
      <c r="E73" s="340">
        <f t="shared" si="15"/>
        <v>0</v>
      </c>
      <c r="F73" s="337">
        <f t="shared" ref="F73:F135" si="16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78"/>
      <c r="D74" s="338">
        <f>'15. sz. mell. Önk.'!C74+'16. sz. mell. Önk.'!C74</f>
        <v>0</v>
      </c>
      <c r="E74" s="341">
        <f t="shared" si="15"/>
        <v>0</v>
      </c>
      <c r="F74" s="337">
        <f t="shared" si="16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74">
        <f t="shared" ref="C75" si="17">SUM(C76:C77)</f>
        <v>2381931880</v>
      </c>
      <c r="D75" s="338">
        <f>'15. sz. mell. Önk.'!C75+'16. sz. mell. Önk.'!C75</f>
        <v>2381931880</v>
      </c>
      <c r="E75" s="338">
        <f t="shared" si="15"/>
        <v>0</v>
      </c>
      <c r="F75" s="337">
        <f t="shared" si="16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78">
        <v>2381931880</v>
      </c>
      <c r="D76" s="338">
        <f>'15. sz. mell. Önk.'!C76+'16. sz. mell. Önk.'!C76</f>
        <v>2381931880</v>
      </c>
      <c r="E76" s="339">
        <f t="shared" si="15"/>
        <v>0</v>
      </c>
      <c r="F76" s="337">
        <f t="shared" si="16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78"/>
      <c r="D77" s="338">
        <f>'15. sz. mell. Önk.'!C77+'16. sz. mell. Önk.'!C77</f>
        <v>0</v>
      </c>
      <c r="E77" s="341">
        <f t="shared" si="15"/>
        <v>0</v>
      </c>
      <c r="F77" s="337">
        <f t="shared" si="16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74">
        <f t="shared" ref="C78" si="18">SUM(C79:C81)</f>
        <v>55076107</v>
      </c>
      <c r="D78" s="338">
        <f>'15. sz. mell. Önk.'!C78+'16. sz. mell. Önk.'!C78</f>
        <v>55076107</v>
      </c>
      <c r="E78" s="338">
        <f t="shared" si="15"/>
        <v>0</v>
      </c>
      <c r="F78" s="337">
        <f t="shared" si="16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78">
        <v>55076107</v>
      </c>
      <c r="D79" s="338">
        <f>'15. sz. mell. Önk.'!C79+'16. sz. mell. Önk.'!C79</f>
        <v>55076107</v>
      </c>
      <c r="E79" s="339">
        <f t="shared" si="15"/>
        <v>0</v>
      </c>
      <c r="F79" s="337">
        <f t="shared" si="16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78"/>
      <c r="D80" s="338">
        <f>'15. sz. mell. Önk.'!C80+'16. sz. mell. Önk.'!C80</f>
        <v>0</v>
      </c>
      <c r="E80" s="340">
        <f t="shared" si="15"/>
        <v>0</v>
      </c>
      <c r="F80" s="337">
        <f t="shared" si="16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78"/>
      <c r="D81" s="338">
        <f>'15. sz. mell. Önk.'!C81+'16. sz. mell. Önk.'!C81</f>
        <v>0</v>
      </c>
      <c r="E81" s="341">
        <f t="shared" si="15"/>
        <v>0</v>
      </c>
      <c r="F81" s="337">
        <f t="shared" si="16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74">
        <f t="shared" ref="C82" si="19">SUM(C83:C86)</f>
        <v>0</v>
      </c>
      <c r="D82" s="338">
        <f>'15. sz. mell. Önk.'!C82+'16. sz. mell. Önk.'!C82</f>
        <v>0</v>
      </c>
      <c r="E82" s="338">
        <f t="shared" si="15"/>
        <v>0</v>
      </c>
      <c r="F82" s="337">
        <f t="shared" si="16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78"/>
      <c r="D83" s="338">
        <f>'15. sz. mell. Önk.'!C83+'16. sz. mell. Önk.'!C83</f>
        <v>0</v>
      </c>
      <c r="E83" s="339">
        <f t="shared" si="15"/>
        <v>0</v>
      </c>
      <c r="F83" s="337">
        <f t="shared" si="16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78"/>
      <c r="D84" s="338">
        <f>'15. sz. mell. Önk.'!C84+'16. sz. mell. Önk.'!C84</f>
        <v>0</v>
      </c>
      <c r="E84" s="340">
        <f t="shared" si="15"/>
        <v>0</v>
      </c>
      <c r="F84" s="337">
        <f t="shared" si="16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78"/>
      <c r="D85" s="338">
        <f>'15. sz. mell. Önk.'!C85+'16. sz. mell. Önk.'!C85</f>
        <v>0</v>
      </c>
      <c r="E85" s="340">
        <f t="shared" si="15"/>
        <v>0</v>
      </c>
      <c r="F85" s="337">
        <f t="shared" si="16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78"/>
      <c r="D86" s="338">
        <f>'15. sz. mell. Önk.'!C86+'16. sz. mell. Önk.'!C86</f>
        <v>0</v>
      </c>
      <c r="E86" s="341">
        <f t="shared" si="15"/>
        <v>0</v>
      </c>
      <c r="F86" s="337">
        <f t="shared" si="16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82"/>
      <c r="D87" s="338">
        <f>'15. sz. mell. Önk.'!C87+'16. sz. mell. Önk.'!C87</f>
        <v>0</v>
      </c>
      <c r="E87" s="338">
        <f t="shared" si="15"/>
        <v>0</v>
      </c>
      <c r="F87" s="337">
        <f t="shared" si="16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82"/>
      <c r="D88" s="338">
        <f>'15. sz. mell. Önk.'!C88+'16. sz. mell. Önk.'!C88</f>
        <v>0</v>
      </c>
      <c r="E88" s="338">
        <f t="shared" si="15"/>
        <v>0</v>
      </c>
      <c r="F88" s="337">
        <f t="shared" si="16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81">
        <f t="shared" ref="C89" si="20">+C66+C70+C75+C78+C82+C88+C87</f>
        <v>3624741237</v>
      </c>
      <c r="D89" s="338">
        <f>'15. sz. mell. Önk.'!C89+'16. sz. mell. Önk.'!C89</f>
        <v>3624741237</v>
      </c>
      <c r="E89" s="338">
        <f t="shared" si="15"/>
        <v>0</v>
      </c>
      <c r="F89" s="337">
        <f t="shared" si="16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81">
        <f t="shared" ref="C90" si="21">+C65+C89</f>
        <v>6605856237</v>
      </c>
      <c r="D90" s="338">
        <f>'15. sz. mell. Önk.'!C90+'16. sz. mell. Önk.'!C90</f>
        <v>6605856237</v>
      </c>
      <c r="E90" s="338">
        <f t="shared" si="15"/>
        <v>0</v>
      </c>
      <c r="F90" s="337">
        <f t="shared" si="16"/>
        <v>0</v>
      </c>
    </row>
    <row r="91" spans="1:6" s="32" customFormat="1" ht="16.5" customHeight="1" thickBot="1" x14ac:dyDescent="0.25">
      <c r="A91" s="1449" t="s">
        <v>53</v>
      </c>
      <c r="B91" s="1450"/>
      <c r="C91" s="1451"/>
      <c r="D91" s="338">
        <f>'15. sz. mell. Önk.'!C91+'16. sz. mell. Önk.'!C91</f>
        <v>0</v>
      </c>
      <c r="E91" s="714"/>
      <c r="F91" s="337">
        <f t="shared" si="16"/>
        <v>0</v>
      </c>
    </row>
    <row r="92" spans="1:6" s="708" customFormat="1" ht="12" customHeight="1" thickBot="1" x14ac:dyDescent="0.25">
      <c r="A92" s="176" t="s">
        <v>16</v>
      </c>
      <c r="B92" s="23" t="s">
        <v>460</v>
      </c>
      <c r="C92" s="1248">
        <f>+C93+C94+C95+C96+C97+C110</f>
        <v>1025995234</v>
      </c>
      <c r="D92" s="338">
        <f>'15. sz. mell. Önk.'!C92+'16. sz. mell. Önk.'!C92</f>
        <v>1025995234</v>
      </c>
      <c r="E92" s="338">
        <f t="shared" ref="E92:E154" si="22">C92-D92</f>
        <v>0</v>
      </c>
      <c r="F92" s="337">
        <f t="shared" si="16"/>
        <v>0</v>
      </c>
    </row>
    <row r="93" spans="1:6" ht="12" customHeight="1" thickBot="1" x14ac:dyDescent="0.25">
      <c r="A93" s="206" t="s">
        <v>85</v>
      </c>
      <c r="B93" s="7" t="s">
        <v>46</v>
      </c>
      <c r="C93" s="771">
        <f>58106090+15752</f>
        <v>58121842</v>
      </c>
      <c r="D93" s="338">
        <f>'15. sz. mell. Önk.'!C93+'16. sz. mell. Önk.'!C93</f>
        <v>58121842</v>
      </c>
      <c r="E93" s="339">
        <f t="shared" si="22"/>
        <v>0</v>
      </c>
      <c r="F93" s="337">
        <f t="shared" si="16"/>
        <v>0</v>
      </c>
    </row>
    <row r="94" spans="1:6" ht="12" customHeight="1" thickBot="1" x14ac:dyDescent="0.25">
      <c r="A94" s="199" t="s">
        <v>86</v>
      </c>
      <c r="B94" s="5" t="s">
        <v>134</v>
      </c>
      <c r="C94" s="1278">
        <v>9537920</v>
      </c>
      <c r="D94" s="338">
        <f>'15. sz. mell. Önk.'!C94+'16. sz. mell. Önk.'!C94</f>
        <v>9537920</v>
      </c>
      <c r="E94" s="340">
        <f t="shared" si="22"/>
        <v>0</v>
      </c>
      <c r="F94" s="337">
        <f t="shared" si="16"/>
        <v>0</v>
      </c>
    </row>
    <row r="95" spans="1:6" ht="12" customHeight="1" thickBot="1" x14ac:dyDescent="0.25">
      <c r="A95" s="199" t="s">
        <v>87</v>
      </c>
      <c r="B95" s="5" t="s">
        <v>110</v>
      </c>
      <c r="C95" s="1279">
        <f>380566666+6810425+200566320-160000</f>
        <v>587783411</v>
      </c>
      <c r="D95" s="338">
        <f>'15. sz. mell. Önk.'!C95+'16. sz. mell. Önk.'!C95</f>
        <v>587783411</v>
      </c>
      <c r="E95" s="340">
        <f t="shared" si="22"/>
        <v>0</v>
      </c>
      <c r="F95" s="337">
        <f t="shared" si="16"/>
        <v>0</v>
      </c>
    </row>
    <row r="96" spans="1:6" ht="12" customHeight="1" thickBot="1" x14ac:dyDescent="0.25">
      <c r="A96" s="199" t="s">
        <v>88</v>
      </c>
      <c r="B96" s="8" t="s">
        <v>135</v>
      </c>
      <c r="C96" s="1279">
        <v>43800000</v>
      </c>
      <c r="D96" s="338">
        <f>'15. sz. mell. Önk.'!C96+'16. sz. mell. Önk.'!C96</f>
        <v>43800000</v>
      </c>
      <c r="E96" s="340">
        <f t="shared" si="22"/>
        <v>0</v>
      </c>
      <c r="F96" s="337">
        <f t="shared" si="16"/>
        <v>0</v>
      </c>
    </row>
    <row r="97" spans="1:6" ht="12" customHeight="1" thickBot="1" x14ac:dyDescent="0.25">
      <c r="A97" s="199" t="s">
        <v>99</v>
      </c>
      <c r="B97" s="16" t="s">
        <v>136</v>
      </c>
      <c r="C97" s="1279">
        <f>SUM(C98:C109)</f>
        <v>196331548</v>
      </c>
      <c r="D97" s="338">
        <f>'15. sz. mell. Önk.'!C97+'16. sz. mell. Önk.'!C97</f>
        <v>196331548</v>
      </c>
      <c r="E97" s="340">
        <f t="shared" si="22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279"/>
      <c r="D98" s="338">
        <f>'15. sz. mell. Önk.'!C98+'16. sz. mell. Önk.'!C98</f>
        <v>0</v>
      </c>
      <c r="E98" s="340">
        <f t="shared" si="22"/>
        <v>0</v>
      </c>
      <c r="F98" s="337">
        <f t="shared" si="16"/>
        <v>0</v>
      </c>
    </row>
    <row r="99" spans="1:6" ht="12" customHeight="1" thickBot="1" x14ac:dyDescent="0.25">
      <c r="A99" s="199" t="s">
        <v>90</v>
      </c>
      <c r="B99" s="58" t="s">
        <v>400</v>
      </c>
      <c r="C99" s="1279">
        <v>5091319</v>
      </c>
      <c r="D99" s="338">
        <f>'15. sz. mell. Önk.'!C99+'16. sz. mell. Önk.'!C99</f>
        <v>5091319</v>
      </c>
      <c r="E99" s="340">
        <f t="shared" si="22"/>
        <v>0</v>
      </c>
      <c r="F99" s="337">
        <f t="shared" si="16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79"/>
      <c r="D100" s="338">
        <f>'15. sz. mell. Önk.'!C100+'16. sz. mell. Önk.'!C100</f>
        <v>0</v>
      </c>
      <c r="E100" s="340">
        <f t="shared" si="22"/>
        <v>0</v>
      </c>
      <c r="F100" s="337">
        <f t="shared" si="16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79"/>
      <c r="D101" s="338">
        <f>'15. sz. mell. Önk.'!C101+'16. sz. mell. Önk.'!C101</f>
        <v>0</v>
      </c>
      <c r="E101" s="340">
        <f t="shared" si="22"/>
        <v>0</v>
      </c>
      <c r="F101" s="337">
        <f t="shared" si="16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79"/>
      <c r="D102" s="338">
        <f>'15. sz. mell. Önk.'!C102+'16. sz. mell. Önk.'!C102</f>
        <v>0</v>
      </c>
      <c r="E102" s="340">
        <f t="shared" si="22"/>
        <v>0</v>
      </c>
      <c r="F102" s="337">
        <f t="shared" si="16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79"/>
      <c r="D103" s="338">
        <f>'15. sz. mell. Önk.'!C103+'16. sz. mell. Önk.'!C103</f>
        <v>0</v>
      </c>
      <c r="E103" s="340">
        <f t="shared" si="22"/>
        <v>0</v>
      </c>
      <c r="F103" s="337">
        <f t="shared" si="16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279">
        <v>636000</v>
      </c>
      <c r="D104" s="338">
        <f>'15. sz. mell. Önk.'!C104+'16. sz. mell. Önk.'!C104</f>
        <v>636000</v>
      </c>
      <c r="E104" s="340">
        <f t="shared" si="22"/>
        <v>0</v>
      </c>
      <c r="F104" s="337">
        <f t="shared" si="16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79"/>
      <c r="D105" s="338">
        <f>'15. sz. mell. Önk.'!C105+'16. sz. mell. Önk.'!C105</f>
        <v>0</v>
      </c>
      <c r="E105" s="340">
        <f t="shared" si="22"/>
        <v>0</v>
      </c>
      <c r="F105" s="337">
        <f t="shared" si="16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79"/>
      <c r="D106" s="338">
        <f>'15. sz. mell. Önk.'!C106+'16. sz. mell. Önk.'!C106</f>
        <v>0</v>
      </c>
      <c r="E106" s="340">
        <f t="shared" si="22"/>
        <v>0</v>
      </c>
      <c r="F106" s="337">
        <f t="shared" si="16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79"/>
      <c r="D107" s="338">
        <f>'15. sz. mell. Önk.'!C107+'16. sz. mell. Önk.'!C107</f>
        <v>0</v>
      </c>
      <c r="E107" s="340">
        <f t="shared" si="22"/>
        <v>0</v>
      </c>
      <c r="F107" s="337">
        <f t="shared" si="16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79"/>
      <c r="D108" s="338">
        <f>'15. sz. mell. Önk.'!C108+'16. sz. mell. Önk.'!C108</f>
        <v>0</v>
      </c>
      <c r="E108" s="340">
        <f t="shared" si="22"/>
        <v>0</v>
      </c>
      <c r="F108" s="337">
        <f t="shared" si="16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278">
        <v>190604229</v>
      </c>
      <c r="D109" s="338">
        <f>'15. sz. mell. Önk.'!C109+'16. sz. mell. Önk.'!C109</f>
        <v>190604229</v>
      </c>
      <c r="E109" s="340">
        <f t="shared" si="22"/>
        <v>0</v>
      </c>
      <c r="F109" s="337">
        <f t="shared" si="16"/>
        <v>0</v>
      </c>
    </row>
    <row r="110" spans="1:6" ht="12" customHeight="1" thickBot="1" x14ac:dyDescent="0.25">
      <c r="A110" s="199" t="s">
        <v>404</v>
      </c>
      <c r="B110" s="8" t="s">
        <v>47</v>
      </c>
      <c r="C110" s="1278">
        <f t="shared" ref="C110" si="23">SUM(C111:C112)</f>
        <v>130420513</v>
      </c>
      <c r="D110" s="338">
        <f>'15. sz. mell. Önk.'!C110+'16. sz. mell. Önk.'!C110</f>
        <v>130420513</v>
      </c>
      <c r="E110" s="340">
        <f t="shared" si="22"/>
        <v>0</v>
      </c>
      <c r="F110" s="337">
        <f t="shared" si="16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279">
        <v>10000000</v>
      </c>
      <c r="D111" s="338">
        <f>'15. sz. mell. Önk.'!C111+'16. sz. mell. Önk.'!C111</f>
        <v>10000000</v>
      </c>
      <c r="E111" s="340">
        <f t="shared" si="22"/>
        <v>0</v>
      </c>
      <c r="F111" s="337">
        <f t="shared" si="16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282">
        <v>120420513</v>
      </c>
      <c r="D112" s="338">
        <f>'15. sz. mell. Önk.'!C112+'16. sz. mell. Önk.'!C112</f>
        <v>120420513</v>
      </c>
      <c r="E112" s="341">
        <f t="shared" si="22"/>
        <v>0</v>
      </c>
      <c r="F112" s="337">
        <f t="shared" si="16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74">
        <f t="shared" ref="C113" si="24">+C114+C116+C118</f>
        <v>2635759096</v>
      </c>
      <c r="D113" s="338">
        <f>'15. sz. mell. Önk.'!C113+'16. sz. mell. Önk.'!C113</f>
        <v>2635759096</v>
      </c>
      <c r="E113" s="338">
        <f t="shared" si="22"/>
        <v>0</v>
      </c>
      <c r="F113" s="337">
        <f t="shared" si="16"/>
        <v>0</v>
      </c>
    </row>
    <row r="114" spans="1:6" ht="12" customHeight="1" thickBot="1" x14ac:dyDescent="0.25">
      <c r="A114" s="198" t="s">
        <v>91</v>
      </c>
      <c r="B114" s="5" t="s">
        <v>157</v>
      </c>
      <c r="C114" s="1280">
        <v>700117222</v>
      </c>
      <c r="D114" s="338">
        <f>'15. sz. mell. Önk.'!C114+'16. sz. mell. Önk.'!C114</f>
        <v>700117222</v>
      </c>
      <c r="E114" s="339">
        <f t="shared" si="22"/>
        <v>0</v>
      </c>
      <c r="F114" s="337">
        <f t="shared" si="16"/>
        <v>0</v>
      </c>
    </row>
    <row r="115" spans="1:6" ht="12" customHeight="1" thickBot="1" x14ac:dyDescent="0.25">
      <c r="A115" s="198" t="s">
        <v>92</v>
      </c>
      <c r="B115" s="9" t="s">
        <v>297</v>
      </c>
      <c r="C115" s="1280">
        <v>224124925</v>
      </c>
      <c r="D115" s="338">
        <f>'15. sz. mell. Önk.'!C115+'16. sz. mell. Önk.'!C115</f>
        <v>224124925</v>
      </c>
      <c r="E115" s="340">
        <f t="shared" si="22"/>
        <v>0</v>
      </c>
      <c r="F115" s="337">
        <f t="shared" si="16"/>
        <v>0</v>
      </c>
    </row>
    <row r="116" spans="1:6" ht="12" customHeight="1" thickBot="1" x14ac:dyDescent="0.25">
      <c r="A116" s="198" t="s">
        <v>93</v>
      </c>
      <c r="B116" s="9" t="s">
        <v>138</v>
      </c>
      <c r="C116" s="1278">
        <f>1934218597</f>
        <v>1934218597</v>
      </c>
      <c r="D116" s="338">
        <f>'15. sz. mell. Önk.'!C116+'16. sz. mell. Önk.'!C116</f>
        <v>1934218597</v>
      </c>
      <c r="E116" s="340">
        <f t="shared" si="22"/>
        <v>0</v>
      </c>
      <c r="F116" s="337">
        <f t="shared" si="16"/>
        <v>0</v>
      </c>
    </row>
    <row r="117" spans="1:6" ht="12" customHeight="1" thickBot="1" x14ac:dyDescent="0.25">
      <c r="A117" s="198" t="s">
        <v>94</v>
      </c>
      <c r="B117" s="9" t="s">
        <v>298</v>
      </c>
      <c r="C117" s="1278">
        <v>399460471</v>
      </c>
      <c r="D117" s="338">
        <f>'15. sz. mell. Önk.'!C117+'16. sz. mell. Önk.'!C117</f>
        <v>399460471</v>
      </c>
      <c r="E117" s="340">
        <f t="shared" si="22"/>
        <v>0</v>
      </c>
      <c r="F117" s="337">
        <f t="shared" si="16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278">
        <f t="shared" ref="C118" si="25">SUM(C119:C126)</f>
        <v>1423277</v>
      </c>
      <c r="D118" s="338">
        <f>'15. sz. mell. Önk.'!C118+'16. sz. mell. Önk.'!C118</f>
        <v>1423277</v>
      </c>
      <c r="E118" s="340">
        <f t="shared" si="22"/>
        <v>0</v>
      </c>
      <c r="F118" s="337">
        <f t="shared" si="16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75"/>
      <c r="D119" s="338">
        <f>'15. sz. mell. Önk.'!C119+'16. sz. mell. Önk.'!C119</f>
        <v>0</v>
      </c>
      <c r="E119" s="340">
        <f t="shared" si="22"/>
        <v>0</v>
      </c>
      <c r="F119" s="337">
        <f t="shared" si="16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75"/>
      <c r="D120" s="338">
        <f>'15. sz. mell. Önk.'!C120+'16. sz. mell. Önk.'!C120</f>
        <v>0</v>
      </c>
      <c r="E120" s="340">
        <f t="shared" si="22"/>
        <v>0</v>
      </c>
      <c r="F120" s="337">
        <f t="shared" si="16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75"/>
      <c r="D121" s="338">
        <f>'15. sz. mell. Önk.'!C121+'16. sz. mell. Önk.'!C121</f>
        <v>0</v>
      </c>
      <c r="E121" s="340">
        <f t="shared" si="22"/>
        <v>0</v>
      </c>
      <c r="F121" s="337">
        <f t="shared" si="16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275"/>
      <c r="D122" s="338">
        <f>'15. sz. mell. Önk.'!C122+'16. sz. mell. Önk.'!C122</f>
        <v>0</v>
      </c>
      <c r="E122" s="340">
        <f t="shared" si="22"/>
        <v>0</v>
      </c>
      <c r="F122" s="337">
        <f t="shared" si="16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75"/>
      <c r="D123" s="338">
        <f>'15. sz. mell. Önk.'!C123+'16. sz. mell. Önk.'!C123</f>
        <v>0</v>
      </c>
      <c r="E123" s="340">
        <f t="shared" si="22"/>
        <v>0</v>
      </c>
      <c r="F123" s="337">
        <f t="shared" si="16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75"/>
      <c r="D124" s="338">
        <f>'15. sz. mell. Önk.'!C124+'16. sz. mell. Önk.'!C124</f>
        <v>0</v>
      </c>
      <c r="E124" s="340">
        <f t="shared" si="22"/>
        <v>0</v>
      </c>
      <c r="F124" s="337">
        <f t="shared" si="16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75"/>
      <c r="D125" s="338">
        <f>'15. sz. mell. Önk.'!C125+'16. sz. mell. Önk.'!C125</f>
        <v>0</v>
      </c>
      <c r="E125" s="340">
        <f t="shared" si="22"/>
        <v>0</v>
      </c>
      <c r="F125" s="337">
        <f t="shared" si="16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279">
        <v>1423277</v>
      </c>
      <c r="D126" s="338">
        <f>'15. sz. mell. Önk.'!C126+'16. sz. mell. Önk.'!C126</f>
        <v>1423277</v>
      </c>
      <c r="E126" s="341">
        <f t="shared" si="22"/>
        <v>0</v>
      </c>
      <c r="F126" s="337">
        <f t="shared" si="16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74">
        <f t="shared" ref="C127" si="26">+C92+C113</f>
        <v>3661754330</v>
      </c>
      <c r="D127" s="338">
        <f>'15. sz. mell. Önk.'!C127+'16. sz. mell. Önk.'!C127</f>
        <v>3661754330</v>
      </c>
      <c r="E127" s="338">
        <f t="shared" si="22"/>
        <v>0</v>
      </c>
      <c r="F127" s="337">
        <f t="shared" si="16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74">
        <f t="shared" ref="C128" si="27">+C129+C130+C131</f>
        <v>1022728296</v>
      </c>
      <c r="D128" s="338">
        <f>'15. sz. mell. Önk.'!C128+'16. sz. mell. Önk.'!C128</f>
        <v>1022728296</v>
      </c>
      <c r="E128" s="338">
        <f t="shared" si="22"/>
        <v>0</v>
      </c>
      <c r="F128" s="337">
        <f t="shared" si="16"/>
        <v>0</v>
      </c>
    </row>
    <row r="129" spans="1:7" s="708" customFormat="1" ht="12" customHeight="1" thickBot="1" x14ac:dyDescent="0.25">
      <c r="A129" s="198" t="s">
        <v>195</v>
      </c>
      <c r="B129" s="6" t="s">
        <v>454</v>
      </c>
      <c r="C129" s="1278">
        <v>22728296</v>
      </c>
      <c r="D129" s="338">
        <f>'15. sz. mell. Önk.'!C129+'16. sz. mell. Önk.'!C129</f>
        <v>22728296</v>
      </c>
      <c r="E129" s="339">
        <f t="shared" si="22"/>
        <v>0</v>
      </c>
      <c r="F129" s="337">
        <f t="shared" si="16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78">
        <v>1000000000</v>
      </c>
      <c r="D130" s="338">
        <f>'15. sz. mell. Önk.'!C130+'16. sz. mell. Önk.'!C130</f>
        <v>1000000000</v>
      </c>
      <c r="E130" s="340">
        <f t="shared" si="22"/>
        <v>0</v>
      </c>
      <c r="F130" s="337">
        <f t="shared" si="16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75"/>
      <c r="D131" s="338">
        <f>'15. sz. mell. Önk.'!C131+'16. sz. mell. Önk.'!C131</f>
        <v>0</v>
      </c>
      <c r="E131" s="341">
        <f t="shared" si="22"/>
        <v>0</v>
      </c>
      <c r="F131" s="337">
        <f t="shared" si="16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74">
        <f>+C133+C134+C135+C136+C137+C138</f>
        <v>0</v>
      </c>
      <c r="D132" s="338">
        <f>'15. sz. mell. Önk.'!C132+'16. sz. mell. Önk.'!C132</f>
        <v>0</v>
      </c>
      <c r="E132" s="338">
        <f t="shared" si="22"/>
        <v>0</v>
      </c>
      <c r="F132" s="337">
        <f t="shared" si="16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75"/>
      <c r="D133" s="338">
        <f>'15. sz. mell. Önk.'!C133+'16. sz. mell. Önk.'!C133</f>
        <v>0</v>
      </c>
      <c r="E133" s="339">
        <f t="shared" si="22"/>
        <v>0</v>
      </c>
      <c r="F133" s="337">
        <f t="shared" si="16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75"/>
      <c r="D134" s="338">
        <f>'15. sz. mell. Önk.'!C134+'16. sz. mell. Önk.'!C134</f>
        <v>0</v>
      </c>
      <c r="E134" s="340">
        <f t="shared" si="22"/>
        <v>0</v>
      </c>
      <c r="F134" s="337">
        <f t="shared" si="16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75"/>
      <c r="D135" s="338">
        <f>'15. sz. mell. Önk.'!C135+'16. sz. mell. Önk.'!C135</f>
        <v>0</v>
      </c>
      <c r="E135" s="340">
        <f t="shared" si="22"/>
        <v>0</v>
      </c>
      <c r="F135" s="337">
        <f t="shared" si="16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75"/>
      <c r="D136" s="338">
        <f>'15. sz. mell. Önk.'!C136+'16. sz. mell. Önk.'!C136</f>
        <v>0</v>
      </c>
      <c r="E136" s="340">
        <f t="shared" si="22"/>
        <v>0</v>
      </c>
      <c r="F136" s="337">
        <f t="shared" ref="F136:F155" si="28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75"/>
      <c r="D137" s="338">
        <f>'15. sz. mell. Önk.'!C137+'16. sz. mell. Önk.'!C137</f>
        <v>0</v>
      </c>
      <c r="E137" s="340">
        <f t="shared" si="22"/>
        <v>0</v>
      </c>
      <c r="F137" s="337">
        <f t="shared" si="28"/>
        <v>0</v>
      </c>
    </row>
    <row r="138" spans="1:7" s="708" customFormat="1" ht="12" customHeight="1" thickBot="1" x14ac:dyDescent="0.25">
      <c r="A138" s="207" t="s">
        <v>128</v>
      </c>
      <c r="B138" s="4" t="s">
        <v>420</v>
      </c>
      <c r="C138" s="1275"/>
      <c r="D138" s="338">
        <f>'15. sz. mell. Önk.'!C138+'16. sz. mell. Önk.'!C138</f>
        <v>0</v>
      </c>
      <c r="E138" s="341">
        <f t="shared" si="22"/>
        <v>0</v>
      </c>
      <c r="F138" s="337">
        <f t="shared" si="28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81">
        <f t="shared" ref="C139" si="29">+C140+C141+C142+C143</f>
        <v>55076107</v>
      </c>
      <c r="D139" s="338">
        <f>'15. sz. mell. Önk.'!C139+'16. sz. mell. Önk.'!C139</f>
        <v>55076107</v>
      </c>
      <c r="E139" s="338">
        <f t="shared" si="22"/>
        <v>0</v>
      </c>
      <c r="F139" s="337">
        <f t="shared" si="28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75"/>
      <c r="D140" s="338">
        <f>'15. sz. mell. Önk.'!C140+'16. sz. mell. Önk.'!C140</f>
        <v>0</v>
      </c>
      <c r="E140" s="339">
        <f t="shared" si="22"/>
        <v>0</v>
      </c>
      <c r="F140" s="337">
        <f t="shared" si="28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75">
        <v>55076107</v>
      </c>
      <c r="D141" s="338">
        <f>'15. sz. mell. Önk.'!C141+'16. sz. mell. Önk.'!C141</f>
        <v>55076107</v>
      </c>
      <c r="E141" s="340">
        <f t="shared" si="22"/>
        <v>0</v>
      </c>
      <c r="F141" s="337">
        <f t="shared" si="28"/>
        <v>0</v>
      </c>
    </row>
    <row r="142" spans="1:7" s="708" customFormat="1" ht="12" customHeight="1" thickBot="1" x14ac:dyDescent="0.25">
      <c r="A142" s="198" t="s">
        <v>218</v>
      </c>
      <c r="B142" s="6" t="s">
        <v>422</v>
      </c>
      <c r="C142" s="1275"/>
      <c r="D142" s="338">
        <f>'15. sz. mell. Önk.'!C142+'16. sz. mell. Önk.'!C142</f>
        <v>0</v>
      </c>
      <c r="E142" s="340">
        <f t="shared" si="22"/>
        <v>0</v>
      </c>
      <c r="F142" s="337">
        <f t="shared" si="28"/>
        <v>0</v>
      </c>
    </row>
    <row r="143" spans="1:7" s="708" customFormat="1" ht="12" customHeight="1" thickBot="1" x14ac:dyDescent="0.25">
      <c r="A143" s="207" t="s">
        <v>219</v>
      </c>
      <c r="B143" s="4" t="s">
        <v>323</v>
      </c>
      <c r="C143" s="1275"/>
      <c r="D143" s="338">
        <f>'15. sz. mell. Önk.'!C143+'16. sz. mell. Önk.'!C143</f>
        <v>0</v>
      </c>
      <c r="E143" s="341">
        <f t="shared" si="22"/>
        <v>0</v>
      </c>
      <c r="F143" s="337">
        <f t="shared" si="28"/>
        <v>0</v>
      </c>
    </row>
    <row r="144" spans="1:7" s="708" customFormat="1" ht="12" customHeight="1" thickBot="1" x14ac:dyDescent="0.25">
      <c r="A144" s="25" t="s">
        <v>22</v>
      </c>
      <c r="B144" s="54" t="s">
        <v>423</v>
      </c>
      <c r="C144" s="1249">
        <f>+C145+C146+C147+C148+C149</f>
        <v>0</v>
      </c>
      <c r="D144" s="338">
        <f>'15. sz. mell. Önk.'!C144+'16. sz. mell. Önk.'!C144</f>
        <v>0</v>
      </c>
      <c r="E144" s="338">
        <f t="shared" si="22"/>
        <v>0</v>
      </c>
      <c r="F144" s="337">
        <f t="shared" si="28"/>
        <v>0</v>
      </c>
    </row>
    <row r="145" spans="1:6" s="708" customFormat="1" ht="12" customHeight="1" thickBot="1" x14ac:dyDescent="0.25">
      <c r="A145" s="198" t="s">
        <v>83</v>
      </c>
      <c r="B145" s="6" t="s">
        <v>424</v>
      </c>
      <c r="C145" s="1275"/>
      <c r="D145" s="338">
        <f>'15. sz. mell. Önk.'!C145+'16. sz. mell. Önk.'!C145</f>
        <v>0</v>
      </c>
      <c r="E145" s="339">
        <f t="shared" si="22"/>
        <v>0</v>
      </c>
      <c r="F145" s="337">
        <f t="shared" si="28"/>
        <v>0</v>
      </c>
    </row>
    <row r="146" spans="1:6" s="708" customFormat="1" ht="12" customHeight="1" thickBot="1" x14ac:dyDescent="0.25">
      <c r="A146" s="198" t="s">
        <v>84</v>
      </c>
      <c r="B146" s="6" t="s">
        <v>425</v>
      </c>
      <c r="C146" s="1275"/>
      <c r="D146" s="338">
        <f>'15. sz. mell. Önk.'!C146+'16. sz. mell. Önk.'!C146</f>
        <v>0</v>
      </c>
      <c r="E146" s="340">
        <f t="shared" si="22"/>
        <v>0</v>
      </c>
      <c r="F146" s="337">
        <f t="shared" si="28"/>
        <v>0</v>
      </c>
    </row>
    <row r="147" spans="1:6" s="708" customFormat="1" ht="12" customHeight="1" thickBot="1" x14ac:dyDescent="0.25">
      <c r="A147" s="198" t="s">
        <v>230</v>
      </c>
      <c r="B147" s="6" t="s">
        <v>426</v>
      </c>
      <c r="C147" s="1275"/>
      <c r="D147" s="338">
        <f>'15. sz. mell. Önk.'!C147+'16. sz. mell. Önk.'!C147</f>
        <v>0</v>
      </c>
      <c r="E147" s="340">
        <f t="shared" si="22"/>
        <v>0</v>
      </c>
      <c r="F147" s="337">
        <f t="shared" si="28"/>
        <v>0</v>
      </c>
    </row>
    <row r="148" spans="1:6" s="708" customFormat="1" ht="12" customHeight="1" thickBot="1" x14ac:dyDescent="0.25">
      <c r="A148" s="198" t="s">
        <v>231</v>
      </c>
      <c r="B148" s="6" t="s">
        <v>458</v>
      </c>
      <c r="C148" s="1275"/>
      <c r="D148" s="338">
        <f>'15. sz. mell. Önk.'!C148+'16. sz. mell. Önk.'!C148</f>
        <v>0</v>
      </c>
      <c r="E148" s="340">
        <f t="shared" si="22"/>
        <v>0</v>
      </c>
      <c r="F148" s="337">
        <f t="shared" si="28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77"/>
      <c r="D149" s="338">
        <f>'15. sz. mell. Önk.'!C149+'16. sz. mell. Önk.'!C149</f>
        <v>0</v>
      </c>
      <c r="E149" s="341">
        <f t="shared" si="22"/>
        <v>0</v>
      </c>
      <c r="F149" s="337">
        <f t="shared" si="28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49"/>
      <c r="D150" s="338">
        <f>'15. sz. mell. Önk.'!C150+'16. sz. mell. Önk.'!C150</f>
        <v>0</v>
      </c>
      <c r="E150" s="338">
        <f t="shared" si="22"/>
        <v>0</v>
      </c>
      <c r="F150" s="337">
        <f t="shared" si="28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49"/>
      <c r="D151" s="338">
        <f>'15. sz. mell. Önk.'!C151+'16. sz. mell. Önk.'!C151</f>
        <v>0</v>
      </c>
      <c r="E151" s="342">
        <f t="shared" si="22"/>
        <v>0</v>
      </c>
      <c r="F151" s="337">
        <f t="shared" si="28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83">
        <f t="shared" ref="C152" si="30">+C128+C132+C139+C144+C150+C151</f>
        <v>1077804403</v>
      </c>
      <c r="D152" s="338">
        <f>'15. sz. mell. Önk.'!C152+'16. sz. mell. Önk.'!C152</f>
        <v>1077804403</v>
      </c>
      <c r="E152" s="338">
        <f t="shared" si="22"/>
        <v>0</v>
      </c>
      <c r="F152" s="337">
        <f t="shared" si="28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83">
        <f t="shared" ref="C153" si="31">+C127+C152</f>
        <v>4739558733</v>
      </c>
      <c r="D153" s="338">
        <f>'15. sz. mell. Önk.'!C153+'16. sz. mell. Önk.'!C153</f>
        <v>4739558733</v>
      </c>
      <c r="E153" s="338">
        <f t="shared" si="22"/>
        <v>0</v>
      </c>
      <c r="F153" s="337">
        <f t="shared" si="28"/>
        <v>0</v>
      </c>
    </row>
    <row r="154" spans="1:6" ht="15" customHeight="1" thickBot="1" x14ac:dyDescent="0.25">
      <c r="A154" s="1447" t="s">
        <v>459</v>
      </c>
      <c r="B154" s="1448"/>
      <c r="C154" s="1143">
        <f>6</f>
        <v>6</v>
      </c>
      <c r="D154" s="729">
        <f>'15. sz. mell. Önk.'!C154+'16. sz. mell. Önk.'!C154</f>
        <v>6</v>
      </c>
      <c r="E154" s="338">
        <f t="shared" si="22"/>
        <v>0</v>
      </c>
      <c r="F154" s="337">
        <f t="shared" si="28"/>
        <v>0</v>
      </c>
    </row>
    <row r="155" spans="1:6" ht="15" customHeight="1" thickBot="1" x14ac:dyDescent="0.25">
      <c r="A155" s="1447" t="s">
        <v>710</v>
      </c>
      <c r="B155" s="1448"/>
      <c r="C155" s="728">
        <v>0</v>
      </c>
      <c r="D155" s="338">
        <f>'15. sz. mell. Önk.'!C155+'16. sz. mell. Önk.'!C155</f>
        <v>0</v>
      </c>
      <c r="E155" s="338">
        <f>C155-D155</f>
        <v>0</v>
      </c>
      <c r="F155" s="337">
        <f t="shared" si="28"/>
        <v>0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C10" sqref="C10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4" bestFit="1" customWidth="1"/>
    <col min="5" max="16384" width="9.33203125" style="704"/>
  </cols>
  <sheetData>
    <row r="1" spans="1:6" x14ac:dyDescent="0.2">
      <c r="A1" s="1446" t="str">
        <f>CONCATENATE("15. melléklet"," ",ALAPADATOK!A7," ",ALAPADATOK!B7," ",ALAPADATOK!C7," ",ALAPADATOK!D7," ",ALAPADATOK!E7," ",ALAPADATOK!F7," ",ALAPADATOK!G7," ",ALAPADATOK!H7)</f>
        <v>15. melléklet a .. / 2022. ( ……. ) önkormányzati rendelethez</v>
      </c>
      <c r="B1" s="1446"/>
      <c r="C1" s="1446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03" t="s">
        <v>906</v>
      </c>
      <c r="B3" s="1403"/>
      <c r="C3" s="1403"/>
      <c r="D3" s="714"/>
      <c r="E3" s="714"/>
      <c r="F3" s="713"/>
    </row>
    <row r="4" spans="1:6" ht="13.5" thickBot="1" x14ac:dyDescent="0.25">
      <c r="A4" s="175" t="s">
        <v>153</v>
      </c>
      <c r="B4" s="81" t="s">
        <v>50</v>
      </c>
      <c r="C4" s="156" t="s">
        <v>905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74">
        <f t="shared" ref="C7" si="0">+C8+C9+C10+C13+C14+C15</f>
        <v>1612170129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767">
        <v>296342550</v>
      </c>
    </row>
    <row r="10" spans="1:6" s="39" customFormat="1" ht="22.5" x14ac:dyDescent="0.2">
      <c r="A10" s="199" t="s">
        <v>87</v>
      </c>
      <c r="B10" s="185" t="s">
        <v>722</v>
      </c>
      <c r="C10" s="767">
        <f t="shared" ref="C10" si="1">SUM(C11:C12)</f>
        <v>638221582</v>
      </c>
    </row>
    <row r="11" spans="1:6" s="39" customFormat="1" ht="12" customHeight="1" x14ac:dyDescent="0.2">
      <c r="A11" s="199" t="s">
        <v>720</v>
      </c>
      <c r="B11" s="185" t="s">
        <v>723</v>
      </c>
      <c r="C11" s="767">
        <v>367216923</v>
      </c>
    </row>
    <row r="12" spans="1:6" s="39" customFormat="1" ht="12" customHeight="1" x14ac:dyDescent="0.2">
      <c r="A12" s="199" t="s">
        <v>721</v>
      </c>
      <c r="B12" s="185" t="s">
        <v>724</v>
      </c>
      <c r="C12" s="767">
        <v>271004659</v>
      </c>
    </row>
    <row r="13" spans="1:6" s="39" customFormat="1" ht="12" customHeight="1" x14ac:dyDescent="0.2">
      <c r="A13" s="199" t="s">
        <v>88</v>
      </c>
      <c r="B13" s="185" t="s">
        <v>183</v>
      </c>
      <c r="C13" s="767">
        <v>41287119</v>
      </c>
    </row>
    <row r="14" spans="1:6" s="39" customFormat="1" ht="12" customHeight="1" x14ac:dyDescent="0.2">
      <c r="A14" s="199" t="s">
        <v>111</v>
      </c>
      <c r="B14" s="185" t="s">
        <v>446</v>
      </c>
      <c r="C14" s="767">
        <v>335081987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75"/>
    </row>
    <row r="16" spans="1:6" s="38" customFormat="1" ht="12" customHeight="1" thickBot="1" x14ac:dyDescent="0.25">
      <c r="A16" s="25" t="s">
        <v>17</v>
      </c>
      <c r="B16" s="107" t="s">
        <v>184</v>
      </c>
      <c r="C16" s="1274">
        <f t="shared" ref="C16" si="2">+C17+C18+C19+C20+C21</f>
        <v>93565378</v>
      </c>
    </row>
    <row r="17" spans="1:3" s="38" customFormat="1" ht="12" customHeight="1" x14ac:dyDescent="0.2">
      <c r="A17" s="198" t="s">
        <v>91</v>
      </c>
      <c r="B17" s="184" t="s">
        <v>185</v>
      </c>
      <c r="C17" s="1276"/>
    </row>
    <row r="18" spans="1:3" s="38" customFormat="1" ht="12" customHeight="1" x14ac:dyDescent="0.2">
      <c r="A18" s="199" t="s">
        <v>92</v>
      </c>
      <c r="B18" s="185" t="s">
        <v>186</v>
      </c>
      <c r="C18" s="1275"/>
    </row>
    <row r="19" spans="1:3" s="38" customFormat="1" ht="12" customHeight="1" x14ac:dyDescent="0.2">
      <c r="A19" s="199" t="s">
        <v>93</v>
      </c>
      <c r="B19" s="185" t="s">
        <v>352</v>
      </c>
      <c r="C19" s="1275"/>
    </row>
    <row r="20" spans="1:3" s="38" customFormat="1" ht="12" customHeight="1" x14ac:dyDescent="0.2">
      <c r="A20" s="199" t="s">
        <v>94</v>
      </c>
      <c r="B20" s="185" t="s">
        <v>353</v>
      </c>
      <c r="C20" s="1275"/>
    </row>
    <row r="21" spans="1:3" s="38" customFormat="1" ht="12" customHeight="1" x14ac:dyDescent="0.2">
      <c r="A21" s="199" t="s">
        <v>95</v>
      </c>
      <c r="B21" s="185" t="s">
        <v>187</v>
      </c>
      <c r="C21" s="1278">
        <v>93565378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279">
        <v>56195378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74">
        <f t="shared" ref="C23" si="3">+C24+C25+C26+C27+C28</f>
        <v>270822642</v>
      </c>
    </row>
    <row r="24" spans="1:3" s="39" customFormat="1" ht="12" customHeight="1" x14ac:dyDescent="0.2">
      <c r="A24" s="198" t="s">
        <v>74</v>
      </c>
      <c r="B24" s="184" t="s">
        <v>190</v>
      </c>
      <c r="C24" s="1280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78"/>
    </row>
    <row r="26" spans="1:3" s="39" customFormat="1" ht="12" customHeight="1" x14ac:dyDescent="0.2">
      <c r="A26" s="199" t="s">
        <v>76</v>
      </c>
      <c r="B26" s="185" t="s">
        <v>354</v>
      </c>
      <c r="C26" s="1278"/>
    </row>
    <row r="27" spans="1:3" s="39" customFormat="1" ht="12" customHeight="1" x14ac:dyDescent="0.2">
      <c r="A27" s="199" t="s">
        <v>77</v>
      </c>
      <c r="B27" s="185" t="s">
        <v>355</v>
      </c>
      <c r="C27" s="1278"/>
    </row>
    <row r="28" spans="1:3" s="39" customFormat="1" ht="12" customHeight="1" x14ac:dyDescent="0.2">
      <c r="A28" s="199" t="s">
        <v>122</v>
      </c>
      <c r="B28" s="185" t="s">
        <v>192</v>
      </c>
      <c r="C28" s="1278">
        <v>242049642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279">
        <v>242049642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81">
        <f t="shared" ref="C30" si="4">+C31++C35+C36</f>
        <v>391355000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50">
        <f t="shared" ref="C31" si="5">SUM(C32:C33)</f>
        <v>376555000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78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278">
        <f>286055000</f>
        <v>286055000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78"/>
    </row>
    <row r="35" spans="1:3" s="39" customFormat="1" ht="12" customHeight="1" x14ac:dyDescent="0.2">
      <c r="A35" s="199" t="s">
        <v>199</v>
      </c>
      <c r="B35" s="185" t="s">
        <v>203</v>
      </c>
      <c r="C35" s="1275"/>
    </row>
    <row r="36" spans="1:3" s="39" customFormat="1" ht="12" customHeight="1" thickBot="1" x14ac:dyDescent="0.25">
      <c r="A36" s="200" t="s">
        <v>200</v>
      </c>
      <c r="B36" s="186" t="s">
        <v>204</v>
      </c>
      <c r="C36" s="1279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74">
        <f t="shared" ref="C37" si="6">SUM(C38:C48)</f>
        <v>43387369</v>
      </c>
    </row>
    <row r="38" spans="1:3" s="39" customFormat="1" ht="12" customHeight="1" x14ac:dyDescent="0.2">
      <c r="A38" s="198" t="s">
        <v>78</v>
      </c>
      <c r="B38" s="184" t="s">
        <v>207</v>
      </c>
      <c r="C38" s="1280"/>
    </row>
    <row r="39" spans="1:3" s="39" customFormat="1" ht="12" customHeight="1" x14ac:dyDescent="0.2">
      <c r="A39" s="199" t="s">
        <v>79</v>
      </c>
      <c r="B39" s="185" t="s">
        <v>208</v>
      </c>
      <c r="C39" s="1278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278">
        <v>13152488</v>
      </c>
    </row>
    <row r="41" spans="1:3" s="39" customFormat="1" ht="12" customHeight="1" x14ac:dyDescent="0.2">
      <c r="A41" s="199" t="s">
        <v>126</v>
      </c>
      <c r="B41" s="185" t="s">
        <v>210</v>
      </c>
      <c r="C41" s="1278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78"/>
    </row>
    <row r="43" spans="1:3" s="39" customFormat="1" ht="12" customHeight="1" x14ac:dyDescent="0.2">
      <c r="A43" s="199" t="s">
        <v>128</v>
      </c>
      <c r="B43" s="185" t="s">
        <v>212</v>
      </c>
      <c r="C43" s="1278">
        <v>8027280</v>
      </c>
    </row>
    <row r="44" spans="1:3" s="39" customFormat="1" ht="12" customHeight="1" x14ac:dyDescent="0.2">
      <c r="A44" s="199" t="s">
        <v>129</v>
      </c>
      <c r="B44" s="185" t="s">
        <v>213</v>
      </c>
      <c r="C44" s="1183"/>
    </row>
    <row r="45" spans="1:3" s="39" customFormat="1" ht="12" customHeight="1" x14ac:dyDescent="0.2">
      <c r="A45" s="199" t="s">
        <v>130</v>
      </c>
      <c r="B45" s="185" t="s">
        <v>214</v>
      </c>
      <c r="C45" s="1278"/>
    </row>
    <row r="46" spans="1:3" s="39" customFormat="1" ht="12" customHeight="1" x14ac:dyDescent="0.2">
      <c r="A46" s="199" t="s">
        <v>205</v>
      </c>
      <c r="B46" s="185" t="s">
        <v>215</v>
      </c>
      <c r="C46" s="1278"/>
    </row>
    <row r="47" spans="1:3" s="39" customFormat="1" ht="12" customHeight="1" x14ac:dyDescent="0.2">
      <c r="A47" s="200" t="s">
        <v>206</v>
      </c>
      <c r="B47" s="186" t="s">
        <v>391</v>
      </c>
      <c r="C47" s="1279"/>
    </row>
    <row r="48" spans="1:3" s="39" customFormat="1" ht="12" customHeight="1" thickBot="1" x14ac:dyDescent="0.25">
      <c r="A48" s="200" t="s">
        <v>392</v>
      </c>
      <c r="B48" s="186" t="s">
        <v>216</v>
      </c>
      <c r="C48" s="1279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74">
        <f t="shared" ref="C49" si="7"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80"/>
    </row>
    <row r="51" spans="1:3" s="39" customFormat="1" ht="12" customHeight="1" x14ac:dyDescent="0.2">
      <c r="A51" s="199" t="s">
        <v>82</v>
      </c>
      <c r="B51" s="185" t="s">
        <v>222</v>
      </c>
      <c r="C51" s="1278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78"/>
    </row>
    <row r="53" spans="1:3" s="39" customFormat="1" ht="12" customHeight="1" x14ac:dyDescent="0.2">
      <c r="A53" s="199" t="s">
        <v>219</v>
      </c>
      <c r="B53" s="185" t="s">
        <v>224</v>
      </c>
      <c r="C53" s="1278"/>
    </row>
    <row r="54" spans="1:3" s="39" customFormat="1" ht="12" customHeight="1" thickBot="1" x14ac:dyDescent="0.25">
      <c r="A54" s="200" t="s">
        <v>220</v>
      </c>
      <c r="B54" s="186" t="s">
        <v>225</v>
      </c>
      <c r="C54" s="1279"/>
    </row>
    <row r="55" spans="1:3" s="39" customFormat="1" ht="12" customHeight="1" thickBot="1" x14ac:dyDescent="0.25">
      <c r="A55" s="25" t="s">
        <v>131</v>
      </c>
      <c r="B55" s="18" t="s">
        <v>226</v>
      </c>
      <c r="C55" s="1274">
        <f t="shared" ref="C55" si="8"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80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83"/>
    </row>
    <row r="58" spans="1:3" s="39" customFormat="1" ht="12" customHeight="1" x14ac:dyDescent="0.2">
      <c r="A58" s="199" t="s">
        <v>230</v>
      </c>
      <c r="B58" s="185" t="s">
        <v>228</v>
      </c>
      <c r="C58" s="1278"/>
    </row>
    <row r="59" spans="1:3" s="39" customFormat="1" ht="12" customHeight="1" thickBot="1" x14ac:dyDescent="0.25">
      <c r="A59" s="200" t="s">
        <v>231</v>
      </c>
      <c r="B59" s="186" t="s">
        <v>229</v>
      </c>
      <c r="C59" s="1277"/>
    </row>
    <row r="60" spans="1:3" s="39" customFormat="1" ht="12" customHeight="1" thickBot="1" x14ac:dyDescent="0.25">
      <c r="A60" s="25" t="s">
        <v>23</v>
      </c>
      <c r="B60" s="107" t="s">
        <v>232</v>
      </c>
      <c r="C60" s="1274">
        <f t="shared" ref="C60" si="9"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78"/>
    </row>
    <row r="62" spans="1:3" s="39" customFormat="1" ht="12" customHeight="1" x14ac:dyDescent="0.2">
      <c r="A62" s="199" t="s">
        <v>133</v>
      </c>
      <c r="B62" s="185" t="s">
        <v>357</v>
      </c>
      <c r="C62" s="1278"/>
    </row>
    <row r="63" spans="1:3" s="39" customFormat="1" ht="12" customHeight="1" x14ac:dyDescent="0.2">
      <c r="A63" s="199" t="s">
        <v>158</v>
      </c>
      <c r="B63" s="185" t="s">
        <v>235</v>
      </c>
      <c r="C63" s="1278"/>
    </row>
    <row r="64" spans="1:3" s="39" customFormat="1" ht="12" customHeight="1" thickBot="1" x14ac:dyDescent="0.25">
      <c r="A64" s="200" t="s">
        <v>233</v>
      </c>
      <c r="B64" s="186" t="s">
        <v>236</v>
      </c>
      <c r="C64" s="1278"/>
    </row>
    <row r="65" spans="1:3" s="39" customFormat="1" ht="12" customHeight="1" thickBot="1" x14ac:dyDescent="0.25">
      <c r="A65" s="25" t="s">
        <v>24</v>
      </c>
      <c r="B65" s="18" t="s">
        <v>237</v>
      </c>
      <c r="C65" s="1281">
        <f t="shared" ref="C65" si="10">+C7+C16+C23+C30+C37+C49+C55+C60</f>
        <v>2460300518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74">
        <f t="shared" ref="C66" si="11"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78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78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78"/>
    </row>
    <row r="70" spans="1:3" s="39" customFormat="1" ht="12" customHeight="1" thickBot="1" x14ac:dyDescent="0.2">
      <c r="A70" s="201" t="s">
        <v>243</v>
      </c>
      <c r="B70" s="107" t="s">
        <v>244</v>
      </c>
      <c r="C70" s="1274">
        <f t="shared" ref="C70" si="12"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78"/>
    </row>
    <row r="72" spans="1:3" s="39" customFormat="1" ht="12" customHeight="1" x14ac:dyDescent="0.2">
      <c r="A72" s="199" t="s">
        <v>113</v>
      </c>
      <c r="B72" s="185" t="s">
        <v>246</v>
      </c>
      <c r="C72" s="1278"/>
    </row>
    <row r="73" spans="1:3" s="39" customFormat="1" ht="12" customHeight="1" x14ac:dyDescent="0.2">
      <c r="A73" s="199" t="s">
        <v>271</v>
      </c>
      <c r="B73" s="185" t="s">
        <v>247</v>
      </c>
      <c r="C73" s="1278"/>
    </row>
    <row r="74" spans="1:3" s="39" customFormat="1" ht="12" customHeight="1" thickBot="1" x14ac:dyDescent="0.25">
      <c r="A74" s="200" t="s">
        <v>272</v>
      </c>
      <c r="B74" s="186" t="s">
        <v>248</v>
      </c>
      <c r="C74" s="1278"/>
    </row>
    <row r="75" spans="1:3" s="39" customFormat="1" ht="12" customHeight="1" thickBot="1" x14ac:dyDescent="0.2">
      <c r="A75" s="201" t="s">
        <v>249</v>
      </c>
      <c r="B75" s="107" t="s">
        <v>250</v>
      </c>
      <c r="C75" s="1274">
        <f t="shared" ref="C75" si="13"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78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78"/>
    </row>
    <row r="78" spans="1:3" s="38" customFormat="1" ht="12" customHeight="1" thickBot="1" x14ac:dyDescent="0.2">
      <c r="A78" s="201" t="s">
        <v>253</v>
      </c>
      <c r="B78" s="107" t="s">
        <v>254</v>
      </c>
      <c r="C78" s="1274">
        <f t="shared" ref="C78" si="14"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78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78"/>
    </row>
    <row r="81" spans="1:4" s="39" customFormat="1" ht="12" customHeight="1" thickBot="1" x14ac:dyDescent="0.25">
      <c r="A81" s="200" t="s">
        <v>277</v>
      </c>
      <c r="B81" s="186" t="s">
        <v>257</v>
      </c>
      <c r="C81" s="1278"/>
    </row>
    <row r="82" spans="1:4" s="39" customFormat="1" ht="12" customHeight="1" thickBot="1" x14ac:dyDescent="0.2">
      <c r="A82" s="201" t="s">
        <v>258</v>
      </c>
      <c r="B82" s="107" t="s">
        <v>278</v>
      </c>
      <c r="C82" s="1274">
        <f t="shared" ref="C82" si="15"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78"/>
    </row>
    <row r="84" spans="1:4" s="39" customFormat="1" ht="12" customHeight="1" x14ac:dyDescent="0.2">
      <c r="A84" s="203" t="s">
        <v>261</v>
      </c>
      <c r="B84" s="185" t="s">
        <v>262</v>
      </c>
      <c r="C84" s="1278"/>
    </row>
    <row r="85" spans="1:4" s="39" customFormat="1" ht="12" customHeight="1" x14ac:dyDescent="0.2">
      <c r="A85" s="203" t="s">
        <v>263</v>
      </c>
      <c r="B85" s="185" t="s">
        <v>264</v>
      </c>
      <c r="C85" s="1278"/>
    </row>
    <row r="86" spans="1:4" s="38" customFormat="1" ht="12" customHeight="1" thickBot="1" x14ac:dyDescent="0.25">
      <c r="A86" s="204" t="s">
        <v>265</v>
      </c>
      <c r="B86" s="186" t="s">
        <v>266</v>
      </c>
      <c r="C86" s="1278"/>
    </row>
    <row r="87" spans="1:4" s="38" customFormat="1" ht="12" customHeight="1" thickBot="1" x14ac:dyDescent="0.2">
      <c r="A87" s="201" t="s">
        <v>267</v>
      </c>
      <c r="B87" s="107" t="s">
        <v>395</v>
      </c>
      <c r="C87" s="1282"/>
    </row>
    <row r="88" spans="1:4" s="38" customFormat="1" ht="12" customHeight="1" thickBot="1" x14ac:dyDescent="0.2">
      <c r="A88" s="201" t="s">
        <v>447</v>
      </c>
      <c r="B88" s="107" t="s">
        <v>268</v>
      </c>
      <c r="C88" s="1282"/>
    </row>
    <row r="89" spans="1:4" s="38" customFormat="1" ht="12" customHeight="1" thickBot="1" x14ac:dyDescent="0.2">
      <c r="A89" s="201" t="s">
        <v>448</v>
      </c>
      <c r="B89" s="191" t="s">
        <v>396</v>
      </c>
      <c r="C89" s="1281">
        <f t="shared" ref="C89" si="16"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81">
        <f t="shared" ref="C90" si="17">+C65+C89</f>
        <v>6085041755</v>
      </c>
      <c r="D90" s="33"/>
    </row>
    <row r="91" spans="1:4" s="32" customFormat="1" ht="16.5" customHeight="1" thickBot="1" x14ac:dyDescent="0.25">
      <c r="A91" s="1449" t="s">
        <v>53</v>
      </c>
      <c r="B91" s="1450"/>
      <c r="C91" s="1451"/>
    </row>
    <row r="92" spans="1:4" s="708" customFormat="1" ht="12" customHeight="1" thickBot="1" x14ac:dyDescent="0.25">
      <c r="A92" s="176" t="s">
        <v>16</v>
      </c>
      <c r="B92" s="23" t="s">
        <v>460</v>
      </c>
      <c r="C92" s="1248">
        <f>+C93+C94+C95+C96+C97+C110</f>
        <v>888067811</v>
      </c>
    </row>
    <row r="93" spans="1:4" ht="12" customHeight="1" x14ac:dyDescent="0.2">
      <c r="A93" s="206" t="s">
        <v>85</v>
      </c>
      <c r="B93" s="7" t="s">
        <v>46</v>
      </c>
      <c r="C93" s="771">
        <f>54633238+15752</f>
        <v>54648990</v>
      </c>
    </row>
    <row r="94" spans="1:4" ht="12" customHeight="1" x14ac:dyDescent="0.2">
      <c r="A94" s="199" t="s">
        <v>86</v>
      </c>
      <c r="B94" s="5" t="s">
        <v>134</v>
      </c>
      <c r="C94" s="1278">
        <v>8055314</v>
      </c>
    </row>
    <row r="95" spans="1:4" ht="12" customHeight="1" x14ac:dyDescent="0.2">
      <c r="A95" s="199" t="s">
        <v>87</v>
      </c>
      <c r="B95" s="5" t="s">
        <v>110</v>
      </c>
      <c r="C95" s="1279">
        <f>475468834-160000</f>
        <v>475308834</v>
      </c>
    </row>
    <row r="96" spans="1:4" ht="12" customHeight="1" x14ac:dyDescent="0.2">
      <c r="A96" s="199" t="s">
        <v>88</v>
      </c>
      <c r="B96" s="8" t="s">
        <v>135</v>
      </c>
      <c r="C96" s="1279">
        <v>43800000</v>
      </c>
    </row>
    <row r="97" spans="1:3" ht="12" customHeight="1" x14ac:dyDescent="0.2">
      <c r="A97" s="199" t="s">
        <v>99</v>
      </c>
      <c r="B97" s="16" t="s">
        <v>136</v>
      </c>
      <c r="C97" s="1279">
        <f>SUM(C98:C109)</f>
        <v>175834160</v>
      </c>
    </row>
    <row r="98" spans="1:3" ht="12" customHeight="1" x14ac:dyDescent="0.2">
      <c r="A98" s="199" t="s">
        <v>89</v>
      </c>
      <c r="B98" s="5" t="s">
        <v>451</v>
      </c>
      <c r="C98" s="1279"/>
    </row>
    <row r="99" spans="1:3" ht="12" customHeight="1" x14ac:dyDescent="0.2">
      <c r="A99" s="199" t="s">
        <v>90</v>
      </c>
      <c r="B99" s="58" t="s">
        <v>400</v>
      </c>
      <c r="C99" s="1279">
        <v>5091319</v>
      </c>
    </row>
    <row r="100" spans="1:3" ht="12" customHeight="1" x14ac:dyDescent="0.2">
      <c r="A100" s="199" t="s">
        <v>100</v>
      </c>
      <c r="B100" s="58" t="s">
        <v>401</v>
      </c>
      <c r="C100" s="1279"/>
    </row>
    <row r="101" spans="1:3" ht="12" customHeight="1" x14ac:dyDescent="0.2">
      <c r="A101" s="199" t="s">
        <v>101</v>
      </c>
      <c r="B101" s="58" t="s">
        <v>284</v>
      </c>
      <c r="C101" s="1279"/>
    </row>
    <row r="102" spans="1:3" ht="12" customHeight="1" x14ac:dyDescent="0.2">
      <c r="A102" s="199" t="s">
        <v>102</v>
      </c>
      <c r="B102" s="59" t="s">
        <v>285</v>
      </c>
      <c r="C102" s="1279"/>
    </row>
    <row r="103" spans="1:3" ht="12" customHeight="1" x14ac:dyDescent="0.2">
      <c r="A103" s="199" t="s">
        <v>103</v>
      </c>
      <c r="B103" s="59" t="s">
        <v>286</v>
      </c>
      <c r="C103" s="1279"/>
    </row>
    <row r="104" spans="1:3" ht="12" customHeight="1" x14ac:dyDescent="0.2">
      <c r="A104" s="199" t="s">
        <v>105</v>
      </c>
      <c r="B104" s="58" t="s">
        <v>287</v>
      </c>
      <c r="C104" s="1279">
        <v>636000</v>
      </c>
    </row>
    <row r="105" spans="1:3" ht="12" customHeight="1" x14ac:dyDescent="0.2">
      <c r="A105" s="199" t="s">
        <v>137</v>
      </c>
      <c r="B105" s="58" t="s">
        <v>288</v>
      </c>
      <c r="C105" s="1279"/>
    </row>
    <row r="106" spans="1:3" ht="12" customHeight="1" x14ac:dyDescent="0.2">
      <c r="A106" s="199" t="s">
        <v>282</v>
      </c>
      <c r="B106" s="59" t="s">
        <v>289</v>
      </c>
      <c r="C106" s="1279"/>
    </row>
    <row r="107" spans="1:3" ht="12" customHeight="1" x14ac:dyDescent="0.2">
      <c r="A107" s="207" t="s">
        <v>283</v>
      </c>
      <c r="B107" s="60" t="s">
        <v>290</v>
      </c>
      <c r="C107" s="1279"/>
    </row>
    <row r="108" spans="1:3" ht="12" customHeight="1" x14ac:dyDescent="0.2">
      <c r="A108" s="199" t="s">
        <v>402</v>
      </c>
      <c r="B108" s="60" t="s">
        <v>291</v>
      </c>
      <c r="C108" s="1279"/>
    </row>
    <row r="109" spans="1:3" ht="12" customHeight="1" x14ac:dyDescent="0.2">
      <c r="A109" s="199" t="s">
        <v>403</v>
      </c>
      <c r="B109" s="59" t="s">
        <v>292</v>
      </c>
      <c r="C109" s="1278">
        <v>170106841</v>
      </c>
    </row>
    <row r="110" spans="1:3" ht="12" customHeight="1" x14ac:dyDescent="0.2">
      <c r="A110" s="199" t="s">
        <v>404</v>
      </c>
      <c r="B110" s="8" t="s">
        <v>47</v>
      </c>
      <c r="C110" s="1278">
        <f t="shared" ref="C110" si="18">SUM(C111:C112)</f>
        <v>130420513</v>
      </c>
    </row>
    <row r="111" spans="1:3" ht="12" customHeight="1" x14ac:dyDescent="0.2">
      <c r="A111" s="200" t="s">
        <v>405</v>
      </c>
      <c r="B111" s="5" t="s">
        <v>452</v>
      </c>
      <c r="C111" s="1279">
        <v>10000000</v>
      </c>
    </row>
    <row r="112" spans="1:3" ht="12" customHeight="1" thickBot="1" x14ac:dyDescent="0.25">
      <c r="A112" s="208" t="s">
        <v>407</v>
      </c>
      <c r="B112" s="61" t="s">
        <v>453</v>
      </c>
      <c r="C112" s="282">
        <v>120420513</v>
      </c>
    </row>
    <row r="113" spans="1:4" ht="12" customHeight="1" thickBot="1" x14ac:dyDescent="0.25">
      <c r="A113" s="25" t="s">
        <v>17</v>
      </c>
      <c r="B113" s="22" t="s">
        <v>293</v>
      </c>
      <c r="C113" s="1274">
        <f t="shared" ref="C113" si="19">+C114+C116+C118</f>
        <v>2539166442</v>
      </c>
    </row>
    <row r="114" spans="1:4" ht="12" customHeight="1" x14ac:dyDescent="0.2">
      <c r="A114" s="198" t="s">
        <v>91</v>
      </c>
      <c r="B114" s="5" t="s">
        <v>157</v>
      </c>
      <c r="C114" s="1280">
        <v>652524568</v>
      </c>
    </row>
    <row r="115" spans="1:4" ht="12" customHeight="1" x14ac:dyDescent="0.2">
      <c r="A115" s="198" t="s">
        <v>92</v>
      </c>
      <c r="B115" s="9" t="s">
        <v>297</v>
      </c>
      <c r="C115" s="1280">
        <v>224124925</v>
      </c>
    </row>
    <row r="116" spans="1:4" ht="12" customHeight="1" x14ac:dyDescent="0.2">
      <c r="A116" s="198" t="s">
        <v>93</v>
      </c>
      <c r="B116" s="9" t="s">
        <v>138</v>
      </c>
      <c r="C116" s="1278">
        <v>1885218597</v>
      </c>
    </row>
    <row r="117" spans="1:4" ht="12" customHeight="1" x14ac:dyDescent="0.2">
      <c r="A117" s="198" t="s">
        <v>94</v>
      </c>
      <c r="B117" s="9" t="s">
        <v>298</v>
      </c>
      <c r="C117" s="1278">
        <v>399460471</v>
      </c>
    </row>
    <row r="118" spans="1:4" ht="12" customHeight="1" x14ac:dyDescent="0.2">
      <c r="A118" s="198" t="s">
        <v>95</v>
      </c>
      <c r="B118" s="109" t="s">
        <v>159</v>
      </c>
      <c r="C118" s="1278">
        <f t="shared" ref="C118" si="20">SUM(C119:C126)</f>
        <v>1423277</v>
      </c>
    </row>
    <row r="119" spans="1:4" ht="12" customHeight="1" x14ac:dyDescent="0.2">
      <c r="A119" s="198" t="s">
        <v>104</v>
      </c>
      <c r="B119" s="108" t="s">
        <v>358</v>
      </c>
      <c r="C119" s="1275"/>
    </row>
    <row r="120" spans="1:4" ht="12" customHeight="1" x14ac:dyDescent="0.2">
      <c r="A120" s="198" t="s">
        <v>106</v>
      </c>
      <c r="B120" s="180" t="s">
        <v>303</v>
      </c>
      <c r="C120" s="1275"/>
    </row>
    <row r="121" spans="1:4" ht="12" customHeight="1" x14ac:dyDescent="0.2">
      <c r="A121" s="198" t="s">
        <v>139</v>
      </c>
      <c r="B121" s="59" t="s">
        <v>286</v>
      </c>
      <c r="C121" s="1275"/>
    </row>
    <row r="122" spans="1:4" ht="12" customHeight="1" x14ac:dyDescent="0.2">
      <c r="A122" s="198" t="s">
        <v>140</v>
      </c>
      <c r="B122" s="59" t="s">
        <v>302</v>
      </c>
      <c r="C122" s="1275"/>
    </row>
    <row r="123" spans="1:4" ht="12" customHeight="1" x14ac:dyDescent="0.2">
      <c r="A123" s="198" t="s">
        <v>141</v>
      </c>
      <c r="B123" s="59" t="s">
        <v>301</v>
      </c>
      <c r="C123" s="1275"/>
    </row>
    <row r="124" spans="1:4" ht="12" customHeight="1" x14ac:dyDescent="0.2">
      <c r="A124" s="198" t="s">
        <v>294</v>
      </c>
      <c r="B124" s="59" t="s">
        <v>289</v>
      </c>
      <c r="C124" s="1275"/>
    </row>
    <row r="125" spans="1:4" ht="12" customHeight="1" x14ac:dyDescent="0.2">
      <c r="A125" s="198" t="s">
        <v>295</v>
      </c>
      <c r="B125" s="59" t="s">
        <v>300</v>
      </c>
      <c r="C125" s="1275"/>
    </row>
    <row r="126" spans="1:4" ht="12" customHeight="1" thickBot="1" x14ac:dyDescent="0.25">
      <c r="A126" s="207" t="s">
        <v>296</v>
      </c>
      <c r="B126" s="59" t="s">
        <v>299</v>
      </c>
      <c r="C126" s="1279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74">
        <f t="shared" ref="C127" si="21">+C92+C113</f>
        <v>3427234253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74">
        <f t="shared" ref="C128" si="22">+C129+C130+C131</f>
        <v>1021060296</v>
      </c>
    </row>
    <row r="129" spans="1:9" s="708" customFormat="1" ht="12" customHeight="1" x14ac:dyDescent="0.2">
      <c r="A129" s="198" t="s">
        <v>195</v>
      </c>
      <c r="B129" s="6" t="s">
        <v>454</v>
      </c>
      <c r="C129" s="1278">
        <v>21060296</v>
      </c>
    </row>
    <row r="130" spans="1:9" ht="12" customHeight="1" x14ac:dyDescent="0.2">
      <c r="A130" s="198" t="s">
        <v>198</v>
      </c>
      <c r="B130" s="6" t="s">
        <v>412</v>
      </c>
      <c r="C130" s="1278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75"/>
    </row>
    <row r="132" spans="1:9" ht="12" customHeight="1" thickBot="1" x14ac:dyDescent="0.25">
      <c r="A132" s="25" t="s">
        <v>20</v>
      </c>
      <c r="B132" s="54" t="s">
        <v>414</v>
      </c>
      <c r="C132" s="1274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75"/>
    </row>
    <row r="134" spans="1:9" ht="12" customHeight="1" x14ac:dyDescent="0.2">
      <c r="A134" s="198" t="s">
        <v>79</v>
      </c>
      <c r="B134" s="6" t="s">
        <v>416</v>
      </c>
      <c r="C134" s="1275"/>
    </row>
    <row r="135" spans="1:9" ht="12" customHeight="1" x14ac:dyDescent="0.2">
      <c r="A135" s="198" t="s">
        <v>80</v>
      </c>
      <c r="B135" s="6" t="s">
        <v>417</v>
      </c>
      <c r="C135" s="1275"/>
    </row>
    <row r="136" spans="1:9" ht="12" customHeight="1" x14ac:dyDescent="0.2">
      <c r="A136" s="198" t="s">
        <v>126</v>
      </c>
      <c r="B136" s="6" t="s">
        <v>456</v>
      </c>
      <c r="C136" s="1275"/>
    </row>
    <row r="137" spans="1:9" ht="12" customHeight="1" x14ac:dyDescent="0.2">
      <c r="A137" s="198" t="s">
        <v>127</v>
      </c>
      <c r="B137" s="6" t="s">
        <v>419</v>
      </c>
      <c r="C137" s="1275"/>
    </row>
    <row r="138" spans="1:9" s="708" customFormat="1" ht="12" customHeight="1" thickBot="1" x14ac:dyDescent="0.25">
      <c r="A138" s="207" t="s">
        <v>128</v>
      </c>
      <c r="B138" s="4" t="s">
        <v>420</v>
      </c>
      <c r="C138" s="1275"/>
    </row>
    <row r="139" spans="1:9" ht="12" customHeight="1" thickBot="1" x14ac:dyDescent="0.25">
      <c r="A139" s="25" t="s">
        <v>21</v>
      </c>
      <c r="B139" s="54" t="s">
        <v>457</v>
      </c>
      <c r="C139" s="1281">
        <f t="shared" ref="C139" si="23"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75"/>
    </row>
    <row r="141" spans="1:9" ht="12" customHeight="1" x14ac:dyDescent="0.2">
      <c r="A141" s="198" t="s">
        <v>82</v>
      </c>
      <c r="B141" s="6" t="s">
        <v>305</v>
      </c>
      <c r="C141" s="1275">
        <v>55076107</v>
      </c>
    </row>
    <row r="142" spans="1:9" s="708" customFormat="1" ht="12" customHeight="1" x14ac:dyDescent="0.2">
      <c r="A142" s="198" t="s">
        <v>218</v>
      </c>
      <c r="B142" s="6" t="s">
        <v>422</v>
      </c>
      <c r="C142" s="1275"/>
    </row>
    <row r="143" spans="1:9" s="708" customFormat="1" ht="12" customHeight="1" thickBot="1" x14ac:dyDescent="0.25">
      <c r="A143" s="207" t="s">
        <v>219</v>
      </c>
      <c r="B143" s="4" t="s">
        <v>323</v>
      </c>
      <c r="C143" s="1275"/>
    </row>
    <row r="144" spans="1:9" s="708" customFormat="1" ht="12" customHeight="1" thickBot="1" x14ac:dyDescent="0.25">
      <c r="A144" s="25" t="s">
        <v>22</v>
      </c>
      <c r="B144" s="54" t="s">
        <v>423</v>
      </c>
      <c r="C144" s="1249">
        <f>+C145+C146+C147+C148+C149</f>
        <v>0</v>
      </c>
    </row>
    <row r="145" spans="1:4" s="708" customFormat="1" ht="12" customHeight="1" x14ac:dyDescent="0.2">
      <c r="A145" s="198" t="s">
        <v>83</v>
      </c>
      <c r="B145" s="6" t="s">
        <v>424</v>
      </c>
      <c r="C145" s="1275"/>
    </row>
    <row r="146" spans="1:4" s="708" customFormat="1" ht="12" customHeight="1" x14ac:dyDescent="0.2">
      <c r="A146" s="198" t="s">
        <v>84</v>
      </c>
      <c r="B146" s="6" t="s">
        <v>425</v>
      </c>
      <c r="C146" s="1275"/>
    </row>
    <row r="147" spans="1:4" s="708" customFormat="1" ht="12" customHeight="1" x14ac:dyDescent="0.2">
      <c r="A147" s="198" t="s">
        <v>230</v>
      </c>
      <c r="B147" s="6" t="s">
        <v>426</v>
      </c>
      <c r="C147" s="1275"/>
    </row>
    <row r="148" spans="1:4" ht="12.75" customHeight="1" x14ac:dyDescent="0.2">
      <c r="A148" s="198" t="s">
        <v>231</v>
      </c>
      <c r="B148" s="6" t="s">
        <v>458</v>
      </c>
      <c r="C148" s="1275"/>
    </row>
    <row r="149" spans="1:4" ht="12.75" customHeight="1" thickBot="1" x14ac:dyDescent="0.25">
      <c r="A149" s="207" t="s">
        <v>428</v>
      </c>
      <c r="B149" s="4" t="s">
        <v>429</v>
      </c>
      <c r="C149" s="1277"/>
    </row>
    <row r="150" spans="1:4" ht="12.75" customHeight="1" thickBot="1" x14ac:dyDescent="0.25">
      <c r="A150" s="254" t="s">
        <v>23</v>
      </c>
      <c r="B150" s="54" t="s">
        <v>430</v>
      </c>
      <c r="C150" s="1249"/>
    </row>
    <row r="151" spans="1:4" ht="12" customHeight="1" thickBot="1" x14ac:dyDescent="0.25">
      <c r="A151" s="254" t="s">
        <v>24</v>
      </c>
      <c r="B151" s="54" t="s">
        <v>431</v>
      </c>
      <c r="C151" s="1249"/>
    </row>
    <row r="152" spans="1:4" ht="15" customHeight="1" thickBot="1" x14ac:dyDescent="0.25">
      <c r="A152" s="25" t="s">
        <v>25</v>
      </c>
      <c r="B152" s="54" t="s">
        <v>432</v>
      </c>
      <c r="C152" s="1283">
        <f t="shared" ref="C152" si="24"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83">
        <f t="shared" ref="C153" si="25">+C127+C152</f>
        <v>4503370656</v>
      </c>
      <c r="D153" s="706"/>
    </row>
    <row r="154" spans="1:4" ht="14.25" customHeight="1" thickBot="1" x14ac:dyDescent="0.25">
      <c r="A154" s="97" t="s">
        <v>459</v>
      </c>
      <c r="B154" s="98"/>
      <c r="C154" s="1143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4"/>
  <sheetViews>
    <sheetView zoomScale="115" zoomScaleNormal="115" zoomScaleSheetLayoutView="85" workbookViewId="0">
      <selection activeCell="D17" sqref="D17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4" customWidth="1"/>
    <col min="5" max="5" width="16.1640625" style="704" customWidth="1"/>
    <col min="6" max="16384" width="9.33203125" style="704"/>
  </cols>
  <sheetData>
    <row r="1" spans="1:5" x14ac:dyDescent="0.2">
      <c r="A1" s="1446" t="str">
        <f>CONCATENATE("16. melléklet"," ",ALAPADATOK!A7," ",ALAPADATOK!B7," ",ALAPADATOK!C7," ",ALAPADATOK!D7," ",ALAPADATOK!E7," ",ALAPADATOK!F7," ",ALAPADATOK!G7," ",ALAPADATOK!H7)</f>
        <v>16. melléklet a .. / 2022. ( ……. ) önkormányzati rendelethez</v>
      </c>
      <c r="B1" s="1446"/>
      <c r="C1" s="1446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03" t="s">
        <v>907</v>
      </c>
      <c r="B3" s="1403"/>
      <c r="C3" s="1403"/>
    </row>
    <row r="4" spans="1:5" ht="13.5" thickBot="1" x14ac:dyDescent="0.25">
      <c r="A4" s="175" t="s">
        <v>153</v>
      </c>
      <c r="B4" s="81" t="s">
        <v>50</v>
      </c>
      <c r="C4" s="156" t="s">
        <v>905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74">
        <f t="shared" ref="C7" si="0">+C8+C9+C10+C13+C14+C15</f>
        <v>372765129</v>
      </c>
      <c r="D7" s="717"/>
      <c r="E7" s="702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7"/>
      <c r="E8" s="702"/>
    </row>
    <row r="9" spans="1:5" s="39" customFormat="1" ht="12" customHeight="1" x14ac:dyDescent="0.2">
      <c r="A9" s="199" t="s">
        <v>86</v>
      </c>
      <c r="B9" s="185" t="s">
        <v>181</v>
      </c>
      <c r="C9" s="767"/>
      <c r="D9" s="717"/>
      <c r="E9" s="702"/>
    </row>
    <row r="10" spans="1:5" s="39" customFormat="1" ht="12" customHeight="1" x14ac:dyDescent="0.2">
      <c r="A10" s="199" t="s">
        <v>87</v>
      </c>
      <c r="B10" s="185" t="s">
        <v>722</v>
      </c>
      <c r="C10" s="767">
        <f t="shared" ref="C10" si="1">SUM(C11:C12)</f>
        <v>372765129</v>
      </c>
      <c r="D10" s="717"/>
      <c r="E10" s="702"/>
    </row>
    <row r="11" spans="1:5" s="39" customFormat="1" ht="12" customHeight="1" x14ac:dyDescent="0.2">
      <c r="A11" s="199" t="s">
        <v>720</v>
      </c>
      <c r="B11" s="185" t="s">
        <v>723</v>
      </c>
      <c r="C11" s="767">
        <v>372765129</v>
      </c>
      <c r="D11" s="717"/>
      <c r="E11" s="702"/>
    </row>
    <row r="12" spans="1:5" s="39" customFormat="1" ht="12" customHeight="1" x14ac:dyDescent="0.2">
      <c r="A12" s="199" t="s">
        <v>721</v>
      </c>
      <c r="B12" s="185" t="s">
        <v>724</v>
      </c>
      <c r="C12" s="767"/>
      <c r="D12" s="717"/>
      <c r="E12" s="702"/>
    </row>
    <row r="13" spans="1:5" s="39" customFormat="1" ht="12" customHeight="1" x14ac:dyDescent="0.2">
      <c r="A13" s="199" t="s">
        <v>88</v>
      </c>
      <c r="B13" s="185" t="s">
        <v>183</v>
      </c>
      <c r="C13" s="767"/>
      <c r="D13" s="717"/>
      <c r="E13" s="702"/>
    </row>
    <row r="14" spans="1:5" s="39" customFormat="1" ht="12" customHeight="1" x14ac:dyDescent="0.2">
      <c r="A14" s="199" t="s">
        <v>111</v>
      </c>
      <c r="B14" s="185" t="s">
        <v>446</v>
      </c>
      <c r="C14" s="767"/>
      <c r="D14" s="717"/>
      <c r="E14" s="702"/>
    </row>
    <row r="15" spans="1:5" s="38" customFormat="1" ht="12" customHeight="1" thickBot="1" x14ac:dyDescent="0.25">
      <c r="A15" s="200" t="s">
        <v>89</v>
      </c>
      <c r="B15" s="186" t="s">
        <v>389</v>
      </c>
      <c r="C15" s="1275"/>
      <c r="D15" s="717"/>
      <c r="E15" s="702"/>
    </row>
    <row r="16" spans="1:5" s="38" customFormat="1" ht="12" customHeight="1" thickBot="1" x14ac:dyDescent="0.25">
      <c r="A16" s="25" t="s">
        <v>17</v>
      </c>
      <c r="B16" s="107" t="s">
        <v>184</v>
      </c>
      <c r="C16" s="1274">
        <f t="shared" ref="C16" si="2">+C17+C18+C19+C20+C21</f>
        <v>126028453</v>
      </c>
      <c r="D16" s="717"/>
      <c r="E16" s="702"/>
    </row>
    <row r="17" spans="1:5" s="38" customFormat="1" ht="12" customHeight="1" x14ac:dyDescent="0.2">
      <c r="A17" s="198" t="s">
        <v>91</v>
      </c>
      <c r="B17" s="184" t="s">
        <v>185</v>
      </c>
      <c r="C17" s="1276"/>
      <c r="D17" s="717"/>
      <c r="E17" s="702"/>
    </row>
    <row r="18" spans="1:5" s="38" customFormat="1" ht="12" customHeight="1" x14ac:dyDescent="0.2">
      <c r="A18" s="199" t="s">
        <v>92</v>
      </c>
      <c r="B18" s="185" t="s">
        <v>186</v>
      </c>
      <c r="C18" s="1275"/>
      <c r="D18" s="717"/>
      <c r="E18" s="702"/>
    </row>
    <row r="19" spans="1:5" s="38" customFormat="1" ht="12" customHeight="1" x14ac:dyDescent="0.2">
      <c r="A19" s="199" t="s">
        <v>93</v>
      </c>
      <c r="B19" s="185" t="s">
        <v>352</v>
      </c>
      <c r="C19" s="1275"/>
      <c r="D19" s="717"/>
      <c r="E19" s="702"/>
    </row>
    <row r="20" spans="1:5" s="38" customFormat="1" ht="12" customHeight="1" x14ac:dyDescent="0.2">
      <c r="A20" s="199" t="s">
        <v>94</v>
      </c>
      <c r="B20" s="185" t="s">
        <v>353</v>
      </c>
      <c r="C20" s="1275"/>
      <c r="D20" s="717"/>
      <c r="E20" s="702"/>
    </row>
    <row r="21" spans="1:5" s="38" customFormat="1" ht="12" customHeight="1" x14ac:dyDescent="0.2">
      <c r="A21" s="199" t="s">
        <v>95</v>
      </c>
      <c r="B21" s="185" t="s">
        <v>187</v>
      </c>
      <c r="C21" s="1278">
        <v>126028453</v>
      </c>
      <c r="D21" s="717"/>
      <c r="E21" s="702"/>
    </row>
    <row r="22" spans="1:5" s="39" customFormat="1" ht="12" customHeight="1" thickBot="1" x14ac:dyDescent="0.25">
      <c r="A22" s="200" t="s">
        <v>104</v>
      </c>
      <c r="B22" s="186" t="s">
        <v>188</v>
      </c>
      <c r="C22" s="1279"/>
      <c r="D22" s="717"/>
      <c r="E22" s="702"/>
    </row>
    <row r="23" spans="1:5" s="39" customFormat="1" ht="12" customHeight="1" thickBot="1" x14ac:dyDescent="0.25">
      <c r="A23" s="25" t="s">
        <v>18</v>
      </c>
      <c r="B23" s="18" t="s">
        <v>189</v>
      </c>
      <c r="C23" s="1274">
        <f t="shared" ref="C23" si="3">+C24+C25+C26+C27+C28</f>
        <v>0</v>
      </c>
      <c r="D23" s="717"/>
      <c r="E23" s="702"/>
    </row>
    <row r="24" spans="1:5" s="39" customFormat="1" ht="12" customHeight="1" x14ac:dyDescent="0.2">
      <c r="A24" s="198" t="s">
        <v>74</v>
      </c>
      <c r="B24" s="184" t="s">
        <v>190</v>
      </c>
      <c r="C24" s="1280"/>
      <c r="D24" s="717"/>
      <c r="E24" s="702"/>
    </row>
    <row r="25" spans="1:5" s="38" customFormat="1" ht="12" customHeight="1" x14ac:dyDescent="0.2">
      <c r="A25" s="199" t="s">
        <v>75</v>
      </c>
      <c r="B25" s="185" t="s">
        <v>191</v>
      </c>
      <c r="C25" s="1278"/>
      <c r="D25" s="717"/>
      <c r="E25" s="702"/>
    </row>
    <row r="26" spans="1:5" s="39" customFormat="1" ht="12" customHeight="1" x14ac:dyDescent="0.2">
      <c r="A26" s="199" t="s">
        <v>76</v>
      </c>
      <c r="B26" s="185" t="s">
        <v>354</v>
      </c>
      <c r="C26" s="1278"/>
      <c r="D26" s="717"/>
      <c r="E26" s="702"/>
    </row>
    <row r="27" spans="1:5" s="39" customFormat="1" ht="12" customHeight="1" x14ac:dyDescent="0.2">
      <c r="A27" s="199" t="s">
        <v>77</v>
      </c>
      <c r="B27" s="185" t="s">
        <v>355</v>
      </c>
      <c r="C27" s="1278"/>
      <c r="D27" s="717"/>
      <c r="E27" s="702"/>
    </row>
    <row r="28" spans="1:5" s="39" customFormat="1" ht="12" customHeight="1" x14ac:dyDescent="0.2">
      <c r="A28" s="199" t="s">
        <v>122</v>
      </c>
      <c r="B28" s="185" t="s">
        <v>192</v>
      </c>
      <c r="C28" s="1278"/>
      <c r="D28" s="717"/>
      <c r="E28" s="702"/>
    </row>
    <row r="29" spans="1:5" s="39" customFormat="1" ht="12" customHeight="1" thickBot="1" x14ac:dyDescent="0.25">
      <c r="A29" s="200" t="s">
        <v>123</v>
      </c>
      <c r="B29" s="186" t="s">
        <v>193</v>
      </c>
      <c r="C29" s="1279"/>
      <c r="D29" s="717"/>
      <c r="E29" s="702"/>
    </row>
    <row r="30" spans="1:5" s="39" customFormat="1" ht="12" customHeight="1" thickBot="1" x14ac:dyDescent="0.25">
      <c r="A30" s="25" t="s">
        <v>124</v>
      </c>
      <c r="B30" s="18" t="s">
        <v>194</v>
      </c>
      <c r="C30" s="1281">
        <f t="shared" ref="C30" si="4">+C31++C35+C36</f>
        <v>0</v>
      </c>
      <c r="D30" s="717"/>
      <c r="E30" s="702"/>
    </row>
    <row r="31" spans="1:5" s="39" customFormat="1" ht="12" customHeight="1" x14ac:dyDescent="0.2">
      <c r="A31" s="198" t="s">
        <v>195</v>
      </c>
      <c r="B31" s="184" t="s">
        <v>562</v>
      </c>
      <c r="C31" s="1250">
        <f t="shared" ref="C31" si="5">SUM(C32:C33)</f>
        <v>0</v>
      </c>
      <c r="D31" s="717"/>
      <c r="E31" s="702"/>
    </row>
    <row r="32" spans="1:5" s="39" customFormat="1" ht="12" customHeight="1" x14ac:dyDescent="0.2">
      <c r="A32" s="199" t="s">
        <v>196</v>
      </c>
      <c r="B32" s="185" t="s">
        <v>201</v>
      </c>
      <c r="C32" s="1275"/>
      <c r="D32" s="717"/>
      <c r="E32" s="702"/>
    </row>
    <row r="33" spans="1:5" s="39" customFormat="1" ht="12" customHeight="1" x14ac:dyDescent="0.2">
      <c r="A33" s="199" t="s">
        <v>197</v>
      </c>
      <c r="B33" s="242" t="s">
        <v>561</v>
      </c>
      <c r="C33" s="1275"/>
      <c r="D33" s="717"/>
      <c r="E33" s="702"/>
    </row>
    <row r="34" spans="1:5" s="39" customFormat="1" ht="12" customHeight="1" x14ac:dyDescent="0.2">
      <c r="A34" s="199" t="s">
        <v>198</v>
      </c>
      <c r="B34" s="185" t="s">
        <v>472</v>
      </c>
      <c r="C34" s="1278"/>
      <c r="D34" s="717"/>
      <c r="E34" s="702"/>
    </row>
    <row r="35" spans="1:5" s="39" customFormat="1" ht="12" customHeight="1" x14ac:dyDescent="0.2">
      <c r="A35" s="199" t="s">
        <v>199</v>
      </c>
      <c r="B35" s="185" t="s">
        <v>203</v>
      </c>
      <c r="C35" s="1275"/>
      <c r="D35" s="717"/>
      <c r="E35" s="702"/>
    </row>
    <row r="36" spans="1:5" s="39" customFormat="1" ht="12" customHeight="1" thickBot="1" x14ac:dyDescent="0.25">
      <c r="A36" s="200" t="s">
        <v>200</v>
      </c>
      <c r="B36" s="186" t="s">
        <v>204</v>
      </c>
      <c r="C36" s="1279"/>
      <c r="D36" s="717"/>
      <c r="E36" s="702"/>
    </row>
    <row r="37" spans="1:5" s="39" customFormat="1" ht="12" customHeight="1" thickBot="1" x14ac:dyDescent="0.25">
      <c r="A37" s="25" t="s">
        <v>20</v>
      </c>
      <c r="B37" s="18" t="s">
        <v>390</v>
      </c>
      <c r="C37" s="1274">
        <f t="shared" ref="C37" si="6">SUM(C38:C48)</f>
        <v>21820900</v>
      </c>
      <c r="D37" s="717"/>
      <c r="E37" s="702"/>
    </row>
    <row r="38" spans="1:5" s="39" customFormat="1" ht="12" customHeight="1" x14ac:dyDescent="0.2">
      <c r="A38" s="198" t="s">
        <v>78</v>
      </c>
      <c r="B38" s="184" t="s">
        <v>207</v>
      </c>
      <c r="C38" s="1280"/>
      <c r="D38" s="717"/>
      <c r="E38" s="702"/>
    </row>
    <row r="39" spans="1:5" s="39" customFormat="1" ht="12" customHeight="1" x14ac:dyDescent="0.2">
      <c r="A39" s="199" t="s">
        <v>79</v>
      </c>
      <c r="B39" s="185" t="s">
        <v>208</v>
      </c>
      <c r="C39" s="1278">
        <v>1781102</v>
      </c>
      <c r="D39" s="717"/>
      <c r="E39" s="702"/>
    </row>
    <row r="40" spans="1:5" s="39" customFormat="1" ht="12" customHeight="1" x14ac:dyDescent="0.2">
      <c r="A40" s="199" t="s">
        <v>80</v>
      </c>
      <c r="B40" s="185" t="s">
        <v>209</v>
      </c>
      <c r="C40" s="1278"/>
      <c r="D40" s="717"/>
      <c r="E40" s="702"/>
    </row>
    <row r="41" spans="1:5" s="39" customFormat="1" ht="12" customHeight="1" x14ac:dyDescent="0.2">
      <c r="A41" s="199" t="s">
        <v>126</v>
      </c>
      <c r="B41" s="185" t="s">
        <v>210</v>
      </c>
      <c r="C41" s="1278"/>
      <c r="D41" s="717"/>
      <c r="E41" s="702"/>
    </row>
    <row r="42" spans="1:5" s="39" customFormat="1" ht="12" customHeight="1" x14ac:dyDescent="0.2">
      <c r="A42" s="199" t="s">
        <v>127</v>
      </c>
      <c r="B42" s="185" t="s">
        <v>211</v>
      </c>
      <c r="C42" s="1278"/>
      <c r="D42" s="717"/>
      <c r="E42" s="702"/>
    </row>
    <row r="43" spans="1:5" s="39" customFormat="1" ht="12" customHeight="1" x14ac:dyDescent="0.2">
      <c r="A43" s="199" t="s">
        <v>128</v>
      </c>
      <c r="B43" s="185" t="s">
        <v>212</v>
      </c>
      <c r="C43" s="1278">
        <v>480898</v>
      </c>
      <c r="D43" s="717"/>
      <c r="E43" s="702"/>
    </row>
    <row r="44" spans="1:5" s="39" customFormat="1" ht="12" customHeight="1" x14ac:dyDescent="0.2">
      <c r="A44" s="199" t="s">
        <v>129</v>
      </c>
      <c r="B44" s="185" t="s">
        <v>213</v>
      </c>
      <c r="C44" s="1278">
        <v>19458900</v>
      </c>
      <c r="D44" s="717"/>
      <c r="E44" s="702"/>
    </row>
    <row r="45" spans="1:5" s="39" customFormat="1" ht="12" customHeight="1" x14ac:dyDescent="0.2">
      <c r="A45" s="199" t="s">
        <v>130</v>
      </c>
      <c r="B45" s="185" t="s">
        <v>214</v>
      </c>
      <c r="C45" s="1278"/>
      <c r="D45" s="717"/>
      <c r="E45" s="702"/>
    </row>
    <row r="46" spans="1:5" s="39" customFormat="1" ht="12" customHeight="1" x14ac:dyDescent="0.2">
      <c r="A46" s="199" t="s">
        <v>205</v>
      </c>
      <c r="B46" s="185" t="s">
        <v>215</v>
      </c>
      <c r="C46" s="1278"/>
      <c r="D46" s="717"/>
      <c r="E46" s="702"/>
    </row>
    <row r="47" spans="1:5" s="39" customFormat="1" ht="12" customHeight="1" x14ac:dyDescent="0.2">
      <c r="A47" s="200" t="s">
        <v>206</v>
      </c>
      <c r="B47" s="186" t="s">
        <v>391</v>
      </c>
      <c r="C47" s="1279"/>
      <c r="D47" s="717"/>
      <c r="E47" s="702"/>
    </row>
    <row r="48" spans="1:5" s="39" customFormat="1" ht="12" customHeight="1" thickBot="1" x14ac:dyDescent="0.25">
      <c r="A48" s="200" t="s">
        <v>392</v>
      </c>
      <c r="B48" s="186" t="s">
        <v>216</v>
      </c>
      <c r="C48" s="1279">
        <v>100000</v>
      </c>
      <c r="D48" s="717"/>
      <c r="E48" s="702"/>
    </row>
    <row r="49" spans="1:5" s="39" customFormat="1" ht="12" customHeight="1" thickBot="1" x14ac:dyDescent="0.25">
      <c r="A49" s="25" t="s">
        <v>21</v>
      </c>
      <c r="B49" s="18" t="s">
        <v>217</v>
      </c>
      <c r="C49" s="1274">
        <f t="shared" ref="C49" si="7">SUM(C50:C54)</f>
        <v>0</v>
      </c>
      <c r="D49" s="717"/>
      <c r="E49" s="702"/>
    </row>
    <row r="50" spans="1:5" s="39" customFormat="1" ht="12" customHeight="1" x14ac:dyDescent="0.2">
      <c r="A50" s="198" t="s">
        <v>81</v>
      </c>
      <c r="B50" s="184" t="s">
        <v>221</v>
      </c>
      <c r="C50" s="1280"/>
      <c r="D50" s="717"/>
      <c r="E50" s="702"/>
    </row>
    <row r="51" spans="1:5" s="39" customFormat="1" ht="12" customHeight="1" x14ac:dyDescent="0.2">
      <c r="A51" s="199" t="s">
        <v>82</v>
      </c>
      <c r="B51" s="185" t="s">
        <v>222</v>
      </c>
      <c r="C51" s="1278"/>
      <c r="D51" s="717"/>
      <c r="E51" s="702"/>
    </row>
    <row r="52" spans="1:5" s="39" customFormat="1" ht="12" customHeight="1" x14ac:dyDescent="0.2">
      <c r="A52" s="199" t="s">
        <v>218</v>
      </c>
      <c r="B52" s="185" t="s">
        <v>223</v>
      </c>
      <c r="C52" s="1278"/>
      <c r="D52" s="717"/>
      <c r="E52" s="702"/>
    </row>
    <row r="53" spans="1:5" s="39" customFormat="1" ht="12" customHeight="1" x14ac:dyDescent="0.2">
      <c r="A53" s="199" t="s">
        <v>219</v>
      </c>
      <c r="B53" s="185" t="s">
        <v>224</v>
      </c>
      <c r="C53" s="1278"/>
      <c r="D53" s="717"/>
      <c r="E53" s="702"/>
    </row>
    <row r="54" spans="1:5" s="39" customFormat="1" ht="12" customHeight="1" thickBot="1" x14ac:dyDescent="0.25">
      <c r="A54" s="200" t="s">
        <v>220</v>
      </c>
      <c r="B54" s="186" t="s">
        <v>225</v>
      </c>
      <c r="C54" s="1279"/>
      <c r="D54" s="717"/>
      <c r="E54" s="702"/>
    </row>
    <row r="55" spans="1:5" s="39" customFormat="1" ht="12" customHeight="1" thickBot="1" x14ac:dyDescent="0.25">
      <c r="A55" s="25" t="s">
        <v>131</v>
      </c>
      <c r="B55" s="18" t="s">
        <v>226</v>
      </c>
      <c r="C55" s="1274">
        <f t="shared" ref="C55" si="8">SUM(C56:C58)</f>
        <v>200000</v>
      </c>
      <c r="D55" s="717"/>
      <c r="E55" s="702"/>
    </row>
    <row r="56" spans="1:5" s="39" customFormat="1" ht="12" customHeight="1" x14ac:dyDescent="0.2">
      <c r="A56" s="198" t="s">
        <v>83</v>
      </c>
      <c r="B56" s="184" t="s">
        <v>227</v>
      </c>
      <c r="C56" s="1276"/>
      <c r="D56" s="717"/>
      <c r="E56" s="702"/>
    </row>
    <row r="57" spans="1:5" s="39" customFormat="1" ht="12" customHeight="1" x14ac:dyDescent="0.2">
      <c r="A57" s="199" t="s">
        <v>84</v>
      </c>
      <c r="B57" s="185" t="s">
        <v>356</v>
      </c>
      <c r="C57" s="1278">
        <v>200000</v>
      </c>
      <c r="D57" s="717"/>
      <c r="E57" s="702"/>
    </row>
    <row r="58" spans="1:5" s="39" customFormat="1" ht="12" customHeight="1" x14ac:dyDescent="0.2">
      <c r="A58" s="199" t="s">
        <v>230</v>
      </c>
      <c r="B58" s="185" t="s">
        <v>228</v>
      </c>
      <c r="C58" s="1278"/>
      <c r="D58" s="717"/>
      <c r="E58" s="702"/>
    </row>
    <row r="59" spans="1:5" s="39" customFormat="1" ht="12" customHeight="1" thickBot="1" x14ac:dyDescent="0.25">
      <c r="A59" s="200" t="s">
        <v>231</v>
      </c>
      <c r="B59" s="186" t="s">
        <v>229</v>
      </c>
      <c r="C59" s="1277"/>
      <c r="D59" s="717"/>
      <c r="E59" s="702"/>
    </row>
    <row r="60" spans="1:5" s="39" customFormat="1" ht="12" customHeight="1" thickBot="1" x14ac:dyDescent="0.25">
      <c r="A60" s="25" t="s">
        <v>23</v>
      </c>
      <c r="B60" s="107" t="s">
        <v>232</v>
      </c>
      <c r="C60" s="1274">
        <f t="shared" ref="C60" si="9">SUM(C61:C63)</f>
        <v>0</v>
      </c>
      <c r="D60" s="717"/>
      <c r="E60" s="702"/>
    </row>
    <row r="61" spans="1:5" s="39" customFormat="1" ht="12" customHeight="1" x14ac:dyDescent="0.2">
      <c r="A61" s="198" t="s">
        <v>132</v>
      </c>
      <c r="B61" s="184" t="s">
        <v>234</v>
      </c>
      <c r="C61" s="1278"/>
      <c r="D61" s="717"/>
      <c r="E61" s="702"/>
    </row>
    <row r="62" spans="1:5" s="39" customFormat="1" ht="12" customHeight="1" x14ac:dyDescent="0.2">
      <c r="A62" s="199" t="s">
        <v>133</v>
      </c>
      <c r="B62" s="185" t="s">
        <v>357</v>
      </c>
      <c r="C62" s="1278"/>
      <c r="D62" s="717"/>
      <c r="E62" s="702"/>
    </row>
    <row r="63" spans="1:5" s="39" customFormat="1" ht="12" customHeight="1" x14ac:dyDescent="0.2">
      <c r="A63" s="199" t="s">
        <v>158</v>
      </c>
      <c r="B63" s="185" t="s">
        <v>235</v>
      </c>
      <c r="C63" s="1278"/>
      <c r="D63" s="717"/>
      <c r="E63" s="702"/>
    </row>
    <row r="64" spans="1:5" s="39" customFormat="1" ht="12" customHeight="1" thickBot="1" x14ac:dyDescent="0.25">
      <c r="A64" s="200" t="s">
        <v>233</v>
      </c>
      <c r="B64" s="186" t="s">
        <v>236</v>
      </c>
      <c r="C64" s="1278"/>
      <c r="D64" s="717"/>
      <c r="E64" s="702"/>
    </row>
    <row r="65" spans="1:5" s="39" customFormat="1" ht="12" customHeight="1" thickBot="1" x14ac:dyDescent="0.25">
      <c r="A65" s="25" t="s">
        <v>24</v>
      </c>
      <c r="B65" s="18" t="s">
        <v>237</v>
      </c>
      <c r="C65" s="1281">
        <f t="shared" ref="C65" si="10">+C7+C16+C23+C30+C37+C49+C55+C60</f>
        <v>520814482</v>
      </c>
      <c r="D65" s="717"/>
      <c r="E65" s="702"/>
    </row>
    <row r="66" spans="1:5" s="39" customFormat="1" ht="12" customHeight="1" thickBot="1" x14ac:dyDescent="0.2">
      <c r="A66" s="201" t="s">
        <v>327</v>
      </c>
      <c r="B66" s="107" t="s">
        <v>239</v>
      </c>
      <c r="C66" s="1274">
        <f t="shared" ref="C66" si="11">SUM(C67:C69)</f>
        <v>0</v>
      </c>
      <c r="D66" s="717"/>
      <c r="E66" s="702"/>
    </row>
    <row r="67" spans="1:5" s="39" customFormat="1" ht="12" customHeight="1" x14ac:dyDescent="0.2">
      <c r="A67" s="198" t="s">
        <v>270</v>
      </c>
      <c r="B67" s="184" t="s">
        <v>240</v>
      </c>
      <c r="C67" s="1278"/>
      <c r="D67" s="717"/>
      <c r="E67" s="702"/>
    </row>
    <row r="68" spans="1:5" s="39" customFormat="1" ht="12" customHeight="1" x14ac:dyDescent="0.2">
      <c r="A68" s="199" t="s">
        <v>279</v>
      </c>
      <c r="B68" s="185" t="s">
        <v>241</v>
      </c>
      <c r="C68" s="1278"/>
      <c r="D68" s="717"/>
      <c r="E68" s="702"/>
    </row>
    <row r="69" spans="1:5" s="39" customFormat="1" ht="12" customHeight="1" thickBot="1" x14ac:dyDescent="0.25">
      <c r="A69" s="200" t="s">
        <v>280</v>
      </c>
      <c r="B69" s="187" t="s">
        <v>242</v>
      </c>
      <c r="C69" s="1278"/>
      <c r="D69" s="717"/>
      <c r="E69" s="702"/>
    </row>
    <row r="70" spans="1:5" s="39" customFormat="1" ht="12" customHeight="1" thickBot="1" x14ac:dyDescent="0.2">
      <c r="A70" s="201" t="s">
        <v>243</v>
      </c>
      <c r="B70" s="107" t="s">
        <v>244</v>
      </c>
      <c r="C70" s="1274">
        <f t="shared" ref="C70" si="12">SUM(C71:C74)</f>
        <v>0</v>
      </c>
      <c r="D70" s="717"/>
      <c r="E70" s="702"/>
    </row>
    <row r="71" spans="1:5" s="39" customFormat="1" ht="12" customHeight="1" x14ac:dyDescent="0.2">
      <c r="A71" s="198" t="s">
        <v>112</v>
      </c>
      <c r="B71" s="184" t="s">
        <v>245</v>
      </c>
      <c r="C71" s="1278"/>
      <c r="D71" s="717"/>
      <c r="E71" s="702"/>
    </row>
    <row r="72" spans="1:5" s="39" customFormat="1" ht="12" customHeight="1" x14ac:dyDescent="0.2">
      <c r="A72" s="199" t="s">
        <v>113</v>
      </c>
      <c r="B72" s="185" t="s">
        <v>246</v>
      </c>
      <c r="C72" s="1278"/>
      <c r="D72" s="717"/>
      <c r="E72" s="702"/>
    </row>
    <row r="73" spans="1:5" s="39" customFormat="1" ht="12" customHeight="1" x14ac:dyDescent="0.2">
      <c r="A73" s="199" t="s">
        <v>271</v>
      </c>
      <c r="B73" s="185" t="s">
        <v>247</v>
      </c>
      <c r="C73" s="1278"/>
      <c r="D73" s="717"/>
      <c r="E73" s="702"/>
    </row>
    <row r="74" spans="1:5" s="39" customFormat="1" ht="12" customHeight="1" thickBot="1" x14ac:dyDescent="0.25">
      <c r="A74" s="200" t="s">
        <v>272</v>
      </c>
      <c r="B74" s="186" t="s">
        <v>248</v>
      </c>
      <c r="C74" s="1278"/>
      <c r="D74" s="717"/>
      <c r="E74" s="702"/>
    </row>
    <row r="75" spans="1:5" s="39" customFormat="1" ht="12" customHeight="1" thickBot="1" x14ac:dyDescent="0.2">
      <c r="A75" s="201" t="s">
        <v>249</v>
      </c>
      <c r="B75" s="107" t="s">
        <v>250</v>
      </c>
      <c r="C75" s="1274">
        <f t="shared" ref="C75" si="13">SUM(C76:C77)</f>
        <v>0</v>
      </c>
      <c r="D75" s="717"/>
      <c r="E75" s="702"/>
    </row>
    <row r="76" spans="1:5" s="39" customFormat="1" ht="12" customHeight="1" x14ac:dyDescent="0.2">
      <c r="A76" s="198" t="s">
        <v>273</v>
      </c>
      <c r="B76" s="184" t="s">
        <v>251</v>
      </c>
      <c r="C76" s="1278"/>
      <c r="D76" s="717"/>
      <c r="E76" s="702"/>
    </row>
    <row r="77" spans="1:5" s="39" customFormat="1" ht="12" customHeight="1" thickBot="1" x14ac:dyDescent="0.25">
      <c r="A77" s="200" t="s">
        <v>274</v>
      </c>
      <c r="B77" s="186" t="s">
        <v>252</v>
      </c>
      <c r="C77" s="1278"/>
      <c r="D77" s="717"/>
      <c r="E77" s="702"/>
    </row>
    <row r="78" spans="1:5" s="38" customFormat="1" ht="12" customHeight="1" thickBot="1" x14ac:dyDescent="0.2">
      <c r="A78" s="201" t="s">
        <v>253</v>
      </c>
      <c r="B78" s="107" t="s">
        <v>254</v>
      </c>
      <c r="C78" s="1274">
        <f t="shared" ref="C78" si="14">SUM(C79:C81)</f>
        <v>0</v>
      </c>
      <c r="D78" s="717"/>
      <c r="E78" s="702"/>
    </row>
    <row r="79" spans="1:5" s="39" customFormat="1" ht="12" customHeight="1" x14ac:dyDescent="0.2">
      <c r="A79" s="198" t="s">
        <v>275</v>
      </c>
      <c r="B79" s="184" t="s">
        <v>255</v>
      </c>
      <c r="C79" s="1278"/>
      <c r="D79" s="717"/>
      <c r="E79" s="702"/>
    </row>
    <row r="80" spans="1:5" s="39" customFormat="1" ht="12" customHeight="1" x14ac:dyDescent="0.2">
      <c r="A80" s="199" t="s">
        <v>276</v>
      </c>
      <c r="B80" s="185" t="s">
        <v>256</v>
      </c>
      <c r="C80" s="1278"/>
      <c r="D80" s="717"/>
      <c r="E80" s="702"/>
    </row>
    <row r="81" spans="1:5" s="39" customFormat="1" ht="12" customHeight="1" thickBot="1" x14ac:dyDescent="0.25">
      <c r="A81" s="200" t="s">
        <v>277</v>
      </c>
      <c r="B81" s="186" t="s">
        <v>257</v>
      </c>
      <c r="C81" s="1278"/>
      <c r="D81" s="717"/>
      <c r="E81" s="702"/>
    </row>
    <row r="82" spans="1:5" s="39" customFormat="1" ht="12" customHeight="1" thickBot="1" x14ac:dyDescent="0.2">
      <c r="A82" s="201" t="s">
        <v>258</v>
      </c>
      <c r="B82" s="107" t="s">
        <v>278</v>
      </c>
      <c r="C82" s="1274">
        <f t="shared" ref="C82" si="15">SUM(C83:C86)</f>
        <v>0</v>
      </c>
      <c r="D82" s="717"/>
      <c r="E82" s="702"/>
    </row>
    <row r="83" spans="1:5" s="39" customFormat="1" ht="12" customHeight="1" x14ac:dyDescent="0.2">
      <c r="A83" s="202" t="s">
        <v>259</v>
      </c>
      <c r="B83" s="184" t="s">
        <v>260</v>
      </c>
      <c r="C83" s="1278"/>
      <c r="D83" s="717"/>
      <c r="E83" s="702"/>
    </row>
    <row r="84" spans="1:5" s="39" customFormat="1" ht="12" customHeight="1" x14ac:dyDescent="0.2">
      <c r="A84" s="203" t="s">
        <v>261</v>
      </c>
      <c r="B84" s="185" t="s">
        <v>262</v>
      </c>
      <c r="C84" s="1278"/>
      <c r="D84" s="717"/>
      <c r="E84" s="702"/>
    </row>
    <row r="85" spans="1:5" s="39" customFormat="1" ht="12" customHeight="1" x14ac:dyDescent="0.2">
      <c r="A85" s="203" t="s">
        <v>263</v>
      </c>
      <c r="B85" s="185" t="s">
        <v>264</v>
      </c>
      <c r="C85" s="1278"/>
      <c r="D85" s="717"/>
      <c r="E85" s="702"/>
    </row>
    <row r="86" spans="1:5" s="38" customFormat="1" ht="12" customHeight="1" thickBot="1" x14ac:dyDescent="0.25">
      <c r="A86" s="204" t="s">
        <v>265</v>
      </c>
      <c r="B86" s="186" t="s">
        <v>266</v>
      </c>
      <c r="C86" s="1278"/>
      <c r="D86" s="717"/>
      <c r="E86" s="702"/>
    </row>
    <row r="87" spans="1:5" s="38" customFormat="1" ht="12" customHeight="1" thickBot="1" x14ac:dyDescent="0.2">
      <c r="A87" s="201" t="s">
        <v>267</v>
      </c>
      <c r="B87" s="107" t="s">
        <v>395</v>
      </c>
      <c r="C87" s="1282"/>
      <c r="D87" s="717"/>
      <c r="E87" s="702"/>
    </row>
    <row r="88" spans="1:5" s="38" customFormat="1" ht="12" customHeight="1" thickBot="1" x14ac:dyDescent="0.2">
      <c r="A88" s="201" t="s">
        <v>447</v>
      </c>
      <c r="B88" s="107" t="s">
        <v>268</v>
      </c>
      <c r="C88" s="1282"/>
      <c r="D88" s="717"/>
      <c r="E88" s="702"/>
    </row>
    <row r="89" spans="1:5" s="38" customFormat="1" ht="12" customHeight="1" thickBot="1" x14ac:dyDescent="0.2">
      <c r="A89" s="201" t="s">
        <v>448</v>
      </c>
      <c r="B89" s="191" t="s">
        <v>396</v>
      </c>
      <c r="C89" s="1281">
        <f t="shared" ref="C89" si="16">+C66+C70+C75+C78+C82+C88+C87</f>
        <v>0</v>
      </c>
      <c r="D89" s="717"/>
      <c r="E89" s="702"/>
    </row>
    <row r="90" spans="1:5" s="38" customFormat="1" ht="12" customHeight="1" thickBot="1" x14ac:dyDescent="0.2">
      <c r="A90" s="205" t="s">
        <v>449</v>
      </c>
      <c r="B90" s="192" t="s">
        <v>450</v>
      </c>
      <c r="C90" s="1281">
        <f t="shared" ref="C90" si="17">+C65+C89</f>
        <v>520814482</v>
      </c>
      <c r="D90" s="717"/>
      <c r="E90" s="702"/>
    </row>
    <row r="91" spans="1:5" s="32" customFormat="1" ht="16.5" customHeight="1" thickBot="1" x14ac:dyDescent="0.25">
      <c r="A91" s="1449" t="s">
        <v>53</v>
      </c>
      <c r="B91" s="1450"/>
      <c r="C91" s="1451"/>
      <c r="E91" s="702"/>
    </row>
    <row r="92" spans="1:5" s="708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137927423</v>
      </c>
      <c r="E92" s="702"/>
    </row>
    <row r="93" spans="1:5" ht="12" customHeight="1" x14ac:dyDescent="0.2">
      <c r="A93" s="206" t="s">
        <v>85</v>
      </c>
      <c r="B93" s="386" t="s">
        <v>46</v>
      </c>
      <c r="C93" s="261">
        <v>3472852</v>
      </c>
      <c r="D93" s="708"/>
      <c r="E93" s="702"/>
    </row>
    <row r="94" spans="1:5" ht="12" customHeight="1" x14ac:dyDescent="0.2">
      <c r="A94" s="199" t="s">
        <v>86</v>
      </c>
      <c r="B94" s="387" t="s">
        <v>134</v>
      </c>
      <c r="C94" s="767">
        <v>1482606</v>
      </c>
      <c r="D94" s="708"/>
      <c r="E94" s="702"/>
    </row>
    <row r="95" spans="1:5" ht="12" customHeight="1" x14ac:dyDescent="0.2">
      <c r="A95" s="199" t="s">
        <v>87</v>
      </c>
      <c r="B95" s="387" t="s">
        <v>110</v>
      </c>
      <c r="C95" s="173">
        <v>112474577</v>
      </c>
      <c r="D95" s="708"/>
      <c r="E95" s="702"/>
    </row>
    <row r="96" spans="1:5" ht="12" customHeight="1" x14ac:dyDescent="0.2">
      <c r="A96" s="199" t="s">
        <v>88</v>
      </c>
      <c r="B96" s="390" t="s">
        <v>135</v>
      </c>
      <c r="C96" s="173"/>
      <c r="D96" s="708"/>
      <c r="E96" s="702"/>
    </row>
    <row r="97" spans="1:5" ht="12" customHeight="1" x14ac:dyDescent="0.2">
      <c r="A97" s="199" t="s">
        <v>99</v>
      </c>
      <c r="B97" s="16" t="s">
        <v>136</v>
      </c>
      <c r="C97" s="173">
        <f>SUM(C98:C109)</f>
        <v>20497388</v>
      </c>
      <c r="D97" s="708"/>
      <c r="E97" s="702"/>
    </row>
    <row r="98" spans="1:5" ht="12" customHeight="1" x14ac:dyDescent="0.2">
      <c r="A98" s="199" t="s">
        <v>89</v>
      </c>
      <c r="B98" s="387" t="s">
        <v>451</v>
      </c>
      <c r="C98" s="173"/>
      <c r="D98" s="708"/>
      <c r="E98" s="702"/>
    </row>
    <row r="99" spans="1:5" ht="12" customHeight="1" x14ac:dyDescent="0.2">
      <c r="A99" s="199" t="s">
        <v>90</v>
      </c>
      <c r="B99" s="398" t="s">
        <v>400</v>
      </c>
      <c r="C99" s="173"/>
      <c r="D99" s="708"/>
      <c r="E99" s="702"/>
    </row>
    <row r="100" spans="1:5" ht="12" customHeight="1" x14ac:dyDescent="0.2">
      <c r="A100" s="199" t="s">
        <v>100</v>
      </c>
      <c r="B100" s="398" t="s">
        <v>401</v>
      </c>
      <c r="C100" s="173"/>
      <c r="D100" s="708"/>
      <c r="E100" s="702"/>
    </row>
    <row r="101" spans="1:5" ht="12" customHeight="1" x14ac:dyDescent="0.2">
      <c r="A101" s="199" t="s">
        <v>101</v>
      </c>
      <c r="B101" s="398" t="s">
        <v>284</v>
      </c>
      <c r="C101" s="173"/>
      <c r="D101" s="708"/>
      <c r="E101" s="702"/>
    </row>
    <row r="102" spans="1:5" ht="12" customHeight="1" x14ac:dyDescent="0.2">
      <c r="A102" s="199" t="s">
        <v>102</v>
      </c>
      <c r="B102" s="395" t="s">
        <v>285</v>
      </c>
      <c r="C102" s="173"/>
      <c r="D102" s="708"/>
      <c r="E102" s="702"/>
    </row>
    <row r="103" spans="1:5" ht="12" customHeight="1" x14ac:dyDescent="0.2">
      <c r="A103" s="199" t="s">
        <v>103</v>
      </c>
      <c r="B103" s="395" t="s">
        <v>286</v>
      </c>
      <c r="C103" s="173"/>
      <c r="D103" s="708"/>
      <c r="E103" s="702"/>
    </row>
    <row r="104" spans="1:5" ht="12" customHeight="1" x14ac:dyDescent="0.2">
      <c r="A104" s="199" t="s">
        <v>105</v>
      </c>
      <c r="B104" s="398" t="s">
        <v>287</v>
      </c>
      <c r="C104" s="173"/>
      <c r="D104" s="708"/>
      <c r="E104" s="702"/>
    </row>
    <row r="105" spans="1:5" ht="12" customHeight="1" x14ac:dyDescent="0.2">
      <c r="A105" s="199" t="s">
        <v>137</v>
      </c>
      <c r="B105" s="398" t="s">
        <v>288</v>
      </c>
      <c r="C105" s="173"/>
      <c r="D105" s="708"/>
      <c r="E105" s="702"/>
    </row>
    <row r="106" spans="1:5" ht="12" customHeight="1" x14ac:dyDescent="0.2">
      <c r="A106" s="199" t="s">
        <v>282</v>
      </c>
      <c r="B106" s="395" t="s">
        <v>289</v>
      </c>
      <c r="C106" s="173"/>
      <c r="D106" s="708"/>
      <c r="E106" s="702"/>
    </row>
    <row r="107" spans="1:5" ht="12" customHeight="1" x14ac:dyDescent="0.2">
      <c r="A107" s="207" t="s">
        <v>283</v>
      </c>
      <c r="B107" s="389" t="s">
        <v>290</v>
      </c>
      <c r="C107" s="173"/>
      <c r="D107" s="708"/>
      <c r="E107" s="702"/>
    </row>
    <row r="108" spans="1:5" ht="12" customHeight="1" x14ac:dyDescent="0.2">
      <c r="A108" s="199" t="s">
        <v>402</v>
      </c>
      <c r="B108" s="389" t="s">
        <v>291</v>
      </c>
      <c r="C108" s="173"/>
      <c r="D108" s="708"/>
      <c r="E108" s="702"/>
    </row>
    <row r="109" spans="1:5" ht="12" customHeight="1" x14ac:dyDescent="0.2">
      <c r="A109" s="199" t="s">
        <v>403</v>
      </c>
      <c r="B109" s="395" t="s">
        <v>292</v>
      </c>
      <c r="C109" s="767">
        <v>20497388</v>
      </c>
      <c r="D109" s="708"/>
      <c r="E109" s="702"/>
    </row>
    <row r="110" spans="1:5" ht="12" customHeight="1" x14ac:dyDescent="0.2">
      <c r="A110" s="199" t="s">
        <v>404</v>
      </c>
      <c r="B110" s="390" t="s">
        <v>47</v>
      </c>
      <c r="C110" s="767">
        <f t="shared" ref="C110" si="18">SUM(C111:C112)</f>
        <v>0</v>
      </c>
      <c r="D110" s="708"/>
      <c r="E110" s="702"/>
    </row>
    <row r="111" spans="1:5" ht="12" customHeight="1" x14ac:dyDescent="0.2">
      <c r="A111" s="200" t="s">
        <v>405</v>
      </c>
      <c r="B111" s="387" t="s">
        <v>452</v>
      </c>
      <c r="C111" s="173"/>
      <c r="D111" s="708"/>
      <c r="E111" s="702"/>
    </row>
    <row r="112" spans="1:5" ht="12" customHeight="1" thickBot="1" x14ac:dyDescent="0.25">
      <c r="A112" s="208" t="s">
        <v>407</v>
      </c>
      <c r="B112" s="1140" t="s">
        <v>453</v>
      </c>
      <c r="C112" s="264"/>
      <c r="D112" s="708"/>
      <c r="E112" s="702"/>
    </row>
    <row r="113" spans="1:5" ht="12" customHeight="1" thickBot="1" x14ac:dyDescent="0.25">
      <c r="A113" s="25" t="s">
        <v>17</v>
      </c>
      <c r="B113" s="1141" t="s">
        <v>293</v>
      </c>
      <c r="C113" s="112">
        <f t="shared" ref="C113" si="19">+C114+C116+C118</f>
        <v>96592654</v>
      </c>
      <c r="D113" s="708"/>
      <c r="E113" s="702"/>
    </row>
    <row r="114" spans="1:5" ht="12" customHeight="1" x14ac:dyDescent="0.2">
      <c r="A114" s="198" t="s">
        <v>91</v>
      </c>
      <c r="B114" s="387" t="s">
        <v>157</v>
      </c>
      <c r="C114" s="222">
        <v>47592654</v>
      </c>
      <c r="D114" s="708"/>
      <c r="E114" s="702"/>
    </row>
    <row r="115" spans="1:5" ht="12" customHeight="1" x14ac:dyDescent="0.2">
      <c r="A115" s="198" t="s">
        <v>92</v>
      </c>
      <c r="B115" s="388" t="s">
        <v>297</v>
      </c>
      <c r="C115" s="222"/>
      <c r="D115" s="708"/>
      <c r="E115" s="702"/>
    </row>
    <row r="116" spans="1:5" ht="12" customHeight="1" x14ac:dyDescent="0.2">
      <c r="A116" s="198" t="s">
        <v>93</v>
      </c>
      <c r="B116" s="388" t="s">
        <v>138</v>
      </c>
      <c r="C116" s="767">
        <v>49000000</v>
      </c>
      <c r="D116" s="708"/>
      <c r="E116" s="702"/>
    </row>
    <row r="117" spans="1:5" ht="12" customHeight="1" x14ac:dyDescent="0.2">
      <c r="A117" s="198" t="s">
        <v>94</v>
      </c>
      <c r="B117" s="388" t="s">
        <v>298</v>
      </c>
      <c r="C117" s="767"/>
      <c r="D117" s="708"/>
      <c r="E117" s="702"/>
    </row>
    <row r="118" spans="1:5" ht="12" customHeight="1" x14ac:dyDescent="0.2">
      <c r="A118" s="198" t="s">
        <v>95</v>
      </c>
      <c r="B118" s="380" t="s">
        <v>159</v>
      </c>
      <c r="C118" s="767"/>
      <c r="D118" s="708"/>
      <c r="E118" s="702"/>
    </row>
    <row r="119" spans="1:5" ht="12" customHeight="1" x14ac:dyDescent="0.2">
      <c r="A119" s="198" t="s">
        <v>104</v>
      </c>
      <c r="B119" s="379" t="s">
        <v>358</v>
      </c>
      <c r="C119" s="113"/>
      <c r="D119" s="708"/>
      <c r="E119" s="702"/>
    </row>
    <row r="120" spans="1:5" ht="12" customHeight="1" x14ac:dyDescent="0.2">
      <c r="A120" s="198" t="s">
        <v>106</v>
      </c>
      <c r="B120" s="394" t="s">
        <v>303</v>
      </c>
      <c r="C120" s="113"/>
      <c r="D120" s="708"/>
      <c r="E120" s="702"/>
    </row>
    <row r="121" spans="1:5" ht="12" customHeight="1" x14ac:dyDescent="0.2">
      <c r="A121" s="198" t="s">
        <v>139</v>
      </c>
      <c r="B121" s="395" t="s">
        <v>286</v>
      </c>
      <c r="C121" s="113"/>
      <c r="D121" s="708"/>
      <c r="E121" s="702"/>
    </row>
    <row r="122" spans="1:5" ht="12" customHeight="1" x14ac:dyDescent="0.2">
      <c r="A122" s="198" t="s">
        <v>140</v>
      </c>
      <c r="B122" s="395" t="s">
        <v>302</v>
      </c>
      <c r="C122" s="113"/>
      <c r="D122" s="708"/>
      <c r="E122" s="702"/>
    </row>
    <row r="123" spans="1:5" ht="12" customHeight="1" x14ac:dyDescent="0.2">
      <c r="A123" s="198" t="s">
        <v>141</v>
      </c>
      <c r="B123" s="395" t="s">
        <v>301</v>
      </c>
      <c r="C123" s="113"/>
      <c r="D123" s="708"/>
      <c r="E123" s="702"/>
    </row>
    <row r="124" spans="1:5" ht="12" customHeight="1" x14ac:dyDescent="0.2">
      <c r="A124" s="198" t="s">
        <v>294</v>
      </c>
      <c r="B124" s="395" t="s">
        <v>289</v>
      </c>
      <c r="C124" s="113"/>
      <c r="D124" s="708"/>
      <c r="E124" s="702"/>
    </row>
    <row r="125" spans="1:5" ht="12" customHeight="1" x14ac:dyDescent="0.2">
      <c r="A125" s="198" t="s">
        <v>295</v>
      </c>
      <c r="B125" s="395" t="s">
        <v>300</v>
      </c>
      <c r="C125" s="113"/>
      <c r="D125" s="708"/>
      <c r="E125" s="702"/>
    </row>
    <row r="126" spans="1:5" ht="12" customHeight="1" thickBot="1" x14ac:dyDescent="0.25">
      <c r="A126" s="207" t="s">
        <v>296</v>
      </c>
      <c r="B126" s="395" t="s">
        <v>299</v>
      </c>
      <c r="C126" s="173"/>
      <c r="D126" s="708"/>
      <c r="E126" s="702"/>
    </row>
    <row r="127" spans="1:5" ht="12" customHeight="1" thickBot="1" x14ac:dyDescent="0.25">
      <c r="A127" s="25" t="s">
        <v>18</v>
      </c>
      <c r="B127" s="372" t="s">
        <v>409</v>
      </c>
      <c r="C127" s="112">
        <f t="shared" ref="C127" si="20">+C92+C113</f>
        <v>234520077</v>
      </c>
      <c r="D127" s="708"/>
      <c r="E127" s="702"/>
    </row>
    <row r="128" spans="1:5" ht="12" customHeight="1" thickBot="1" x14ac:dyDescent="0.25">
      <c r="A128" s="25" t="s">
        <v>19</v>
      </c>
      <c r="B128" s="372" t="s">
        <v>410</v>
      </c>
      <c r="C128" s="112">
        <f t="shared" ref="C128" si="21">+C129+C130+C131</f>
        <v>1668000</v>
      </c>
      <c r="D128" s="708"/>
      <c r="E128" s="702"/>
    </row>
    <row r="129" spans="1:11" s="708" customFormat="1" ht="12" customHeight="1" x14ac:dyDescent="0.2">
      <c r="A129" s="198" t="s">
        <v>195</v>
      </c>
      <c r="B129" s="392" t="s">
        <v>454</v>
      </c>
      <c r="C129" s="767">
        <v>1668000</v>
      </c>
      <c r="E129" s="702"/>
    </row>
    <row r="130" spans="1:11" ht="12" customHeight="1" x14ac:dyDescent="0.2">
      <c r="A130" s="198" t="s">
        <v>198</v>
      </c>
      <c r="B130" s="392" t="s">
        <v>412</v>
      </c>
      <c r="C130" s="767"/>
      <c r="D130" s="708"/>
      <c r="E130" s="702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8"/>
      <c r="E131" s="702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8"/>
      <c r="E132" s="702"/>
    </row>
    <row r="133" spans="1:11" ht="12" customHeight="1" x14ac:dyDescent="0.2">
      <c r="A133" s="198" t="s">
        <v>78</v>
      </c>
      <c r="B133" s="392" t="s">
        <v>415</v>
      </c>
      <c r="C133" s="113"/>
      <c r="D133" s="708"/>
      <c r="E133" s="702"/>
    </row>
    <row r="134" spans="1:11" ht="12" customHeight="1" x14ac:dyDescent="0.2">
      <c r="A134" s="198" t="s">
        <v>79</v>
      </c>
      <c r="B134" s="392" t="s">
        <v>416</v>
      </c>
      <c r="C134" s="113"/>
      <c r="D134" s="708"/>
      <c r="E134" s="702"/>
    </row>
    <row r="135" spans="1:11" ht="12" customHeight="1" x14ac:dyDescent="0.2">
      <c r="A135" s="198" t="s">
        <v>80</v>
      </c>
      <c r="B135" s="392" t="s">
        <v>417</v>
      </c>
      <c r="C135" s="113"/>
      <c r="D135" s="708"/>
      <c r="E135" s="702"/>
    </row>
    <row r="136" spans="1:11" ht="12" customHeight="1" x14ac:dyDescent="0.2">
      <c r="A136" s="198" t="s">
        <v>126</v>
      </c>
      <c r="B136" s="392" t="s">
        <v>456</v>
      </c>
      <c r="C136" s="113"/>
      <c r="D136" s="708"/>
      <c r="E136" s="702"/>
    </row>
    <row r="137" spans="1:11" ht="12" customHeight="1" x14ac:dyDescent="0.2">
      <c r="A137" s="198" t="s">
        <v>127</v>
      </c>
      <c r="B137" s="392" t="s">
        <v>419</v>
      </c>
      <c r="C137" s="113"/>
      <c r="D137" s="708"/>
      <c r="E137" s="702"/>
    </row>
    <row r="138" spans="1:11" s="708" customFormat="1" ht="12" customHeight="1" thickBot="1" x14ac:dyDescent="0.25">
      <c r="A138" s="207" t="s">
        <v>128</v>
      </c>
      <c r="B138" s="393" t="s">
        <v>420</v>
      </c>
      <c r="C138" s="113"/>
      <c r="E138" s="702"/>
    </row>
    <row r="139" spans="1:11" ht="12" customHeight="1" thickBot="1" x14ac:dyDescent="0.25">
      <c r="A139" s="25" t="s">
        <v>21</v>
      </c>
      <c r="B139" s="372" t="s">
        <v>457</v>
      </c>
      <c r="C139" s="117">
        <f t="shared" ref="C139" si="22">+C140+C141+C142+C143</f>
        <v>0</v>
      </c>
      <c r="D139" s="708"/>
      <c r="E139" s="702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8"/>
      <c r="E140" s="702"/>
    </row>
    <row r="141" spans="1:11" ht="12" customHeight="1" x14ac:dyDescent="0.2">
      <c r="A141" s="198" t="s">
        <v>82</v>
      </c>
      <c r="B141" s="392" t="s">
        <v>305</v>
      </c>
      <c r="C141" s="113"/>
      <c r="D141" s="708"/>
      <c r="E141" s="702"/>
    </row>
    <row r="142" spans="1:11" s="708" customFormat="1" ht="12" customHeight="1" x14ac:dyDescent="0.2">
      <c r="A142" s="198" t="s">
        <v>218</v>
      </c>
      <c r="B142" s="392" t="s">
        <v>422</v>
      </c>
      <c r="C142" s="113"/>
      <c r="E142" s="702"/>
    </row>
    <row r="143" spans="1:11" s="708" customFormat="1" ht="12" customHeight="1" thickBot="1" x14ac:dyDescent="0.25">
      <c r="A143" s="207" t="s">
        <v>219</v>
      </c>
      <c r="B143" s="393" t="s">
        <v>323</v>
      </c>
      <c r="C143" s="113"/>
      <c r="E143" s="702"/>
    </row>
    <row r="144" spans="1:11" s="708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702"/>
    </row>
    <row r="145" spans="1:5" s="708" customFormat="1" ht="12" customHeight="1" x14ac:dyDescent="0.2">
      <c r="A145" s="198" t="s">
        <v>83</v>
      </c>
      <c r="B145" s="392" t="s">
        <v>424</v>
      </c>
      <c r="C145" s="113"/>
      <c r="E145" s="702"/>
    </row>
    <row r="146" spans="1:5" s="708" customFormat="1" ht="12" customHeight="1" x14ac:dyDescent="0.2">
      <c r="A146" s="198" t="s">
        <v>84</v>
      </c>
      <c r="B146" s="392" t="s">
        <v>425</v>
      </c>
      <c r="C146" s="113"/>
      <c r="E146" s="702"/>
    </row>
    <row r="147" spans="1:5" s="708" customFormat="1" ht="12" customHeight="1" x14ac:dyDescent="0.2">
      <c r="A147" s="198" t="s">
        <v>230</v>
      </c>
      <c r="B147" s="392" t="s">
        <v>426</v>
      </c>
      <c r="C147" s="113"/>
      <c r="E147" s="702"/>
    </row>
    <row r="148" spans="1:5" ht="12.75" customHeight="1" x14ac:dyDescent="0.2">
      <c r="A148" s="198" t="s">
        <v>231</v>
      </c>
      <c r="B148" s="392" t="s">
        <v>458</v>
      </c>
      <c r="C148" s="113"/>
      <c r="D148" s="708"/>
      <c r="E148" s="702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8"/>
      <c r="E149" s="702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8"/>
      <c r="E150" s="702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8"/>
      <c r="E151" s="702"/>
    </row>
    <row r="152" spans="1:5" ht="15" customHeight="1" thickBot="1" x14ac:dyDescent="0.25">
      <c r="A152" s="25" t="s">
        <v>25</v>
      </c>
      <c r="B152" s="372" t="s">
        <v>432</v>
      </c>
      <c r="C152" s="194">
        <f t="shared" ref="C152" si="23">+C128+C132+C139+C144+C150+C151</f>
        <v>1668000</v>
      </c>
      <c r="D152" s="708"/>
      <c r="E152" s="702"/>
    </row>
    <row r="153" spans="1:5" ht="16.5" thickBot="1" x14ac:dyDescent="0.25">
      <c r="A153" s="209" t="s">
        <v>26</v>
      </c>
      <c r="B153" s="375" t="s">
        <v>433</v>
      </c>
      <c r="C153" s="194">
        <f t="shared" ref="C153" si="24">+C127+C152</f>
        <v>236188077</v>
      </c>
      <c r="D153" s="708"/>
      <c r="E153" s="702"/>
    </row>
    <row r="154" spans="1:5" ht="14.25" customHeight="1" thickBot="1" x14ac:dyDescent="0.25">
      <c r="A154" s="1447" t="s">
        <v>710</v>
      </c>
      <c r="B154" s="1452"/>
      <c r="C154" s="728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H20" sqref="H20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14" style="316" customWidth="1"/>
    <col min="4" max="4" width="10" style="715" hidden="1" customWidth="1"/>
    <col min="5" max="5" width="10.5" style="715" hidden="1" customWidth="1"/>
    <col min="6" max="9" width="9.33203125" style="719" customWidth="1"/>
    <col min="10" max="19" width="9.33203125" style="719"/>
    <col min="20" max="16384" width="9.33203125" style="710"/>
  </cols>
  <sheetData>
    <row r="1" spans="1:19" x14ac:dyDescent="0.2">
      <c r="A1" s="1453" t="str">
        <f>CONCATENATE("17. melléklet"," ",ALAPADATOK!A7," ",ALAPADATOK!B7," ",ALAPADATOK!C7," ",ALAPADATOK!D7," ",ALAPADATOK!E7," ",ALAPADATOK!F7," ",ALAPADATOK!G7," ",ALAPADATOK!H7)</f>
        <v>17. melléklet a .. / 2022. ( ……. ) önkormányzati rendelethez</v>
      </c>
      <c r="B1" s="1453"/>
      <c r="C1" s="1453"/>
    </row>
    <row r="2" spans="1:19" s="77" customFormat="1" ht="21" customHeight="1" x14ac:dyDescent="0.2">
      <c r="A2" s="76"/>
      <c r="B2" s="78"/>
      <c r="C2" s="216"/>
      <c r="D2" s="715"/>
      <c r="E2" s="715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03" t="s">
        <v>908</v>
      </c>
      <c r="B3" s="1403"/>
      <c r="C3" s="1403"/>
      <c r="D3" s="714"/>
      <c r="E3" s="714"/>
      <c r="F3" s="713"/>
    </row>
    <row r="4" spans="1:19" ht="24.75" thickBot="1" x14ac:dyDescent="0.25">
      <c r="A4" s="175" t="s">
        <v>153</v>
      </c>
      <c r="B4" s="81" t="s">
        <v>50</v>
      </c>
      <c r="C4" s="82" t="s">
        <v>905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61">
        <f>SUM(C8:C18)</f>
        <v>52966571</v>
      </c>
      <c r="D7" s="347">
        <f>'18. sz. mell PH.'!C7+'19. sz. mell PH.'!C7+'20. sz. mell. PH.'!C7</f>
        <v>52966571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9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759">
        <v>4904339</v>
      </c>
      <c r="D10" s="347">
        <f>'18. sz. mell PH.'!C10+'19. sz. mell PH.'!C10+'20. sz. mell. PH.'!C10</f>
        <v>4904339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64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9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759">
        <v>6728050</v>
      </c>
      <c r="D13" s="347">
        <f>'18. sz. mell PH.'!C13+'19. sz. mell PH.'!C13+'20. sz. mell. PH.'!C13</f>
        <v>6728050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9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9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  <c r="D19" s="347">
        <f>'18. sz. mell PH.'!C19+'19. sz. mell PH.'!C19+'20. sz. mell. PH.'!C19</f>
        <v>0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9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64"/>
      <c r="D22" s="347">
        <f>'18. sz. mell PH.'!C22+'19. sz. mell PH.'!C22+'20. sz. mell. PH.'!C22</f>
        <v>0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9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8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60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8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60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52966571</v>
      </c>
      <c r="D36" s="347">
        <f>'18. sz. mell PH.'!C36+'19. sz. mell PH.'!C36+'20. sz. mell. PH.'!C36</f>
        <v>52966571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62">
        <f>+C38+C39+C40</f>
        <v>437642713</v>
      </c>
      <c r="D37" s="347">
        <f>'18. sz. mell PH.'!C37+'19. sz. mell PH.'!C37+'20. sz. mell. PH.'!C37</f>
        <v>437642713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8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7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224">
        <v>437259318</v>
      </c>
      <c r="D40" s="347">
        <f>'18. sz. mell PH.'!C40+'19. sz. mell PH.'!C40+'20. sz. mell. PH.'!C40</f>
        <v>437259318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490609284</v>
      </c>
      <c r="D41" s="347">
        <f>'18. sz. mell PH.'!C41+'19. sz. mell PH.'!C41+'20. sz. mell. PH.'!C41</f>
        <v>490609284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5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61">
        <f>SUM(C46:C50)</f>
        <v>485514274</v>
      </c>
      <c r="D45" s="347">
        <f>'18. sz. mell PH.'!C45+'19. sz. mell PH.'!C45+'20. sz. mell. PH.'!C45</f>
        <v>485514274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58">
        <f>199255493</f>
        <v>199255493</v>
      </c>
      <c r="D46" s="347">
        <f>'18. sz. mell PH.'!C46+'19. sz. mell PH.'!C46+'20. sz. mell. PH.'!C46</f>
        <v>199255493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59">
        <v>33797395</v>
      </c>
      <c r="D47" s="347">
        <f>'18. sz. mell PH.'!C47+'19. sz. mell PH.'!C47+'20. sz. mell. PH.'!C47</f>
        <v>33797395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1232">
        <v>252461386</v>
      </c>
      <c r="D48" s="347">
        <f>'18. sz. mell PH.'!C48+'19. sz. mell PH.'!C48+'20. sz. mell. PH.'!C48</f>
        <v>252461386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9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9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61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8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9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9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9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490609284</v>
      </c>
      <c r="D57" s="347">
        <f>'18. sz. mell PH.'!C57+'19. sz. mell PH.'!C57+'20. sz. mell. PH.'!C57</f>
        <v>490609284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447" t="s">
        <v>459</v>
      </c>
      <c r="B59" s="1448"/>
      <c r="C59" s="1321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42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L164"/>
  <sheetViews>
    <sheetView tabSelected="1" zoomScale="115" zoomScaleNormal="115" zoomScaleSheetLayoutView="115" zoomScalePageLayoutView="85" workbookViewId="0">
      <selection activeCell="B9" sqref="B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40" customWidth="1"/>
    <col min="4" max="4" width="18" style="170" hidden="1" customWidth="1"/>
    <col min="5" max="5" width="14.5" style="170" hidden="1" customWidth="1"/>
    <col min="6" max="8" width="15.33203125" style="739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6384" width="9.33203125" style="170"/>
  </cols>
  <sheetData>
    <row r="1" spans="1:12" s="643" customFormat="1" x14ac:dyDescent="0.25">
      <c r="A1" s="1394" t="str">
        <f>CONCATENATE("1. melléklet"," ",ALAPADATOK!A7," ",ALAPADATOK!B7," ",ALAPADATOK!C7," ",ALAPADATOK!D7," ",ALAPADATOK!E7," ",ALAPADATOK!F7," ",ALAPADATOK!G7," ",ALAPADATOK!H7)</f>
        <v>1. melléklet a .. / 2022. ( ……. ) önkormányzati rendelethez</v>
      </c>
      <c r="B1" s="1394"/>
      <c r="C1" s="1394"/>
      <c r="F1" s="739"/>
      <c r="G1" s="739"/>
      <c r="H1" s="739"/>
      <c r="K1" s="330"/>
      <c r="L1" s="331"/>
    </row>
    <row r="2" spans="1:12" s="651" customFormat="1" x14ac:dyDescent="0.25">
      <c r="A2" s="666"/>
      <c r="B2" s="666"/>
      <c r="C2" s="666"/>
      <c r="F2" s="739"/>
      <c r="G2" s="739"/>
      <c r="H2" s="739"/>
      <c r="K2" s="330"/>
      <c r="L2" s="331"/>
    </row>
    <row r="3" spans="1:12" s="643" customFormat="1" x14ac:dyDescent="0.25">
      <c r="A3" s="1393" t="str">
        <f>CONCATENATE(ALAPADATOK!A3)</f>
        <v>Tiszavasvári Város Önkormányzat</v>
      </c>
      <c r="B3" s="1393"/>
      <c r="C3" s="1393"/>
      <c r="D3" s="1393"/>
      <c r="E3" s="1393"/>
      <c r="F3" s="1393"/>
      <c r="G3" s="1393"/>
      <c r="H3" s="1393"/>
      <c r="I3" s="1393"/>
      <c r="K3" s="330"/>
      <c r="L3" s="331"/>
    </row>
    <row r="4" spans="1:12" s="643" customFormat="1" x14ac:dyDescent="0.25">
      <c r="A4" s="1392" t="str">
        <f>CONCATENATE(ALAPADATOK!D7," ÉVI KÖLTSÉGVETÉS")</f>
        <v>2022. ÉVI KÖLTSÉGVETÉS</v>
      </c>
      <c r="B4" s="1392"/>
      <c r="C4" s="1392"/>
      <c r="D4" s="1392"/>
      <c r="E4" s="1392"/>
      <c r="F4" s="1392"/>
      <c r="G4" s="1392"/>
      <c r="H4" s="1392"/>
      <c r="I4" s="1392"/>
      <c r="K4" s="330"/>
      <c r="L4" s="331"/>
    </row>
    <row r="5" spans="1:12" s="643" customFormat="1" x14ac:dyDescent="0.25">
      <c r="A5" s="1392" t="s">
        <v>678</v>
      </c>
      <c r="B5" s="1392"/>
      <c r="C5" s="1392"/>
      <c r="D5" s="1392"/>
      <c r="E5" s="1392"/>
      <c r="F5" s="1392"/>
      <c r="G5" s="1392"/>
      <c r="H5" s="1392"/>
      <c r="I5" s="1392"/>
      <c r="K5" s="330"/>
      <c r="L5" s="331"/>
    </row>
    <row r="6" spans="1:12" s="643" customFormat="1" x14ac:dyDescent="0.25">
      <c r="C6" s="740"/>
      <c r="F6" s="739"/>
      <c r="G6" s="739"/>
      <c r="H6" s="739"/>
      <c r="K6" s="330"/>
      <c r="L6" s="331"/>
    </row>
    <row r="7" spans="1:12" ht="15.95" customHeight="1" x14ac:dyDescent="0.25">
      <c r="A7" s="1396" t="s">
        <v>13</v>
      </c>
      <c r="B7" s="1396"/>
      <c r="C7" s="1396"/>
      <c r="D7" s="739"/>
      <c r="E7" s="739"/>
      <c r="I7" s="739"/>
    </row>
    <row r="8" spans="1:12" ht="15.95" customHeight="1" thickBot="1" x14ac:dyDescent="0.3">
      <c r="A8" s="1054" t="s">
        <v>114</v>
      </c>
      <c r="B8" s="1054"/>
      <c r="C8" s="917" t="s">
        <v>487</v>
      </c>
      <c r="D8" s="739"/>
      <c r="E8" s="739"/>
      <c r="I8" s="739"/>
    </row>
    <row r="9" spans="1:12" ht="38.1" customHeight="1" thickBot="1" x14ac:dyDescent="0.3">
      <c r="A9" s="20" t="s">
        <v>63</v>
      </c>
      <c r="B9" s="21" t="s">
        <v>15</v>
      </c>
      <c r="C9" s="503" t="s">
        <v>959</v>
      </c>
      <c r="D9" s="739" t="s">
        <v>492</v>
      </c>
      <c r="E9" s="739" t="s">
        <v>493</v>
      </c>
      <c r="F9" s="739" t="s">
        <v>955</v>
      </c>
      <c r="G9" s="739" t="s">
        <v>956</v>
      </c>
      <c r="H9" s="739" t="s">
        <v>957</v>
      </c>
      <c r="I9" s="739" t="s">
        <v>958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918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1984935258</v>
      </c>
      <c r="D11" s="266">
        <f t="shared" ref="D11:I11" si="1">+D12+D13+D14+D17+D18+D19</f>
        <v>1984935258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1984935258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89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286">
        <f t="shared" si="0"/>
        <v>296342550</v>
      </c>
      <c r="D13" s="1190">
        <v>296342550</v>
      </c>
      <c r="E13" s="767"/>
      <c r="F13" s="767"/>
      <c r="G13" s="767"/>
      <c r="H13" s="767"/>
      <c r="I13" s="767"/>
      <c r="K13" s="332">
        <f>'2. sz.mell. '!C13+'3. sz.mell.'!C13+'4. sz.mell. '!C13+'5. sz.mell.'!C13</f>
        <v>296342550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722</v>
      </c>
      <c r="C14" s="286">
        <f t="shared" si="0"/>
        <v>1010986711</v>
      </c>
      <c r="D14" s="1190">
        <f t="shared" ref="D14:I14" si="3">SUM(D15:D16)</f>
        <v>1010986711</v>
      </c>
      <c r="E14" s="767">
        <f t="shared" si="3"/>
        <v>0</v>
      </c>
      <c r="F14" s="767">
        <f t="shared" si="3"/>
        <v>0</v>
      </c>
      <c r="G14" s="767">
        <f t="shared" si="3"/>
        <v>0</v>
      </c>
      <c r="H14" s="767">
        <f t="shared" si="3"/>
        <v>0</v>
      </c>
      <c r="I14" s="767">
        <f t="shared" si="3"/>
        <v>0</v>
      </c>
      <c r="K14" s="332">
        <f>'2. sz.mell. '!C14+'3. sz.mell.'!C14+'4. sz.mell. '!C14+'5. sz.mell.'!C14</f>
        <v>1010986711</v>
      </c>
      <c r="L14" s="334">
        <f t="shared" si="2"/>
        <v>0</v>
      </c>
    </row>
    <row r="15" spans="1:12" s="183" customFormat="1" ht="12" customHeight="1" thickBot="1" x14ac:dyDescent="0.25">
      <c r="A15" s="11" t="s">
        <v>720</v>
      </c>
      <c r="B15" s="185" t="s">
        <v>723</v>
      </c>
      <c r="C15" s="286">
        <f t="shared" si="0"/>
        <v>739982052</v>
      </c>
      <c r="D15" s="1190">
        <f>586051194+153930858</f>
        <v>739982052</v>
      </c>
      <c r="E15" s="767"/>
      <c r="F15" s="767"/>
      <c r="G15" s="767"/>
      <c r="H15" s="767"/>
      <c r="I15" s="767"/>
      <c r="K15" s="332">
        <f>'2. sz.mell. '!C15+'3. sz.mell.'!C15+'4. sz.mell. '!C15+'5. sz.mell.'!C15</f>
        <v>739982052</v>
      </c>
      <c r="L15" s="334">
        <f t="shared" si="2"/>
        <v>0</v>
      </c>
    </row>
    <row r="16" spans="1:12" s="183" customFormat="1" ht="12" customHeight="1" thickBot="1" x14ac:dyDescent="0.25">
      <c r="A16" s="11" t="s">
        <v>721</v>
      </c>
      <c r="B16" s="185" t="s">
        <v>724</v>
      </c>
      <c r="C16" s="286">
        <f t="shared" si="0"/>
        <v>271004659</v>
      </c>
      <c r="D16" s="1190">
        <v>271004659</v>
      </c>
      <c r="E16" s="767"/>
      <c r="F16" s="767"/>
      <c r="G16" s="767"/>
      <c r="H16" s="767"/>
      <c r="I16" s="767"/>
      <c r="K16" s="332">
        <f>'2. sz.mell. '!C16+'3. sz.mell.'!C16+'4. sz.mell. '!C16+'5. sz.mell.'!C16</f>
        <v>271004659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286">
        <f t="shared" si="0"/>
        <v>41287119</v>
      </c>
      <c r="D17" s="1190">
        <v>41287119</v>
      </c>
      <c r="E17" s="767"/>
      <c r="F17" s="767"/>
      <c r="G17" s="767"/>
      <c r="H17" s="767"/>
      <c r="I17" s="767"/>
      <c r="K17" s="332">
        <f>'2. sz.mell. '!C17+'3. sz.mell.'!C17+'4. sz.mell. '!C17+'5. sz.mell.'!C17</f>
        <v>41287119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286">
        <f t="shared" si="0"/>
        <v>335081987</v>
      </c>
      <c r="D18" s="1190">
        <v>335081987</v>
      </c>
      <c r="E18" s="767"/>
      <c r="F18" s="767"/>
      <c r="G18" s="767"/>
      <c r="H18" s="767"/>
      <c r="I18" s="767"/>
      <c r="K18" s="332">
        <f>'2. sz.mell. '!C18+'3. sz.mell.'!C18+'4. sz.mell. '!C18+'5. sz.mell.'!C18</f>
        <v>335081987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400">
        <f t="shared" si="0"/>
        <v>0</v>
      </c>
      <c r="D19" s="101"/>
      <c r="E19" s="113"/>
      <c r="F19" s="113"/>
      <c r="G19" s="113"/>
      <c r="H19" s="113"/>
      <c r="I19" s="113"/>
      <c r="K19" s="332">
        <f>'2. sz.mell. '!C19+'3. sz.mell.'!C19+'4. sz.mell. '!C19+'5. sz.mell.'!C19</f>
        <v>0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270970091</v>
      </c>
      <c r="D20" s="266">
        <f t="shared" ref="D20:I20" si="4">+D21+D22+D23+D24+D25</f>
        <v>219593831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270970091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286">
        <f t="shared" si="0"/>
        <v>270970091</v>
      </c>
      <c r="D25" s="1183">
        <v>219593831</v>
      </c>
      <c r="E25" s="767"/>
      <c r="F25" s="767"/>
      <c r="G25" s="1190">
        <v>273480</v>
      </c>
      <c r="H25" s="767"/>
      <c r="I25" s="1244">
        <v>51102780</v>
      </c>
      <c r="K25" s="332">
        <f>'2. sz.mell. '!C25+'3. sz.mell.'!C25+'4. sz.mell. '!C25+'5. sz.mell.'!C25</f>
        <v>270970091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400">
        <f t="shared" si="0"/>
        <v>56195378</v>
      </c>
      <c r="D26" s="769">
        <f>8283554+17143608+30768216</f>
        <v>56195378</v>
      </c>
      <c r="E26" s="173"/>
      <c r="F26" s="173"/>
      <c r="G26" s="173"/>
      <c r="H26" s="173"/>
      <c r="I26" s="173"/>
      <c r="K26" s="332">
        <f>'2. sz.mell. '!C26+'3. sz.mell.'!C26+'4. sz.mell. '!C26+'5. sz.mell.'!C26</f>
        <v>56195378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289683632</v>
      </c>
      <c r="D27" s="266">
        <f t="shared" ref="D27:I27" si="5">+D28+D29+D30+D31+D32</f>
        <v>270822642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289683632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85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50">
        <f t="shared" si="0"/>
        <v>0</v>
      </c>
      <c r="D29" s="768"/>
      <c r="E29" s="767"/>
      <c r="F29" s="767"/>
      <c r="G29" s="767"/>
      <c r="H29" s="767"/>
      <c r="I29" s="767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286">
        <f t="shared" si="0"/>
        <v>260910632</v>
      </c>
      <c r="D32" s="1183">
        <v>242049642</v>
      </c>
      <c r="E32" s="767"/>
      <c r="F32" s="767"/>
      <c r="G32" s="767"/>
      <c r="H32" s="767"/>
      <c r="I32" s="767">
        <v>18860990</v>
      </c>
      <c r="K32" s="332">
        <f>'2. sz.mell. '!C32+'3. sz.mell.'!C32+'4. sz.mell. '!C32+'5. sz.mell.'!C32</f>
        <v>260910632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400">
        <f t="shared" si="0"/>
        <v>242049642</v>
      </c>
      <c r="D33" s="769">
        <f>228389521+12853698+806423</f>
        <v>242049642</v>
      </c>
      <c r="E33" s="173"/>
      <c r="F33" s="173"/>
      <c r="G33" s="173"/>
      <c r="H33" s="173"/>
      <c r="I33" s="173"/>
      <c r="K33" s="332">
        <f>'2. sz.mell. '!C33+'3. sz.mell.'!C33+'4. sz.mell. '!C33+'5. sz.mell.'!C33</f>
        <v>242049642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391355000</v>
      </c>
      <c r="D34" s="269">
        <f t="shared" ref="D34:I34" si="6">+D35++D39+D40</f>
        <v>391355000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391355000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 t="shared" ref="C35:C39" si="7">SUM(D35:I35)</f>
        <v>376555000</v>
      </c>
      <c r="D35" s="281">
        <f t="shared" ref="D35:I35" si="8">SUM(D36:D37)</f>
        <v>376555000</v>
      </c>
      <c r="E35" s="281">
        <f t="shared" si="8"/>
        <v>0</v>
      </c>
      <c r="F35" s="281">
        <f t="shared" si="8"/>
        <v>0</v>
      </c>
      <c r="G35" s="281">
        <f t="shared" si="8"/>
        <v>0</v>
      </c>
      <c r="H35" s="281">
        <f t="shared" si="8"/>
        <v>0</v>
      </c>
      <c r="I35" s="281">
        <f t="shared" si="8"/>
        <v>0</v>
      </c>
      <c r="K35" s="332">
        <f>'2. sz.mell. '!C35+'3. sz.mell.'!C35+'4. sz.mell. '!C35+'5. sz.mell.'!C35</f>
        <v>376555000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 t="shared" si="7"/>
        <v>90500000</v>
      </c>
      <c r="D36" s="1188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285">
        <f t="shared" si="7"/>
        <v>286055000</v>
      </c>
      <c r="D37" s="1188">
        <f>286055000</f>
        <v>286055000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286055000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 t="shared" si="7"/>
        <v>0</v>
      </c>
      <c r="D38" s="768"/>
      <c r="E38" s="767"/>
      <c r="F38" s="767"/>
      <c r="G38" s="767"/>
      <c r="H38" s="767"/>
      <c r="I38" s="767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 t="shared" si="7"/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84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338531351</v>
      </c>
      <c r="D41" s="266">
        <f t="shared" ref="D41:I41" si="9">SUM(D42:D52)</f>
        <v>65208269</v>
      </c>
      <c r="E41" s="112">
        <f t="shared" si="9"/>
        <v>52966571</v>
      </c>
      <c r="F41" s="112">
        <f t="shared" si="9"/>
        <v>12717238</v>
      </c>
      <c r="G41" s="112">
        <f t="shared" si="9"/>
        <v>16536282</v>
      </c>
      <c r="H41" s="112">
        <f t="shared" si="9"/>
        <v>1259535</v>
      </c>
      <c r="I41" s="112">
        <f t="shared" si="9"/>
        <v>189843456</v>
      </c>
      <c r="K41" s="332">
        <f>'2. sz.mell. '!C41+'3. sz.mell.'!C41+'4. sz.mell. '!C41+'5. sz.mell.'!C41</f>
        <v>338531351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70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286">
        <f t="shared" si="0"/>
        <v>48514937</v>
      </c>
      <c r="D43" s="1183">
        <v>13481102</v>
      </c>
      <c r="E43" s="1190">
        <v>10800000</v>
      </c>
      <c r="F43" s="1189">
        <v>600000</v>
      </c>
      <c r="G43" s="1189">
        <v>11089435</v>
      </c>
      <c r="H43" s="222"/>
      <c r="I43" s="222">
        <v>12544400</v>
      </c>
      <c r="K43" s="332">
        <f>'2. sz.mell. '!C43+'3. sz.mell.'!C43+'4. sz.mell. '!C43+'5. sz.mell.'!C43</f>
        <v>48514937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286">
        <f t="shared" ref="C44:C94" si="10">SUM(D44:I44)</f>
        <v>34326827</v>
      </c>
      <c r="D44" s="1183">
        <v>13152488</v>
      </c>
      <c r="E44" s="1190">
        <v>4904339</v>
      </c>
      <c r="F44" s="1189">
        <v>6080000</v>
      </c>
      <c r="G44" s="1189">
        <v>40000</v>
      </c>
      <c r="H44" s="222"/>
      <c r="I44" s="222">
        <v>10150000</v>
      </c>
      <c r="K44" s="332">
        <f>'2. sz.mell. '!C44+'3. sz.mell.'!C44+'4. sz.mell. '!C44+'5. sz.mell.'!C44</f>
        <v>34326827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286">
        <f t="shared" si="10"/>
        <v>9500000</v>
      </c>
      <c r="D45" s="1183">
        <v>9500000</v>
      </c>
      <c r="E45" s="767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286">
        <f>SUM(D46:I46)</f>
        <v>186164431</v>
      </c>
      <c r="D46" s="768"/>
      <c r="E46" s="1190">
        <v>18214365</v>
      </c>
      <c r="F46" s="1189">
        <v>3325699</v>
      </c>
      <c r="G46" s="1189"/>
      <c r="H46" s="1189">
        <v>1259535</v>
      </c>
      <c r="I46" s="222">
        <v>163364832</v>
      </c>
      <c r="K46" s="332">
        <f>'2. sz.mell. '!C46+'3. sz.mell.'!C46+'4. sz.mell. '!C46+'5. sz.mell.'!C46</f>
        <v>186164431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286">
        <f t="shared" si="10"/>
        <v>23916940</v>
      </c>
      <c r="D47" s="1183">
        <v>8508178</v>
      </c>
      <c r="E47" s="1190">
        <v>6728050</v>
      </c>
      <c r="F47" s="1189">
        <v>2701539</v>
      </c>
      <c r="G47" s="1189">
        <v>2194949</v>
      </c>
      <c r="H47" s="222"/>
      <c r="I47" s="222">
        <v>3784224</v>
      </c>
      <c r="K47" s="332">
        <f>'2. sz.mell. '!C47+'3. sz.mell.'!C47+'4. sz.mell. '!C47+'5. sz.mell.'!C47</f>
        <v>23916940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286">
        <f t="shared" si="10"/>
        <v>31678717</v>
      </c>
      <c r="D48" s="1183">
        <v>19458900</v>
      </c>
      <c r="E48" s="1190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10"/>
        <v>0</v>
      </c>
      <c r="D49" s="768"/>
      <c r="E49" s="767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10"/>
        <v>0</v>
      </c>
      <c r="D50" s="768"/>
      <c r="E50" s="767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10"/>
        <v>0</v>
      </c>
      <c r="D51" s="769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400">
        <f t="shared" si="10"/>
        <v>4429499</v>
      </c>
      <c r="D52" s="1184">
        <v>1107601</v>
      </c>
      <c r="E52" s="1192">
        <v>100000</v>
      </c>
      <c r="F52" s="1189">
        <v>10000</v>
      </c>
      <c r="G52" s="1189">
        <v>3211898</v>
      </c>
      <c r="H52" s="222"/>
      <c r="I52" s="222"/>
      <c r="K52" s="332">
        <f>'2. sz.mell. '!C52+'3. sz.mell.'!C52+'4. sz.mell. '!C52+'5. sz.mell.'!C52</f>
        <v>4429499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10"/>
        <v>48000000</v>
      </c>
      <c r="D53" s="266">
        <f t="shared" ref="D53:I53" si="11">SUM(D54:D58)</f>
        <v>48000000</v>
      </c>
      <c r="E53" s="112">
        <f t="shared" si="11"/>
        <v>0</v>
      </c>
      <c r="F53" s="112">
        <f t="shared" si="11"/>
        <v>0</v>
      </c>
      <c r="G53" s="112">
        <f t="shared" si="11"/>
        <v>0</v>
      </c>
      <c r="H53" s="112">
        <f t="shared" si="11"/>
        <v>0</v>
      </c>
      <c r="I53" s="112">
        <f t="shared" si="11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919">
        <f t="shared" si="10"/>
        <v>0</v>
      </c>
      <c r="D54" s="770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10"/>
        <v>48000000</v>
      </c>
      <c r="D55" s="1183">
        <v>48000000</v>
      </c>
      <c r="E55" s="767"/>
      <c r="F55" s="767"/>
      <c r="G55" s="767"/>
      <c r="H55" s="767"/>
      <c r="I55" s="767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10"/>
        <v>0</v>
      </c>
      <c r="D56" s="768"/>
      <c r="E56" s="767"/>
      <c r="F56" s="767"/>
      <c r="G56" s="767"/>
      <c r="H56" s="767"/>
      <c r="I56" s="767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10"/>
        <v>0</v>
      </c>
      <c r="D57" s="768"/>
      <c r="E57" s="767"/>
      <c r="F57" s="767"/>
      <c r="G57" s="767"/>
      <c r="H57" s="767"/>
      <c r="I57" s="767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920">
        <f t="shared" si="10"/>
        <v>0</v>
      </c>
      <c r="D58" s="769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10"/>
        <v>1200000</v>
      </c>
      <c r="D59" s="266">
        <f t="shared" ref="D59:I59" si="12">SUM(D60:D62)</f>
        <v>1200000</v>
      </c>
      <c r="E59" s="112">
        <f t="shared" si="12"/>
        <v>0</v>
      </c>
      <c r="F59" s="112">
        <f t="shared" si="12"/>
        <v>0</v>
      </c>
      <c r="G59" s="112">
        <f t="shared" si="12"/>
        <v>0</v>
      </c>
      <c r="H59" s="112">
        <f t="shared" si="12"/>
        <v>0</v>
      </c>
      <c r="I59" s="112">
        <f t="shared" si="12"/>
        <v>0</v>
      </c>
      <c r="K59" s="332">
        <f>'2. sz.mell. '!C59+'3. sz.mell.'!C59+'4. sz.mell. '!C59+'5. sz.mell.'!C59</f>
        <v>1200000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10"/>
        <v>1000000</v>
      </c>
      <c r="D60" s="1191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10"/>
        <v>200000</v>
      </c>
      <c r="D61" s="1183">
        <v>200000</v>
      </c>
      <c r="E61" s="767"/>
      <c r="F61" s="767"/>
      <c r="G61" s="767"/>
      <c r="H61" s="767"/>
      <c r="I61" s="767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286">
        <f t="shared" si="10"/>
        <v>0</v>
      </c>
      <c r="D62" s="768"/>
      <c r="E62" s="767"/>
      <c r="F62" s="767"/>
      <c r="G62" s="767"/>
      <c r="H62" s="767"/>
      <c r="I62" s="767"/>
      <c r="K62" s="332">
        <f>'2. sz.mell. '!C62+'3. sz.mell.'!C62+'4. sz.mell. '!C62+'5. sz.mell.'!C62</f>
        <v>0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10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10"/>
        <v>0</v>
      </c>
      <c r="D64" s="266">
        <f t="shared" ref="D64:I64" si="13">SUM(D65:D67)</f>
        <v>0</v>
      </c>
      <c r="E64" s="112">
        <f t="shared" si="13"/>
        <v>0</v>
      </c>
      <c r="F64" s="112">
        <f t="shared" si="13"/>
        <v>0</v>
      </c>
      <c r="G64" s="112">
        <f t="shared" si="13"/>
        <v>0</v>
      </c>
      <c r="H64" s="112">
        <f t="shared" si="13"/>
        <v>0</v>
      </c>
      <c r="I64" s="112">
        <f t="shared" si="13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919">
        <f t="shared" si="10"/>
        <v>0</v>
      </c>
      <c r="D65" s="768"/>
      <c r="E65" s="767"/>
      <c r="F65" s="767"/>
      <c r="G65" s="767"/>
      <c r="H65" s="767"/>
      <c r="I65" s="767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50">
        <f t="shared" si="10"/>
        <v>0</v>
      </c>
      <c r="D66" s="768"/>
      <c r="E66" s="767"/>
      <c r="F66" s="767"/>
      <c r="G66" s="767"/>
      <c r="H66" s="767"/>
      <c r="I66" s="767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10"/>
        <v>0</v>
      </c>
      <c r="D67" s="768"/>
      <c r="E67" s="767"/>
      <c r="F67" s="767"/>
      <c r="G67" s="767"/>
      <c r="H67" s="767"/>
      <c r="I67" s="767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10"/>
        <v>0</v>
      </c>
      <c r="D68" s="768"/>
      <c r="E68" s="767"/>
      <c r="F68" s="767"/>
      <c r="G68" s="767"/>
      <c r="H68" s="767"/>
      <c r="I68" s="767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10"/>
        <v>3324675332</v>
      </c>
      <c r="D69" s="269">
        <f t="shared" ref="D69:I69" si="14">+D11+D20+D27+D34+D41+D53+D59+D64</f>
        <v>2981115000</v>
      </c>
      <c r="E69" s="117">
        <f t="shared" si="14"/>
        <v>52966571</v>
      </c>
      <c r="F69" s="117">
        <f t="shared" si="14"/>
        <v>12717238</v>
      </c>
      <c r="G69" s="117">
        <f t="shared" si="14"/>
        <v>16809762</v>
      </c>
      <c r="H69" s="117">
        <f t="shared" si="14"/>
        <v>1259535</v>
      </c>
      <c r="I69" s="117">
        <f t="shared" si="14"/>
        <v>259807226</v>
      </c>
      <c r="K69" s="332">
        <f>'2. sz.mell. '!C69+'3. sz.mell.'!C69+'4. sz.mell. '!C69+'5. sz.mell.'!C69</f>
        <v>3324675332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10"/>
        <v>1187733250</v>
      </c>
      <c r="D70" s="266">
        <f t="shared" ref="D70:I70" si="15">SUM(D71:D73)</f>
        <v>1187733250</v>
      </c>
      <c r="E70" s="112">
        <f t="shared" si="15"/>
        <v>0</v>
      </c>
      <c r="F70" s="112">
        <f t="shared" si="15"/>
        <v>0</v>
      </c>
      <c r="G70" s="112">
        <f t="shared" si="15"/>
        <v>0</v>
      </c>
      <c r="H70" s="112">
        <f t="shared" si="15"/>
        <v>0</v>
      </c>
      <c r="I70" s="112">
        <f t="shared" si="15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10"/>
        <v>187733250</v>
      </c>
      <c r="D71" s="1183">
        <v>187733250</v>
      </c>
      <c r="E71" s="767"/>
      <c r="F71" s="767"/>
      <c r="G71" s="767"/>
      <c r="H71" s="767"/>
      <c r="I71" s="767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10"/>
        <v>1000000000</v>
      </c>
      <c r="D72" s="1183">
        <v>1000000000</v>
      </c>
      <c r="E72" s="767"/>
      <c r="F72" s="767"/>
      <c r="G72" s="767"/>
      <c r="H72" s="767"/>
      <c r="I72" s="767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920">
        <f t="shared" si="10"/>
        <v>0</v>
      </c>
      <c r="D73" s="768"/>
      <c r="E73" s="767"/>
      <c r="F73" s="767"/>
      <c r="G73" s="767"/>
      <c r="H73" s="767"/>
      <c r="I73" s="767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10"/>
        <v>0</v>
      </c>
      <c r="D74" s="266">
        <f t="shared" ref="D74:I74" si="16">SUM(D75:D78)</f>
        <v>0</v>
      </c>
      <c r="E74" s="112">
        <f t="shared" si="16"/>
        <v>0</v>
      </c>
      <c r="F74" s="112">
        <f t="shared" si="16"/>
        <v>0</v>
      </c>
      <c r="G74" s="112">
        <f t="shared" si="16"/>
        <v>0</v>
      </c>
      <c r="H74" s="112">
        <f t="shared" si="16"/>
        <v>0</v>
      </c>
      <c r="I74" s="112">
        <f t="shared" si="16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919">
        <f t="shared" si="10"/>
        <v>0</v>
      </c>
      <c r="D75" s="768"/>
      <c r="E75" s="767"/>
      <c r="F75" s="767"/>
      <c r="G75" s="767"/>
      <c r="H75" s="767"/>
      <c r="I75" s="767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748</v>
      </c>
      <c r="C76" s="850">
        <f t="shared" si="10"/>
        <v>0</v>
      </c>
      <c r="D76" s="768"/>
      <c r="E76" s="767"/>
      <c r="F76" s="767"/>
      <c r="G76" s="767"/>
      <c r="H76" s="767"/>
      <c r="I76" s="767"/>
      <c r="K76" s="332">
        <f>'2. sz.mell. '!C76+'3. sz.mell.'!C76+'4. sz.mell. '!C76+'5. sz.mell.'!C76</f>
        <v>0</v>
      </c>
      <c r="L76" s="334">
        <f t="shared" ref="L76:L94" si="17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50">
        <f t="shared" si="10"/>
        <v>0</v>
      </c>
      <c r="D77" s="768"/>
      <c r="E77" s="767"/>
      <c r="F77" s="767"/>
      <c r="G77" s="767"/>
      <c r="H77" s="767"/>
      <c r="I77" s="767"/>
      <c r="K77" s="332">
        <f>'2. sz.mell. '!C77+'3. sz.mell.'!C77+'4. sz.mell. '!C77+'5. sz.mell.'!C77</f>
        <v>0</v>
      </c>
      <c r="L77" s="334">
        <f t="shared" si="17"/>
        <v>0</v>
      </c>
    </row>
    <row r="78" spans="1:12" s="183" customFormat="1" ht="12" customHeight="1" thickBot="1" x14ac:dyDescent="0.25">
      <c r="A78" s="13" t="s">
        <v>272</v>
      </c>
      <c r="B78" s="109" t="s">
        <v>749</v>
      </c>
      <c r="C78" s="920">
        <f t="shared" si="10"/>
        <v>0</v>
      </c>
      <c r="D78" s="768"/>
      <c r="E78" s="767"/>
      <c r="F78" s="767"/>
      <c r="G78" s="767"/>
      <c r="H78" s="767"/>
      <c r="I78" s="767"/>
      <c r="K78" s="332">
        <f>'2. sz.mell. '!C78+'3. sz.mell.'!C78+'4. sz.mell. '!C78+'5. sz.mell.'!C78</f>
        <v>0</v>
      </c>
      <c r="L78" s="335">
        <f t="shared" si="17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10"/>
        <v>2438020994</v>
      </c>
      <c r="D79" s="266">
        <f t="shared" ref="D79:I79" si="18">SUM(D80:D81)</f>
        <v>2381931880</v>
      </c>
      <c r="E79" s="112">
        <f t="shared" si="18"/>
        <v>383395</v>
      </c>
      <c r="F79" s="112">
        <f t="shared" si="18"/>
        <v>127382</v>
      </c>
      <c r="G79" s="112">
        <f t="shared" si="18"/>
        <v>1498662</v>
      </c>
      <c r="H79" s="112">
        <f t="shared" si="18"/>
        <v>82725</v>
      </c>
      <c r="I79" s="112">
        <f t="shared" si="18"/>
        <v>53996950</v>
      </c>
      <c r="K79" s="332">
        <f>'2. sz.mell. '!C79+'3. sz.mell.'!C79+'4. sz.mell. '!C79+'5. sz.mell.'!C79</f>
        <v>2438020994</v>
      </c>
      <c r="L79" s="332">
        <f t="shared" si="17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399">
        <f t="shared" si="10"/>
        <v>2438020994</v>
      </c>
      <c r="D80" s="1183">
        <v>2381931880</v>
      </c>
      <c r="E80" s="1190">
        <v>383395</v>
      </c>
      <c r="F80" s="1190">
        <v>127382</v>
      </c>
      <c r="G80" s="1190">
        <v>1498662</v>
      </c>
      <c r="H80" s="767">
        <v>82725</v>
      </c>
      <c r="I80" s="767">
        <v>53996950</v>
      </c>
      <c r="K80" s="332">
        <f>'2. sz.mell. '!C80+'3. sz.mell.'!C80+'4. sz.mell. '!C80+'5. sz.mell.'!C80</f>
        <v>2438020994</v>
      </c>
      <c r="L80" s="333">
        <f t="shared" si="17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920">
        <f t="shared" si="10"/>
        <v>0</v>
      </c>
      <c r="D81" s="768"/>
      <c r="E81" s="767"/>
      <c r="F81" s="767"/>
      <c r="G81" s="767"/>
      <c r="H81" s="767"/>
      <c r="I81" s="767"/>
      <c r="K81" s="332">
        <f>'2. sz.mell. '!C81+'3. sz.mell.'!C81+'4. sz.mell. '!C81+'5. sz.mell.'!C81</f>
        <v>0</v>
      </c>
      <c r="L81" s="335">
        <f t="shared" si="17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10"/>
        <v>55076107</v>
      </c>
      <c r="D82" s="266">
        <f t="shared" ref="D82:I82" si="19">SUM(D83:D85)</f>
        <v>55076107</v>
      </c>
      <c r="E82" s="112">
        <f t="shared" si="19"/>
        <v>0</v>
      </c>
      <c r="F82" s="112">
        <f t="shared" si="19"/>
        <v>0</v>
      </c>
      <c r="G82" s="112">
        <f t="shared" si="19"/>
        <v>0</v>
      </c>
      <c r="H82" s="112">
        <f t="shared" si="19"/>
        <v>0</v>
      </c>
      <c r="I82" s="112">
        <f t="shared" si="19"/>
        <v>0</v>
      </c>
      <c r="K82" s="332">
        <f>'2. sz.mell. '!C82+'3. sz.mell.'!C82+'4. sz.mell. '!C82+'5. sz.mell.'!C82</f>
        <v>55076107</v>
      </c>
      <c r="L82" s="332">
        <f t="shared" si="17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10"/>
        <v>55076107</v>
      </c>
      <c r="D83" s="1183">
        <v>55076107</v>
      </c>
      <c r="E83" s="767"/>
      <c r="F83" s="767"/>
      <c r="G83" s="767"/>
      <c r="H83" s="767"/>
      <c r="I83" s="767"/>
      <c r="K83" s="332">
        <f>'2. sz.mell. '!C83+'3. sz.mell.'!C83+'4. sz.mell. '!C83+'5. sz.mell.'!C83</f>
        <v>55076107</v>
      </c>
      <c r="L83" s="333">
        <f t="shared" si="17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50">
        <f t="shared" si="10"/>
        <v>0</v>
      </c>
      <c r="D84" s="768"/>
      <c r="E84" s="767"/>
      <c r="F84" s="767"/>
      <c r="G84" s="767"/>
      <c r="H84" s="767"/>
      <c r="I84" s="767"/>
      <c r="K84" s="332">
        <f>'2. sz.mell. '!C84+'3. sz.mell.'!C84+'4. sz.mell. '!C84+'5. sz.mell.'!C84</f>
        <v>0</v>
      </c>
      <c r="L84" s="334">
        <f t="shared" si="17"/>
        <v>0</v>
      </c>
    </row>
    <row r="85" spans="1:12" s="183" customFormat="1" ht="12" customHeight="1" thickBot="1" x14ac:dyDescent="0.25">
      <c r="A85" s="13" t="s">
        <v>277</v>
      </c>
      <c r="B85" s="109" t="s">
        <v>750</v>
      </c>
      <c r="C85" s="920">
        <f t="shared" si="10"/>
        <v>0</v>
      </c>
      <c r="D85" s="768"/>
      <c r="E85" s="767"/>
      <c r="F85" s="767"/>
      <c r="G85" s="767"/>
      <c r="H85" s="767"/>
      <c r="I85" s="767"/>
      <c r="K85" s="332">
        <f>'2. sz.mell. '!C85+'3. sz.mell.'!C85+'4. sz.mell. '!C85+'5. sz.mell.'!C85</f>
        <v>0</v>
      </c>
      <c r="L85" s="335">
        <f t="shared" si="17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10"/>
        <v>0</v>
      </c>
      <c r="D86" s="266">
        <f t="shared" ref="D86:I86" si="20">SUM(D87:D90)</f>
        <v>0</v>
      </c>
      <c r="E86" s="112">
        <f t="shared" si="20"/>
        <v>0</v>
      </c>
      <c r="F86" s="112">
        <f t="shared" si="20"/>
        <v>0</v>
      </c>
      <c r="G86" s="112">
        <f t="shared" si="20"/>
        <v>0</v>
      </c>
      <c r="H86" s="112">
        <f t="shared" si="20"/>
        <v>0</v>
      </c>
      <c r="I86" s="112">
        <f t="shared" si="20"/>
        <v>0</v>
      </c>
      <c r="K86" s="332">
        <f>'2. sz.mell. '!C86+'3. sz.mell.'!C86+'4. sz.mell. '!C86+'5. sz.mell.'!C86</f>
        <v>0</v>
      </c>
      <c r="L86" s="332">
        <f t="shared" si="17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919">
        <f t="shared" si="10"/>
        <v>0</v>
      </c>
      <c r="D87" s="768"/>
      <c r="E87" s="767"/>
      <c r="F87" s="767"/>
      <c r="G87" s="767"/>
      <c r="H87" s="767"/>
      <c r="I87" s="767"/>
      <c r="K87" s="332">
        <f>'2. sz.mell. '!C87+'3. sz.mell.'!C87+'4. sz.mell. '!C87+'5. sz.mell.'!C87</f>
        <v>0</v>
      </c>
      <c r="L87" s="333">
        <f t="shared" si="17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50">
        <f t="shared" si="10"/>
        <v>0</v>
      </c>
      <c r="D88" s="768"/>
      <c r="E88" s="767"/>
      <c r="F88" s="767"/>
      <c r="G88" s="767"/>
      <c r="H88" s="767"/>
      <c r="I88" s="767"/>
      <c r="K88" s="332">
        <f>'2. sz.mell. '!C88+'3. sz.mell.'!C88+'4. sz.mell. '!C88+'5. sz.mell.'!C88</f>
        <v>0</v>
      </c>
      <c r="L88" s="334">
        <f t="shared" si="17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50">
        <f t="shared" si="10"/>
        <v>0</v>
      </c>
      <c r="D89" s="768"/>
      <c r="E89" s="767"/>
      <c r="F89" s="767"/>
      <c r="G89" s="767"/>
      <c r="H89" s="767"/>
      <c r="I89" s="767"/>
      <c r="K89" s="332">
        <f>'2. sz.mell. '!C89+'3. sz.mell.'!C89+'4. sz.mell. '!C89+'5. sz.mell.'!C89</f>
        <v>0</v>
      </c>
      <c r="L89" s="334">
        <f t="shared" si="17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920">
        <f t="shared" si="10"/>
        <v>0</v>
      </c>
      <c r="D90" s="768"/>
      <c r="E90" s="767"/>
      <c r="F90" s="767"/>
      <c r="G90" s="767"/>
      <c r="H90" s="767"/>
      <c r="I90" s="767"/>
      <c r="K90" s="332">
        <f>'2. sz.mell. '!C90+'3. sz.mell.'!C90+'4. sz.mell. '!C90+'5. sz.mell.'!C90</f>
        <v>0</v>
      </c>
      <c r="L90" s="335">
        <f t="shared" si="17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10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7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10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7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10"/>
        <v>3680830351</v>
      </c>
      <c r="D93" s="269">
        <f t="shared" ref="D93:I93" si="21">+D70+D74+D79+D82+D86+D92+D91</f>
        <v>3624741237</v>
      </c>
      <c r="E93" s="117">
        <f t="shared" si="21"/>
        <v>383395</v>
      </c>
      <c r="F93" s="117">
        <f t="shared" si="21"/>
        <v>127382</v>
      </c>
      <c r="G93" s="117">
        <f t="shared" si="21"/>
        <v>1498662</v>
      </c>
      <c r="H93" s="117">
        <f t="shared" si="21"/>
        <v>82725</v>
      </c>
      <c r="I93" s="117">
        <f t="shared" si="21"/>
        <v>53996950</v>
      </c>
      <c r="K93" s="332">
        <f>'2. sz.mell. '!C93+'3. sz.mell.'!C93+'4. sz.mell. '!C93+'5. sz.mell.'!C93</f>
        <v>3680830351</v>
      </c>
      <c r="L93" s="332">
        <f t="shared" si="17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10"/>
        <v>7005505683</v>
      </c>
      <c r="D94" s="269">
        <f t="shared" ref="D94:I94" si="22">+D69+D93</f>
        <v>6605856237</v>
      </c>
      <c r="E94" s="1193">
        <f t="shared" si="22"/>
        <v>53349966</v>
      </c>
      <c r="F94" s="117">
        <f t="shared" si="22"/>
        <v>12844620</v>
      </c>
      <c r="G94" s="117">
        <f t="shared" si="22"/>
        <v>18308424</v>
      </c>
      <c r="H94" s="117">
        <f t="shared" si="22"/>
        <v>1342260</v>
      </c>
      <c r="I94" s="117">
        <f t="shared" si="22"/>
        <v>313804176</v>
      </c>
      <c r="K94" s="332">
        <f>'2. sz.mell. '!C94+'3. sz.mell.'!C94+'4. sz.mell. '!C94+'5. sz.mell.'!C94</f>
        <v>7005505683</v>
      </c>
      <c r="L94" s="332">
        <f t="shared" si="17"/>
        <v>0</v>
      </c>
    </row>
    <row r="95" spans="1:12" ht="16.5" customHeight="1" thickBot="1" x14ac:dyDescent="0.3">
      <c r="A95" s="1396" t="s">
        <v>44</v>
      </c>
      <c r="B95" s="1396"/>
      <c r="C95" s="1396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397" t="s">
        <v>115</v>
      </c>
      <c r="B96" s="1397"/>
      <c r="C96" s="851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>D9</f>
        <v>Önk</v>
      </c>
      <c r="E97" s="739" t="str">
        <f t="shared" ref="E97:I97" si="23">E9</f>
        <v>PH</v>
      </c>
      <c r="F97" s="739" t="str">
        <f t="shared" si="23"/>
        <v>Óvoda</v>
      </c>
      <c r="G97" s="739" t="str">
        <f t="shared" si="23"/>
        <v>EKIK</v>
      </c>
      <c r="H97" s="739" t="str">
        <f t="shared" si="23"/>
        <v>Bölcsőde</v>
      </c>
      <c r="I97" s="739" t="str">
        <f t="shared" si="23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918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921">
        <f t="shared" ref="C99:C160" si="24">SUM(D99:I99)</f>
        <v>3251433446</v>
      </c>
      <c r="D99" s="273">
        <f>+D100+D101+D102+D103+D104+D117</f>
        <v>1025995234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3251433446</v>
      </c>
      <c r="L99" s="332">
        <f t="shared" ref="L99:L160" si="25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369">
        <f>SUM(D100:I100)</f>
        <v>1410952696</v>
      </c>
      <c r="D100" s="1182">
        <v>58121842</v>
      </c>
      <c r="E100" s="1194">
        <v>199255493</v>
      </c>
      <c r="F100" s="1194">
        <v>267518494</v>
      </c>
      <c r="G100" s="1194">
        <v>75852403</v>
      </c>
      <c r="H100" s="261">
        <v>103154129</v>
      </c>
      <c r="I100" s="1246">
        <v>707050335</v>
      </c>
      <c r="K100" s="332">
        <f>'2. sz.mell. '!C100+'3. sz.mell.'!C100+'4. sz.mell. '!C101+'5. sz.mell.'!C101</f>
        <v>1410952696</v>
      </c>
      <c r="L100" s="333">
        <f t="shared" si="25"/>
        <v>0</v>
      </c>
    </row>
    <row r="101" spans="1:12" ht="12" customHeight="1" thickBot="1" x14ac:dyDescent="0.3">
      <c r="A101" s="11" t="s">
        <v>86</v>
      </c>
      <c r="B101" s="5" t="s">
        <v>134</v>
      </c>
      <c r="C101" s="369">
        <f t="shared" si="24"/>
        <v>202791912</v>
      </c>
      <c r="D101" s="1183">
        <v>9537920</v>
      </c>
      <c r="E101" s="1190">
        <v>33797395</v>
      </c>
      <c r="F101" s="1190">
        <v>35464167</v>
      </c>
      <c r="G101" s="1190">
        <v>10425298</v>
      </c>
      <c r="H101" s="767">
        <v>13799567</v>
      </c>
      <c r="I101" s="1245">
        <v>99767565</v>
      </c>
      <c r="K101" s="332">
        <f>'2. sz.mell. '!C101+'3. sz.mell.'!C101+'4. sz.mell. '!C102+'5. sz.mell.'!C102</f>
        <v>202791912</v>
      </c>
      <c r="L101" s="334">
        <f t="shared" si="25"/>
        <v>0</v>
      </c>
    </row>
    <row r="102" spans="1:12" ht="12" customHeight="1" thickBot="1" x14ac:dyDescent="0.3">
      <c r="A102" s="11" t="s">
        <v>87</v>
      </c>
      <c r="B102" s="5" t="s">
        <v>110</v>
      </c>
      <c r="C102" s="369">
        <f>SUM(D102:I102)</f>
        <v>1267136777</v>
      </c>
      <c r="D102" s="1184">
        <v>587783411</v>
      </c>
      <c r="E102" s="1192">
        <v>252461386</v>
      </c>
      <c r="F102" s="1190">
        <v>81300938</v>
      </c>
      <c r="G102" s="767">
        <v>62889818</v>
      </c>
      <c r="H102" s="767">
        <v>17603512</v>
      </c>
      <c r="I102" s="1245">
        <v>265097712</v>
      </c>
      <c r="K102" s="332">
        <f>'2. sz.mell. '!C102+'3. sz.mell.'!C102+'4. sz.mell. '!C103+'5. sz.mell.'!C103</f>
        <v>1267136777</v>
      </c>
      <c r="L102" s="334">
        <f t="shared" si="25"/>
        <v>0</v>
      </c>
    </row>
    <row r="103" spans="1:12" ht="12" customHeight="1" thickBot="1" x14ac:dyDescent="0.3">
      <c r="A103" s="11" t="s">
        <v>88</v>
      </c>
      <c r="B103" s="5" t="s">
        <v>135</v>
      </c>
      <c r="C103" s="369">
        <f t="shared" ref="C103:C119" si="26">SUM(D103:I103)</f>
        <v>43800000</v>
      </c>
      <c r="D103" s="1184">
        <v>43800000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43800000</v>
      </c>
      <c r="L103" s="334">
        <f t="shared" si="25"/>
        <v>0</v>
      </c>
    </row>
    <row r="104" spans="1:12" ht="12" customHeight="1" thickBot="1" x14ac:dyDescent="0.3">
      <c r="A104" s="11" t="s">
        <v>99</v>
      </c>
      <c r="B104" s="4" t="s">
        <v>136</v>
      </c>
      <c r="C104" s="369">
        <f t="shared" si="26"/>
        <v>196331548</v>
      </c>
      <c r="D104" s="769">
        <f>SUM(D105:D116)</f>
        <v>196331548</v>
      </c>
      <c r="E104" s="25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  <c r="K104" s="332">
        <f>'2. sz.mell. '!C104+'3. sz.mell.'!C104+'4. sz.mell. '!C105+'5. sz.mell.'!C105</f>
        <v>196331548</v>
      </c>
      <c r="L104" s="334">
        <f t="shared" si="25"/>
        <v>0</v>
      </c>
    </row>
    <row r="105" spans="1:12" ht="12" customHeight="1" thickBot="1" x14ac:dyDescent="0.3">
      <c r="A105" s="11" t="s">
        <v>89</v>
      </c>
      <c r="B105" s="5" t="s">
        <v>399</v>
      </c>
      <c r="C105" s="369">
        <f t="shared" si="26"/>
        <v>0</v>
      </c>
      <c r="D105" s="769"/>
      <c r="E105" s="173"/>
      <c r="F105" s="173"/>
      <c r="G105" s="173"/>
      <c r="H105" s="173"/>
      <c r="I105" s="173"/>
      <c r="K105" s="332">
        <f>'2. sz.mell. '!C105+'3. sz.mell.'!C105+'4. sz.mell. '!C106+'5. sz.mell.'!C106</f>
        <v>0</v>
      </c>
      <c r="L105" s="334">
        <f t="shared" si="25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6"/>
        <v>5091319</v>
      </c>
      <c r="D106" s="1184"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5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6"/>
        <v>0</v>
      </c>
      <c r="D107" s="769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5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6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5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6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5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6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5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69">
        <f t="shared" si="26"/>
        <v>636000</v>
      </c>
      <c r="D111" s="1184">
        <v>636000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636000</v>
      </c>
      <c r="L111" s="334">
        <f t="shared" si="25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6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5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6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5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6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5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6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5"/>
        <v>0</v>
      </c>
    </row>
    <row r="116" spans="1:12" ht="12" customHeight="1" thickBot="1" x14ac:dyDescent="0.3">
      <c r="A116" s="13" t="s">
        <v>403</v>
      </c>
      <c r="B116" s="60" t="s">
        <v>292</v>
      </c>
      <c r="C116" s="369">
        <f t="shared" si="26"/>
        <v>190604229</v>
      </c>
      <c r="D116" s="1183">
        <v>190604229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190604229</v>
      </c>
      <c r="L116" s="334">
        <f t="shared" si="25"/>
        <v>0</v>
      </c>
    </row>
    <row r="117" spans="1:12" ht="12" customHeight="1" thickBot="1" x14ac:dyDescent="0.3">
      <c r="A117" s="11" t="s">
        <v>404</v>
      </c>
      <c r="B117" s="5" t="s">
        <v>47</v>
      </c>
      <c r="C117" s="369">
        <f t="shared" si="26"/>
        <v>130420513</v>
      </c>
      <c r="D117" s="256">
        <f t="shared" ref="D117:I117" si="27">SUM(D118:D119)</f>
        <v>130420513</v>
      </c>
      <c r="E117" s="256">
        <f t="shared" si="27"/>
        <v>0</v>
      </c>
      <c r="F117" s="768">
        <f t="shared" si="27"/>
        <v>0</v>
      </c>
      <c r="G117" s="768">
        <f t="shared" si="27"/>
        <v>0</v>
      </c>
      <c r="H117" s="768">
        <f t="shared" si="27"/>
        <v>0</v>
      </c>
      <c r="I117" s="768">
        <f t="shared" si="27"/>
        <v>0</v>
      </c>
      <c r="K117" s="332">
        <f>'2. sz.mell. '!C117+'3. sz.mell.'!C117+'4. sz.mell. '!C118+'5. sz.mell.'!C118</f>
        <v>130420513</v>
      </c>
      <c r="L117" s="334">
        <f t="shared" si="25"/>
        <v>0</v>
      </c>
    </row>
    <row r="118" spans="1:12" ht="12" customHeight="1" thickBot="1" x14ac:dyDescent="0.3">
      <c r="A118" s="11" t="s">
        <v>405</v>
      </c>
      <c r="B118" s="5" t="s">
        <v>406</v>
      </c>
      <c r="C118" s="369">
        <f t="shared" si="26"/>
        <v>10000000</v>
      </c>
      <c r="D118" s="1184">
        <v>10000000</v>
      </c>
      <c r="E118" s="173"/>
      <c r="F118" s="767"/>
      <c r="G118" s="767"/>
      <c r="H118" s="767"/>
      <c r="I118" s="767"/>
      <c r="K118" s="332">
        <f>'2. sz.mell. '!C118+'3. sz.mell.'!C118+'4. sz.mell. '!C119+'5. sz.mell.'!C119</f>
        <v>10000000</v>
      </c>
      <c r="L118" s="334">
        <f t="shared" si="25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369">
        <f t="shared" si="26"/>
        <v>120420513</v>
      </c>
      <c r="D119" s="1187">
        <v>120420513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120420513</v>
      </c>
      <c r="L119" s="335">
        <f t="shared" si="25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4"/>
        <v>2676267834</v>
      </c>
      <c r="D120" s="266">
        <f t="shared" ref="D120:I120" si="28">+D121+D123+D125</f>
        <v>2635759096</v>
      </c>
      <c r="E120" s="112">
        <f t="shared" si="28"/>
        <v>5095010</v>
      </c>
      <c r="F120" s="250">
        <f t="shared" si="28"/>
        <v>1803400</v>
      </c>
      <c r="G120" s="250">
        <f t="shared" si="28"/>
        <v>7342790</v>
      </c>
      <c r="H120" s="250">
        <f t="shared" si="28"/>
        <v>523597</v>
      </c>
      <c r="I120" s="250">
        <f t="shared" si="28"/>
        <v>25743941</v>
      </c>
      <c r="K120" s="332">
        <f>'2. sz.mell. '!C120+'3. sz.mell.'!C120+'4. sz.mell. '!C121+'5. sz.mell.'!C121</f>
        <v>2676267834</v>
      </c>
      <c r="L120" s="332">
        <f t="shared" si="25"/>
        <v>0</v>
      </c>
    </row>
    <row r="121" spans="1:12" ht="15" customHeight="1" thickBot="1" x14ac:dyDescent="0.3">
      <c r="A121" s="12" t="s">
        <v>91</v>
      </c>
      <c r="B121" s="5" t="s">
        <v>157</v>
      </c>
      <c r="C121" s="369">
        <f t="shared" si="24"/>
        <v>739545060</v>
      </c>
      <c r="D121" s="1185">
        <v>700117222</v>
      </c>
      <c r="E121" s="1189">
        <v>5095010</v>
      </c>
      <c r="F121" s="1189">
        <v>1206500</v>
      </c>
      <c r="G121" s="222">
        <v>6858790</v>
      </c>
      <c r="H121" s="1189">
        <v>523597</v>
      </c>
      <c r="I121" s="1247">
        <v>25743941</v>
      </c>
      <c r="K121" s="332">
        <f>'2. sz.mell. '!C121+'3. sz.mell.'!C121+'4. sz.mell. '!C122+'5. sz.mell.'!C122</f>
        <v>739545060</v>
      </c>
      <c r="L121" s="333">
        <f t="shared" si="25"/>
        <v>0</v>
      </c>
    </row>
    <row r="122" spans="1:12" ht="12" customHeight="1" thickBot="1" x14ac:dyDescent="0.3">
      <c r="A122" s="12" t="s">
        <v>92</v>
      </c>
      <c r="B122" s="9" t="s">
        <v>297</v>
      </c>
      <c r="C122" s="369">
        <f t="shared" si="24"/>
        <v>225178725</v>
      </c>
      <c r="D122" s="1186">
        <f>1050+1047540+70861712+149722828+2491795</f>
        <v>224124925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225178725</v>
      </c>
      <c r="L122" s="334">
        <f t="shared" si="25"/>
        <v>0</v>
      </c>
    </row>
    <row r="123" spans="1:12" ht="12" customHeight="1" thickBot="1" x14ac:dyDescent="0.3">
      <c r="A123" s="12" t="s">
        <v>93</v>
      </c>
      <c r="B123" s="9" t="s">
        <v>138</v>
      </c>
      <c r="C123" s="369">
        <f t="shared" si="24"/>
        <v>1934815497</v>
      </c>
      <c r="D123" s="1183">
        <f>1934218597</f>
        <v>1934218597</v>
      </c>
      <c r="E123" s="116"/>
      <c r="F123" s="1190">
        <v>596900</v>
      </c>
      <c r="G123" s="767"/>
      <c r="H123" s="767"/>
      <c r="I123" s="767"/>
      <c r="K123" s="332">
        <f>'2. sz.mell. '!C123+'3. sz.mell.'!C123+'4. sz.mell. '!C124+'5. sz.mell.'!C124</f>
        <v>1934815497</v>
      </c>
      <c r="L123" s="334">
        <f t="shared" si="25"/>
        <v>0</v>
      </c>
    </row>
    <row r="124" spans="1:12" ht="12" customHeight="1" thickBot="1" x14ac:dyDescent="0.3">
      <c r="A124" s="12" t="s">
        <v>94</v>
      </c>
      <c r="B124" s="9" t="s">
        <v>298</v>
      </c>
      <c r="C124" s="369">
        <f t="shared" si="24"/>
        <v>399460471</v>
      </c>
      <c r="D124" s="768">
        <f>162787385+236673086</f>
        <v>399460471</v>
      </c>
      <c r="E124" s="497"/>
      <c r="F124" s="768"/>
      <c r="G124" s="768"/>
      <c r="H124" s="768"/>
      <c r="I124" s="768"/>
      <c r="K124" s="332">
        <f>'2. sz.mell. '!C124+'3. sz.mell.'!C124+'4. sz.mell. '!C125+'5. sz.mell.'!C125</f>
        <v>399460471</v>
      </c>
      <c r="L124" s="334">
        <f t="shared" si="25"/>
        <v>0</v>
      </c>
    </row>
    <row r="125" spans="1:12" ht="12" customHeight="1" thickBot="1" x14ac:dyDescent="0.3">
      <c r="A125" s="12" t="s">
        <v>95</v>
      </c>
      <c r="B125" s="109" t="s">
        <v>159</v>
      </c>
      <c r="C125" s="369">
        <f t="shared" si="24"/>
        <v>1907277</v>
      </c>
      <c r="D125" s="1183">
        <f t="shared" ref="D125:I125" si="29">SUM(D126:D133)</f>
        <v>1423277</v>
      </c>
      <c r="E125" s="256">
        <f t="shared" si="29"/>
        <v>0</v>
      </c>
      <c r="F125" s="768">
        <f t="shared" si="29"/>
        <v>0</v>
      </c>
      <c r="G125" s="768">
        <f t="shared" si="29"/>
        <v>484000</v>
      </c>
      <c r="H125" s="768">
        <f t="shared" si="29"/>
        <v>0</v>
      </c>
      <c r="I125" s="768">
        <f t="shared" si="29"/>
        <v>0</v>
      </c>
      <c r="K125" s="332">
        <f>'2. sz.mell. '!C125+'3. sz.mell.'!C125+'4. sz.mell. '!C126+'5. sz.mell.'!C126</f>
        <v>1907277</v>
      </c>
      <c r="L125" s="334">
        <f t="shared" si="25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4"/>
        <v>0</v>
      </c>
      <c r="D126" s="101"/>
      <c r="E126" s="101"/>
      <c r="F126" s="768"/>
      <c r="G126" s="768"/>
      <c r="H126" s="768"/>
      <c r="I126" s="768"/>
      <c r="K126" s="332">
        <f>'2. sz.mell. '!C126+'3. sz.mell.'!C126+'4. sz.mell. '!C127+'5. sz.mell.'!C127</f>
        <v>0</v>
      </c>
      <c r="L126" s="334">
        <f t="shared" si="25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25">
        <f t="shared" si="24"/>
        <v>0</v>
      </c>
      <c r="D127" s="101"/>
      <c r="E127" s="101"/>
      <c r="F127" s="768"/>
      <c r="G127" s="768"/>
      <c r="H127" s="768"/>
      <c r="I127" s="768"/>
      <c r="K127" s="332">
        <f>'2. sz.mell. '!C127+'3. sz.mell.'!C127+'4. sz.mell. '!C128+'5. sz.mell.'!C128</f>
        <v>0</v>
      </c>
      <c r="L127" s="334">
        <f t="shared" si="25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4"/>
        <v>0</v>
      </c>
      <c r="D128" s="101"/>
      <c r="E128" s="101"/>
      <c r="F128" s="768"/>
      <c r="G128" s="768"/>
      <c r="H128" s="768"/>
      <c r="I128" s="768"/>
      <c r="K128" s="332">
        <f>'2. sz.mell. '!C128+'3. sz.mell.'!C128+'4. sz.mell. '!C129+'5. sz.mell.'!C129</f>
        <v>0</v>
      </c>
      <c r="L128" s="334">
        <f t="shared" si="25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69">
        <f t="shared" si="24"/>
        <v>0</v>
      </c>
      <c r="D129" s="101"/>
      <c r="E129" s="101"/>
      <c r="F129" s="768"/>
      <c r="G129" s="768"/>
      <c r="H129" s="768"/>
      <c r="I129" s="768"/>
      <c r="K129" s="332">
        <f>'2. sz.mell. '!C129+'3. sz.mell.'!C129+'4. sz.mell. '!C130+'5. sz.mell.'!C130</f>
        <v>0</v>
      </c>
      <c r="L129" s="334">
        <f t="shared" si="25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4"/>
        <v>0</v>
      </c>
      <c r="D130" s="101"/>
      <c r="E130" s="101"/>
      <c r="F130" s="768"/>
      <c r="G130" s="768"/>
      <c r="H130" s="768"/>
      <c r="I130" s="768"/>
      <c r="K130" s="332">
        <f>'2. sz.mell. '!C130+'3. sz.mell.'!C130+'4. sz.mell. '!C131+'5. sz.mell.'!C131</f>
        <v>0</v>
      </c>
      <c r="L130" s="334">
        <f t="shared" si="25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4"/>
        <v>0</v>
      </c>
      <c r="D131" s="101"/>
      <c r="E131" s="101"/>
      <c r="F131" s="768"/>
      <c r="G131" s="768"/>
      <c r="H131" s="768"/>
      <c r="I131" s="768"/>
      <c r="K131" s="332">
        <f>'2. sz.mell. '!C131+'3. sz.mell.'!C131+'4. sz.mell. '!C132+'5. sz.mell.'!C132</f>
        <v>0</v>
      </c>
      <c r="L131" s="334">
        <f t="shared" si="25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4"/>
        <v>0</v>
      </c>
      <c r="D132" s="101"/>
      <c r="E132" s="101"/>
      <c r="F132" s="768"/>
      <c r="G132" s="768"/>
      <c r="H132" s="768"/>
      <c r="I132" s="768"/>
      <c r="K132" s="332">
        <f>'2. sz.mell. '!C132+'3. sz.mell.'!C132+'4. sz.mell. '!C133+'5. sz.mell.'!C133</f>
        <v>0</v>
      </c>
      <c r="L132" s="334">
        <f t="shared" si="25"/>
        <v>0</v>
      </c>
    </row>
    <row r="133" spans="1:12" ht="16.5" thickBot="1" x14ac:dyDescent="0.3">
      <c r="A133" s="10" t="s">
        <v>296</v>
      </c>
      <c r="B133" s="59" t="s">
        <v>299</v>
      </c>
      <c r="C133" s="369">
        <f t="shared" si="24"/>
        <v>1907277</v>
      </c>
      <c r="D133" s="1184">
        <v>1423277</v>
      </c>
      <c r="E133" s="259"/>
      <c r="F133" s="769"/>
      <c r="G133" s="1184">
        <v>484000</v>
      </c>
      <c r="H133" s="769"/>
      <c r="I133" s="769"/>
      <c r="K133" s="332">
        <f>'2. sz.mell. '!C133+'3. sz.mell.'!C133+'4. sz.mell. '!C134+'5. sz.mell.'!C134</f>
        <v>1907277</v>
      </c>
      <c r="L133" s="335">
        <f t="shared" si="25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4"/>
        <v>5927701280</v>
      </c>
      <c r="D134" s="266">
        <f t="shared" ref="D134:I134" si="30">+D99+D120</f>
        <v>3661754330</v>
      </c>
      <c r="E134" s="112">
        <f t="shared" si="30"/>
        <v>490609284</v>
      </c>
      <c r="F134" s="112">
        <f t="shared" si="30"/>
        <v>386086999</v>
      </c>
      <c r="G134" s="112">
        <f t="shared" si="30"/>
        <v>156510309</v>
      </c>
      <c r="H134" s="112">
        <f t="shared" si="30"/>
        <v>135080805</v>
      </c>
      <c r="I134" s="112">
        <f t="shared" si="30"/>
        <v>1097659553</v>
      </c>
      <c r="K134" s="332">
        <f>'2. sz.mell. '!C134+'3. sz.mell.'!C134+'4. sz.mell. '!C135+'5. sz.mell.'!C135</f>
        <v>5927701280</v>
      </c>
      <c r="L134" s="332">
        <f t="shared" si="25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1">+D136+D137+D138</f>
        <v>1022728296</v>
      </c>
      <c r="E135" s="112">
        <f t="shared" si="31"/>
        <v>0</v>
      </c>
      <c r="F135" s="112">
        <f t="shared" si="31"/>
        <v>0</v>
      </c>
      <c r="G135" s="112">
        <f t="shared" si="31"/>
        <v>0</v>
      </c>
      <c r="H135" s="112">
        <f t="shared" si="31"/>
        <v>0</v>
      </c>
      <c r="I135" s="112">
        <f t="shared" si="31"/>
        <v>0</v>
      </c>
      <c r="K135" s="332">
        <f>'2. sz.mell. '!C135+'3. sz.mell.'!C135+'4. sz.mell. '!C136+'5. sz.mell.'!C136</f>
        <v>1022728296</v>
      </c>
      <c r="L135" s="332">
        <f t="shared" si="25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83">
        <v>22728296</v>
      </c>
      <c r="E136" s="256"/>
      <c r="F136" s="768"/>
      <c r="G136" s="768"/>
      <c r="H136" s="768"/>
      <c r="I136" s="768"/>
      <c r="K136" s="332">
        <f>'2. sz.mell. '!C136+'3. sz.mell.'!C136+'4. sz.mell. '!C137+'5. sz.mell.'!C137</f>
        <v>22728296</v>
      </c>
      <c r="L136" s="333">
        <f t="shared" si="25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83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5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4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5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4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5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4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5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4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5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4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5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4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5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4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5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4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5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4"/>
        <v>55076107</v>
      </c>
      <c r="D146" s="269">
        <f t="shared" ref="D146:I146" si="32">+D147+D148+D149+D150</f>
        <v>55076107</v>
      </c>
      <c r="E146" s="117">
        <f t="shared" si="32"/>
        <v>0</v>
      </c>
      <c r="F146" s="117">
        <f t="shared" si="32"/>
        <v>0</v>
      </c>
      <c r="G146" s="117">
        <f t="shared" si="32"/>
        <v>0</v>
      </c>
      <c r="H146" s="117">
        <f t="shared" si="32"/>
        <v>0</v>
      </c>
      <c r="I146" s="117">
        <f t="shared" si="32"/>
        <v>0</v>
      </c>
      <c r="K146" s="332">
        <f>'2. sz.mell. '!C146+'3. sz.mell.'!C146+'4. sz.mell. '!C147+'5. sz.mell.'!C147</f>
        <v>55076107</v>
      </c>
      <c r="L146" s="332">
        <f t="shared" si="25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4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5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4"/>
        <v>55076107</v>
      </c>
      <c r="D148" s="1188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5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4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5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4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5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4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  <c r="K151" s="332">
        <f>'2. sz.mell. '!C151+'3. sz.mell.'!C151+'4. sz.mell. '!C152+'5. sz.mell.'!C152</f>
        <v>0</v>
      </c>
      <c r="L151" s="332">
        <f t="shared" si="25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4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5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4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5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4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5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4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5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4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5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4"/>
        <v>0</v>
      </c>
      <c r="D157" s="274"/>
      <c r="E157" s="120"/>
      <c r="F157" s="1009"/>
      <c r="G157" s="1009"/>
      <c r="H157" s="1009"/>
      <c r="I157" s="1009"/>
      <c r="K157" s="332">
        <f>'2. sz.mell. '!C157+'3. sz.mell.'!C157+'4. sz.mell. '!C158+'5. sz.mell.'!C158</f>
        <v>0</v>
      </c>
      <c r="L157" s="332">
        <f t="shared" si="25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4"/>
        <v>0</v>
      </c>
      <c r="D158" s="274"/>
      <c r="E158" s="120"/>
      <c r="F158" s="1009"/>
      <c r="G158" s="1009"/>
      <c r="H158" s="1009"/>
      <c r="I158" s="1009"/>
      <c r="K158" s="332">
        <f>'2. sz.mell. '!C158+'3. sz.mell.'!C158+'4. sz.mell. '!C159+'5. sz.mell.'!C159</f>
        <v>0</v>
      </c>
      <c r="L158" s="332">
        <f t="shared" si="25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4"/>
        <v>1077804403</v>
      </c>
      <c r="D159" s="275">
        <f t="shared" ref="D159:I159" si="33">+D135+D139+D146+D151+D157+D158</f>
        <v>1077804403</v>
      </c>
      <c r="E159" s="194">
        <f t="shared" si="33"/>
        <v>0</v>
      </c>
      <c r="F159" s="1010">
        <f t="shared" si="33"/>
        <v>0</v>
      </c>
      <c r="G159" s="1010">
        <f t="shared" si="33"/>
        <v>0</v>
      </c>
      <c r="H159" s="1010">
        <f t="shared" si="33"/>
        <v>0</v>
      </c>
      <c r="I159" s="1010">
        <f t="shared" si="33"/>
        <v>0</v>
      </c>
      <c r="J159" s="195"/>
      <c r="K159" s="332">
        <f>'2. sz.mell. '!C159+'3. sz.mell.'!C159+'4. sz.mell. '!C160+'5. sz.mell.'!C160</f>
        <v>1077804403</v>
      </c>
      <c r="L159" s="332">
        <f t="shared" si="25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4"/>
        <v>7005505683</v>
      </c>
      <c r="D160" s="275">
        <f t="shared" ref="D160:I160" si="34">+D134+D159</f>
        <v>4739558733</v>
      </c>
      <c r="E160" s="194">
        <f t="shared" si="34"/>
        <v>490609284</v>
      </c>
      <c r="F160" s="1010">
        <f t="shared" si="34"/>
        <v>386086999</v>
      </c>
      <c r="G160" s="1010">
        <f t="shared" si="34"/>
        <v>156510309</v>
      </c>
      <c r="H160" s="1010">
        <f t="shared" si="34"/>
        <v>135080805</v>
      </c>
      <c r="I160" s="1010">
        <f t="shared" si="34"/>
        <v>1097659553</v>
      </c>
      <c r="K160" s="332">
        <f>'2. sz.mell. '!C160+'3. sz.mell.'!C160+'4. sz.mell. '!C161+'5. sz.mell.'!C161</f>
        <v>7005505683</v>
      </c>
      <c r="L160" s="332">
        <f t="shared" si="25"/>
        <v>0</v>
      </c>
    </row>
    <row r="161" spans="1:9" x14ac:dyDescent="0.25">
      <c r="A161" s="1392" t="s">
        <v>306</v>
      </c>
      <c r="B161" s="1392"/>
      <c r="C161" s="1392"/>
    </row>
    <row r="162" spans="1:9" ht="15" customHeight="1" thickBot="1" x14ac:dyDescent="0.3">
      <c r="A162" s="1395" t="s">
        <v>116</v>
      </c>
      <c r="B162" s="1395"/>
      <c r="C162" s="917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-2603025948</v>
      </c>
      <c r="D163" s="556"/>
    </row>
    <row r="164" spans="1:9" ht="15" customHeight="1" thickBot="1" x14ac:dyDescent="0.3">
      <c r="A164" s="17" t="s">
        <v>17</v>
      </c>
      <c r="B164" s="22" t="s">
        <v>718</v>
      </c>
      <c r="C164" s="117">
        <f>+C93-C159</f>
        <v>2603025948</v>
      </c>
      <c r="F164" s="832"/>
      <c r="G164" s="832"/>
      <c r="H164" s="832"/>
      <c r="I164" s="832"/>
    </row>
  </sheetData>
  <mergeCells count="12">
    <mergeCell ref="A1:C1"/>
    <mergeCell ref="A162:B162"/>
    <mergeCell ref="A7:C7"/>
    <mergeCell ref="A95:C95"/>
    <mergeCell ref="A96:B96"/>
    <mergeCell ref="A161:C161"/>
    <mergeCell ref="D4:I4"/>
    <mergeCell ref="D5:I5"/>
    <mergeCell ref="D3:I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C5" sqref="C5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710" customWidth="1"/>
    <col min="4" max="16384" width="9.33203125" style="710"/>
  </cols>
  <sheetData>
    <row r="1" spans="1:3" x14ac:dyDescent="0.2">
      <c r="A1" s="1453" t="str">
        <f>CONCATENATE("18. melléklet"," ",ALAPADATOK!A7," ",ALAPADATOK!B7," ",ALAPADATOK!C7," ",ALAPADATOK!D7," ",ALAPADATOK!E7," ",ALAPADATOK!F7," ",ALAPADATOK!G7," ",ALAPADATOK!H7)</f>
        <v>18. melléklet a .. / 2022. ( ……. ) önkormányzati rendelethez</v>
      </c>
      <c r="B1" s="1453"/>
      <c r="C1" s="1453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03" t="s">
        <v>909</v>
      </c>
      <c r="B3" s="1403"/>
      <c r="C3" s="1403"/>
    </row>
    <row r="4" spans="1:3" ht="13.5" thickBot="1" x14ac:dyDescent="0.25">
      <c r="A4" s="175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52485571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759">
        <v>4604339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759">
        <v>6647050</v>
      </c>
    </row>
    <row r="14" spans="1:3" s="168" customFormat="1" ht="12" customHeight="1" x14ac:dyDescent="0.2">
      <c r="A14" s="212" t="s">
        <v>90</v>
      </c>
      <c r="B14" s="4" t="s">
        <v>332</v>
      </c>
      <c r="C14" s="759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52485571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175263092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224">
        <v>174879697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227748663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227668663</v>
      </c>
    </row>
    <row r="46" spans="1:3" ht="12" customHeight="1" x14ac:dyDescent="0.2">
      <c r="A46" s="212" t="s">
        <v>85</v>
      </c>
      <c r="B46" s="6" t="s">
        <v>46</v>
      </c>
      <c r="C46" s="758">
        <v>7358860</v>
      </c>
    </row>
    <row r="47" spans="1:3" ht="12" customHeight="1" x14ac:dyDescent="0.2">
      <c r="A47" s="212" t="s">
        <v>86</v>
      </c>
      <c r="B47" s="5" t="s">
        <v>134</v>
      </c>
      <c r="C47" s="759">
        <v>1027686</v>
      </c>
    </row>
    <row r="48" spans="1:3" ht="12" customHeight="1" x14ac:dyDescent="0.2">
      <c r="A48" s="212" t="s">
        <v>87</v>
      </c>
      <c r="B48" s="5" t="s">
        <v>110</v>
      </c>
      <c r="C48" s="1232">
        <v>219282117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80000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227748663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320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59"/>
  <sheetViews>
    <sheetView zoomScaleNormal="100" workbookViewId="0">
      <selection activeCell="A43" sqref="A43:XFD43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53" t="str">
        <f>CONCATENATE("19. melléklet ",ALAPADATOK!A7," ",ALAPADATOK!B7," ",ALAPADATOK!C7," ",ALAPADATOK!D7," ",ALAPADATOK!E7," ",ALAPADATOK!F7," ",ALAPADATOK!G7," ",ALAPADATOK!H7)</f>
        <v>19. melléklet a .. / 2022. ( ……. ) önkormányzati rendelethez</v>
      </c>
      <c r="B1" s="1453"/>
      <c r="C1" s="1453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03" t="s">
        <v>1036</v>
      </c>
      <c r="B3" s="1403"/>
      <c r="C3" s="1403"/>
    </row>
    <row r="4" spans="1:3" s="77" customFormat="1" ht="21" customHeight="1" thickBot="1" x14ac:dyDescent="0.25">
      <c r="A4" s="1349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759"/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/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60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63"/>
    </row>
    <row r="47" spans="1:3" ht="12" customHeight="1" x14ac:dyDescent="0.2">
      <c r="A47" s="212" t="s">
        <v>86</v>
      </c>
      <c r="B47" s="5" t="s">
        <v>134</v>
      </c>
      <c r="C47" s="759">
        <v>7314</v>
      </c>
    </row>
    <row r="48" spans="1:3" ht="12" customHeight="1" x14ac:dyDescent="0.2">
      <c r="A48" s="212" t="s">
        <v>87</v>
      </c>
      <c r="B48" s="5" t="s">
        <v>110</v>
      </c>
      <c r="C48" s="759">
        <v>101600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F18" sqref="F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53" t="str">
        <f>CONCATENATE("20. melléklet"," ",ALAPADATOK!A7," ",ALAPADATOK!B7," ",ALAPADATOK!C7," ",ALAPADATOK!D7," ",ALAPADATOK!E7," ",ALAPADATOK!F7," ",ALAPADATOK!G7," ",ALAPADATOK!H7)</f>
        <v>20. melléklet a .. / 2022. ( ……. ) önkormányzati rendelethez</v>
      </c>
      <c r="B1" s="1453"/>
      <c r="C1" s="1453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03" t="s">
        <v>910</v>
      </c>
      <c r="B3" s="1403"/>
      <c r="C3" s="1403"/>
    </row>
    <row r="4" spans="1:3" ht="13.5" thickBot="1" x14ac:dyDescent="0.25">
      <c r="A4" s="175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1232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60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62">
        <f>+C38+C39+C40</f>
        <v>262270707</v>
      </c>
    </row>
    <row r="38" spans="1:4" s="168" customFormat="1" ht="12" customHeight="1" x14ac:dyDescent="0.2">
      <c r="A38" s="213" t="s">
        <v>341</v>
      </c>
      <c r="B38" s="214" t="s">
        <v>166</v>
      </c>
      <c r="C38" s="758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760">
        <v>262270707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262751707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121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61">
        <f>SUM(C46:C50)</f>
        <v>257736697</v>
      </c>
    </row>
    <row r="46" spans="1:4" ht="12" customHeight="1" x14ac:dyDescent="0.2">
      <c r="A46" s="212" t="s">
        <v>85</v>
      </c>
      <c r="B46" s="6" t="s">
        <v>46</v>
      </c>
      <c r="C46" s="758">
        <v>191896633</v>
      </c>
    </row>
    <row r="47" spans="1:4" ht="12" customHeight="1" x14ac:dyDescent="0.2">
      <c r="A47" s="212" t="s">
        <v>86</v>
      </c>
      <c r="B47" s="5" t="s">
        <v>134</v>
      </c>
      <c r="C47" s="759">
        <v>32762395</v>
      </c>
    </row>
    <row r="48" spans="1:4" ht="12" customHeight="1" x14ac:dyDescent="0.2">
      <c r="A48" s="212" t="s">
        <v>87</v>
      </c>
      <c r="B48" s="5" t="s">
        <v>110</v>
      </c>
      <c r="C48" s="1232">
        <v>33077669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5015010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262751707</v>
      </c>
    </row>
    <row r="58" spans="1:3" ht="15" customHeight="1" thickBot="1" x14ac:dyDescent="0.25">
      <c r="C58" s="315"/>
    </row>
    <row r="59" spans="1:3" ht="14.25" customHeight="1" thickBot="1" x14ac:dyDescent="0.25">
      <c r="A59" s="1447" t="s">
        <v>459</v>
      </c>
      <c r="B59" s="1448"/>
      <c r="C59" s="1319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workbookViewId="0">
      <selection activeCell="J6" sqref="J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9.83203125" style="723" hidden="1" customWidth="1"/>
    <col min="7" max="7" width="8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x14ac:dyDescent="0.2">
      <c r="A1" s="1453" t="str">
        <f>CONCATENATE("21. melléklet"," ",ALAPADATOK!A7," ",ALAPADATOK!B7," ",ALAPADATOK!C7," ",ALAPADATOK!D7," ",ALAPADATOK!E7," ",ALAPADATOK!F7," ",ALAPADATOK!G7," ",ALAPADATOK!H7)</f>
        <v>21. melléklet a .. / 2022. ( ……. ) önkormányzati rendelethez</v>
      </c>
      <c r="B1" s="1453"/>
      <c r="C1" s="1453"/>
    </row>
    <row r="2" spans="1:6" s="77" customFormat="1" ht="21" customHeight="1" x14ac:dyDescent="0.2">
      <c r="A2" s="76"/>
      <c r="B2" s="78"/>
      <c r="C2" s="322"/>
      <c r="E2" s="723"/>
      <c r="F2" s="723"/>
    </row>
    <row r="3" spans="1:6" s="217" customFormat="1" ht="33" customHeight="1" thickBot="1" x14ac:dyDescent="0.25">
      <c r="A3" s="1403" t="s">
        <v>911</v>
      </c>
      <c r="B3" s="1403"/>
      <c r="C3" s="1403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373369761</v>
      </c>
      <c r="E36" s="488">
        <f>'22. sz. mell EOI'!C37+'23.sz.mell EOI'!C37</f>
        <v>373369761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565">
        <v>127382</v>
      </c>
      <c r="E37" s="488">
        <f>'22. sz. mell EOI'!C38+'23.sz.mell EOI'!C38</f>
        <v>127382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560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760">
        <v>373242379</v>
      </c>
      <c r="E39" s="488">
        <f>'22. sz. mell EOI'!C40+'23.sz.mell EOI'!C40</f>
        <v>373242379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386086999</v>
      </c>
      <c r="E40" s="488">
        <f>'22. sz. mell EOI'!C41+'23.sz.mell EOI'!C41</f>
        <v>386086999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384283599</v>
      </c>
      <c r="E42" s="488">
        <f>'22. sz. mell EOI'!C43+'23.sz.mell EOI'!C45</f>
        <v>384283599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222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1232">
        <f>35464167</f>
        <v>35464167</v>
      </c>
      <c r="E44" s="488">
        <f>'22. sz. mell EOI'!C45+'23.sz.mell EOI'!C47</f>
        <v>35464167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1232">
        <f>81300938</f>
        <v>81300938</v>
      </c>
      <c r="E45" s="488">
        <f>'22. sz. mell EOI'!C46+'23.sz.mell EOI'!C48</f>
        <v>81300938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1803400</v>
      </c>
      <c r="E48" s="488">
        <f>'22. sz. mell EOI'!C49+'23.sz.mell EOI'!C51</f>
        <v>1803400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565">
        <v>1206500</v>
      </c>
      <c r="E49" s="488">
        <f>'22. sz. mell EOI'!C50+'23.sz.mell EOI'!C52</f>
        <v>1206500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559">
        <v>596900</v>
      </c>
      <c r="E50" s="488">
        <f>'22. sz. mell EOI'!C51+'23.sz.mell EOI'!C53</f>
        <v>596900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386086999</v>
      </c>
      <c r="E54" s="488">
        <f>'22. sz. mell EOI'!C55+'23.sz.mell EOI'!C57</f>
        <v>386086999</v>
      </c>
      <c r="F54" s="488">
        <f t="shared" si="0"/>
        <v>0</v>
      </c>
    </row>
    <row r="55" spans="1:6" ht="13.5" thickBot="1" x14ac:dyDescent="0.25">
      <c r="A55" s="1447" t="s">
        <v>459</v>
      </c>
      <c r="B55" s="1448"/>
      <c r="C55" s="407">
        <f>54-0.67</f>
        <v>53.33</v>
      </c>
      <c r="E55" s="488">
        <f>'22. sz. mell EOI'!C56+'23.sz.mell EOI'!C59</f>
        <v>53.33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workbookViewId="0">
      <selection activeCell="A3" sqref="A3:C3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53" t="str">
        <f>CONCATENATE("22. melléklet"," ",ALAPADATOK!A7," ",ALAPADATOK!B7," ",ALAPADATOK!C7," ",ALAPADATOK!D7," ",ALAPADATOK!E7," ",ALAPADATOK!F7," ",ALAPADATOK!G7," ",ALAPADATOK!H7)</f>
        <v>22. melléklet a .. / 2022. ( ……. ) önkormányzati rendelethez</v>
      </c>
      <c r="B1" s="1453"/>
      <c r="C1" s="1453"/>
    </row>
    <row r="2" spans="1:6" s="77" customFormat="1" ht="21" customHeight="1" x14ac:dyDescent="0.2">
      <c r="A2" s="76"/>
      <c r="B2" s="78"/>
      <c r="C2" s="852"/>
    </row>
    <row r="3" spans="1:6" s="217" customFormat="1" ht="33" customHeight="1" thickBot="1" x14ac:dyDescent="0.25">
      <c r="A3" s="1403" t="s">
        <v>912</v>
      </c>
      <c r="B3" s="1403"/>
      <c r="C3" s="1403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905</v>
      </c>
      <c r="E4" s="723"/>
      <c r="F4" s="723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12717238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373369761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127382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760">
        <v>373242379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386086999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384283599</v>
      </c>
    </row>
    <row r="44" spans="1:3" ht="12" customHeight="1" x14ac:dyDescent="0.2">
      <c r="A44" s="212" t="s">
        <v>85</v>
      </c>
      <c r="B44" s="6" t="s">
        <v>46</v>
      </c>
      <c r="C44" s="1222">
        <v>267518494</v>
      </c>
    </row>
    <row r="45" spans="1:3" ht="12" customHeight="1" x14ac:dyDescent="0.2">
      <c r="A45" s="212" t="s">
        <v>86</v>
      </c>
      <c r="B45" s="5" t="s">
        <v>134</v>
      </c>
      <c r="C45" s="1232">
        <v>35464167</v>
      </c>
    </row>
    <row r="46" spans="1:3" ht="12" customHeight="1" x14ac:dyDescent="0.2">
      <c r="A46" s="212" t="s">
        <v>87</v>
      </c>
      <c r="B46" s="5" t="s">
        <v>110</v>
      </c>
      <c r="C46" s="1232">
        <v>81300938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1803400</v>
      </c>
    </row>
    <row r="50" spans="1:3" ht="12" customHeight="1" x14ac:dyDescent="0.2">
      <c r="A50" s="212" t="s">
        <v>91</v>
      </c>
      <c r="B50" s="6" t="s">
        <v>157</v>
      </c>
      <c r="C50" s="565">
        <v>1206500</v>
      </c>
    </row>
    <row r="51" spans="1:3" ht="12" customHeight="1" x14ac:dyDescent="0.2">
      <c r="A51" s="212" t="s">
        <v>92</v>
      </c>
      <c r="B51" s="5" t="s">
        <v>138</v>
      </c>
      <c r="C51" s="559">
        <v>596900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386086999</v>
      </c>
    </row>
    <row r="56" spans="1:3" ht="13.5" thickBot="1" x14ac:dyDescent="0.25">
      <c r="A56" s="1447" t="s">
        <v>459</v>
      </c>
      <c r="B56" s="1448"/>
      <c r="C56" s="407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59"/>
  <sheetViews>
    <sheetView workbookViewId="0">
      <selection activeCell="H19" sqref="H19"/>
    </sheetView>
  </sheetViews>
  <sheetFormatPr defaultRowHeight="12.75" x14ac:dyDescent="0.2"/>
  <cols>
    <col min="1" max="1" width="13.83203125" style="751" customWidth="1"/>
    <col min="2" max="2" width="79.1640625" style="751" customWidth="1"/>
    <col min="3" max="3" width="25" style="751" customWidth="1"/>
    <col min="4" max="16384" width="9.33203125" style="751"/>
  </cols>
  <sheetData>
    <row r="1" spans="1:3" x14ac:dyDescent="0.2">
      <c r="A1" s="1453" t="str">
        <f>CONCATENATE("23. melléklet"," ",ALAPADATOK!A7," ",ALAPADATOK!B7," ",ALAPADATOK!C7," ",ALAPADATOK!D7," ",ALAPADATOK!E7," ",ALAPADATOK!F7," ",ALAPADATOK!G7," ",ALAPADATOK!H7)</f>
        <v>23. melléklet a .. / 2022. ( ……. ) önkormányzati rendelethez</v>
      </c>
      <c r="B1" s="1453"/>
      <c r="C1" s="1453"/>
    </row>
    <row r="2" spans="1:3" ht="15.75" x14ac:dyDescent="0.2">
      <c r="A2" s="76"/>
      <c r="B2" s="78"/>
      <c r="C2" s="855"/>
    </row>
    <row r="3" spans="1:3" ht="16.5" thickBot="1" x14ac:dyDescent="0.25">
      <c r="A3" s="1403" t="s">
        <v>1037</v>
      </c>
      <c r="B3" s="1403"/>
      <c r="C3" s="1403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61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9"/>
    </row>
    <row r="10" spans="1:3" x14ac:dyDescent="0.2">
      <c r="A10" s="212" t="s">
        <v>87</v>
      </c>
      <c r="B10" s="5" t="s">
        <v>209</v>
      </c>
      <c r="C10" s="759"/>
    </row>
    <row r="11" spans="1:3" x14ac:dyDescent="0.2">
      <c r="A11" s="212" t="s">
        <v>88</v>
      </c>
      <c r="B11" s="5" t="s">
        <v>210</v>
      </c>
      <c r="C11" s="759"/>
    </row>
    <row r="12" spans="1:3" x14ac:dyDescent="0.2">
      <c r="A12" s="212" t="s">
        <v>111</v>
      </c>
      <c r="B12" s="5" t="s">
        <v>211</v>
      </c>
      <c r="C12" s="759"/>
    </row>
    <row r="13" spans="1:3" x14ac:dyDescent="0.2">
      <c r="A13" s="212" t="s">
        <v>89</v>
      </c>
      <c r="B13" s="5" t="s">
        <v>331</v>
      </c>
      <c r="C13" s="759"/>
    </row>
    <row r="14" spans="1:3" x14ac:dyDescent="0.2">
      <c r="A14" s="212" t="s">
        <v>90</v>
      </c>
      <c r="B14" s="4" t="s">
        <v>332</v>
      </c>
      <c r="C14" s="759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9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9"/>
    </row>
    <row r="22" spans="1:3" x14ac:dyDescent="0.2">
      <c r="A22" s="212" t="s">
        <v>93</v>
      </c>
      <c r="B22" s="5" t="s">
        <v>335</v>
      </c>
      <c r="C22" s="764"/>
    </row>
    <row r="23" spans="1:3" ht="13.5" thickBot="1" x14ac:dyDescent="0.25">
      <c r="A23" s="212" t="s">
        <v>94</v>
      </c>
      <c r="B23" s="5" t="s">
        <v>462</v>
      </c>
      <c r="C23" s="759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x14ac:dyDescent="0.2">
      <c r="A26" s="213" t="s">
        <v>195</v>
      </c>
      <c r="B26" s="214" t="s">
        <v>190</v>
      </c>
      <c r="C26" s="758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60"/>
    </row>
    <row r="30" spans="1:3" ht="13.5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x14ac:dyDescent="0.2">
      <c r="A31" s="213" t="s">
        <v>78</v>
      </c>
      <c r="B31" s="214" t="s">
        <v>221</v>
      </c>
      <c r="C31" s="758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60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ht="13.5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x14ac:dyDescent="0.2">
      <c r="A38" s="213" t="s">
        <v>341</v>
      </c>
      <c r="B38" s="214" t="s">
        <v>166</v>
      </c>
      <c r="C38" s="758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60"/>
    </row>
    <row r="41" spans="1:3" ht="13.5" thickBot="1" x14ac:dyDescent="0.25">
      <c r="A41" s="853" t="s">
        <v>25</v>
      </c>
      <c r="B41" s="854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61">
        <f>SUM(C46:C50)</f>
        <v>0</v>
      </c>
    </row>
    <row r="46" spans="1:3" x14ac:dyDescent="0.2">
      <c r="A46" s="212" t="s">
        <v>85</v>
      </c>
      <c r="B46" s="6" t="s">
        <v>46</v>
      </c>
      <c r="C46" s="763"/>
    </row>
    <row r="47" spans="1:3" x14ac:dyDescent="0.2">
      <c r="A47" s="212" t="s">
        <v>86</v>
      </c>
      <c r="B47" s="5" t="s">
        <v>134</v>
      </c>
      <c r="C47" s="764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9"/>
    </row>
    <row r="50" spans="1:3" ht="13.5" thickBot="1" x14ac:dyDescent="0.25">
      <c r="A50" s="212" t="s">
        <v>111</v>
      </c>
      <c r="B50" s="5" t="s">
        <v>136</v>
      </c>
      <c r="C50" s="759"/>
    </row>
    <row r="51" spans="1:3" ht="13.5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x14ac:dyDescent="0.2">
      <c r="A52" s="212" t="s">
        <v>91</v>
      </c>
      <c r="B52" s="6" t="s">
        <v>157</v>
      </c>
      <c r="C52" s="763"/>
    </row>
    <row r="53" spans="1:3" x14ac:dyDescent="0.2">
      <c r="A53" s="212" t="s">
        <v>92</v>
      </c>
      <c r="B53" s="5" t="s">
        <v>138</v>
      </c>
      <c r="C53" s="759"/>
    </row>
    <row r="54" spans="1:3" x14ac:dyDescent="0.2">
      <c r="A54" s="212" t="s">
        <v>93</v>
      </c>
      <c r="B54" s="5" t="s">
        <v>54</v>
      </c>
      <c r="C54" s="759"/>
    </row>
    <row r="55" spans="1:3" ht="13.5" thickBot="1" x14ac:dyDescent="0.25">
      <c r="A55" s="212" t="s">
        <v>94</v>
      </c>
      <c r="B55" s="5" t="s">
        <v>465</v>
      </c>
      <c r="C55" s="759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10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K17" sqref="K1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6640625" style="723" hidden="1" customWidth="1"/>
    <col min="7" max="7" width="9.33203125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6" ht="12.75" customHeight="1" x14ac:dyDescent="0.2">
      <c r="A1" s="1453" t="str">
        <f>CONCATENATE("24. melléklet"," ",ALAPADATOK!A7," ",ALAPADATOK!B7," ",ALAPADATOK!C7," ",ALAPADATOK!D7," ",ALAPADATOK!E7," ",ALAPADATOK!F7," ",ALAPADATOK!G7," ",ALAPADATOK!H7)</f>
        <v>24. melléklet a .. / 2022. ( ……. ) önkormányzati rendelethez</v>
      </c>
      <c r="B1" s="1453"/>
      <c r="C1" s="1453"/>
    </row>
    <row r="2" spans="1:16" s="77" customFormat="1" ht="21" customHeight="1" x14ac:dyDescent="0.2">
      <c r="A2" s="76"/>
      <c r="B2" s="78"/>
      <c r="C2" s="852"/>
      <c r="E2" s="723"/>
      <c r="F2" s="723"/>
    </row>
    <row r="3" spans="1:16" s="217" customFormat="1" ht="36" customHeight="1" thickBot="1" x14ac:dyDescent="0.25">
      <c r="A3" s="1403" t="s">
        <v>937</v>
      </c>
      <c r="B3" s="1403"/>
      <c r="C3" s="1403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905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16536282</v>
      </c>
      <c r="E7" s="488">
        <f>'25. sz. mell EKIK'!C7+'26. sz. mell EKIK'!C7</f>
        <v>16536282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67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559">
        <v>11089435</v>
      </c>
      <c r="E9" s="488">
        <f>'25. sz. mell EKIK'!C9+'26. sz. mell EKIK'!C9</f>
        <v>11089435</v>
      </c>
      <c r="F9" s="488">
        <f t="shared" si="0"/>
        <v>0</v>
      </c>
      <c r="K9" s="217"/>
      <c r="L9" s="217"/>
      <c r="M9" s="1167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9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559">
        <v>2194949</v>
      </c>
      <c r="E13" s="488">
        <f>'25. sz. mell EKIK'!C13+'26. sz. mell EKIK'!C13</f>
        <v>2194949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273480</v>
      </c>
      <c r="E19" s="488">
        <f>'25. sz. mell EKIK'!C19+'26. sz. mell EKIK'!C19</f>
        <v>273480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59">
        <v>273480</v>
      </c>
      <c r="E22" s="488">
        <f>'25. sz. mell EKIK'!C22+'26. sz. mell EKIK'!C22</f>
        <v>273480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9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16809762</v>
      </c>
      <c r="E36" s="488">
        <f>'25. sz. mell EKIK'!C36+'26. sz. mell EKIK'!C36</f>
        <v>16809762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+C38+C39+C40</f>
        <v>139700547</v>
      </c>
      <c r="E37" s="488">
        <f>'25. sz. mell EKIK'!C37+'26. sz. mell EKIK'!C37</f>
        <v>139700547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24">
        <v>138201885</v>
      </c>
      <c r="E40" s="488">
        <f>'25. sz. mell EKIK'!C40+'26. sz. mell EKIK'!C40</f>
        <v>138201885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9">
        <f>+C36+C37</f>
        <v>156510309</v>
      </c>
      <c r="E41" s="488">
        <f>'25. sz. mell EKIK'!C41+'26. sz. mell EKIK'!C41</f>
        <v>156510309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449" t="s">
        <v>53</v>
      </c>
      <c r="B44" s="1450"/>
      <c r="C44" s="1451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149167519</v>
      </c>
      <c r="E45" s="488">
        <f>'25. sz. mell EKIK'!C45+'26. sz. mell EKIK'!C45</f>
        <v>149167519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1222">
        <v>75852403</v>
      </c>
      <c r="E46" s="488">
        <f>'25. sz. mell EKIK'!C46+'26. sz. mell EKIK'!C46</f>
        <v>75852403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1232">
        <v>10425298</v>
      </c>
      <c r="E47" s="488">
        <f>'25. sz. mell EKIK'!C47+'26. sz. mell EKIK'!C47</f>
        <v>10425298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1232">
        <v>62889818</v>
      </c>
      <c r="E48" s="488">
        <f>'25. sz. mell EKIK'!C48+'26. sz. mell EKIK'!C48</f>
        <v>62889818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559"/>
      <c r="E50" s="488">
        <f>'25. sz. mell EKIK'!C50+'26. sz. mell EKIK'!C50</f>
        <v>0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7342790</v>
      </c>
      <c r="E51" s="488">
        <f>'25. sz. mell EKIK'!C51+'26. sz. mell EKIK'!C51</f>
        <v>7342790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1222">
        <v>6858790</v>
      </c>
      <c r="E52" s="488">
        <f>'25. sz. mell EKIK'!C52+'26. sz. mell EKIK'!C52</f>
        <v>6858790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64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156510309</v>
      </c>
      <c r="E57" s="488">
        <f>'25. sz. mell EKIK'!C57+'26. sz. mell EKIK'!C57</f>
        <v>156510309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456" t="s">
        <v>459</v>
      </c>
      <c r="B59" s="1457"/>
      <c r="C59" s="1051">
        <f>19.75-0.5+0.4</f>
        <v>19.649999999999999</v>
      </c>
      <c r="E59" s="488">
        <f>'25. sz. mell EKIK'!C59+'26. sz. mell EKIK'!C59</f>
        <v>19.649999999999999</v>
      </c>
      <c r="F59" s="488">
        <f t="shared" si="0"/>
        <v>0</v>
      </c>
    </row>
    <row r="60" spans="1:6" ht="13.5" thickBot="1" x14ac:dyDescent="0.25">
      <c r="A60" s="1454" t="s">
        <v>858</v>
      </c>
      <c r="B60" s="1455"/>
      <c r="C60" s="629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E11" sqref="E1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53" t="str">
        <f>CONCATENATE("25. melléklet"," ",ALAPADATOK!A7," ",ALAPADATOK!B7," ",ALAPADATOK!C7," ",ALAPADATOK!D7," ",ALAPADATOK!E7," ",ALAPADATOK!F7," ",ALAPADATOK!G7," ",ALAPADATOK!H7)</f>
        <v>25. melléklet a .. / 2022. ( ……. ) önkormányzati rendelethez</v>
      </c>
      <c r="B1" s="1453"/>
      <c r="C1" s="1453"/>
    </row>
    <row r="2" spans="1:3" s="77" customFormat="1" ht="21" customHeight="1" x14ac:dyDescent="0.2">
      <c r="A2" s="76"/>
      <c r="B2" s="78"/>
      <c r="C2" s="852"/>
    </row>
    <row r="3" spans="1:3" s="217" customFormat="1" ht="33" customHeight="1" thickBot="1" x14ac:dyDescent="0.25">
      <c r="A3" s="1403" t="s">
        <v>938</v>
      </c>
      <c r="B3" s="1403"/>
      <c r="C3" s="1403"/>
    </row>
    <row r="4" spans="1:3" ht="13.5" thickBot="1" x14ac:dyDescent="0.25">
      <c r="A4" s="175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9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273480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>
        <v>273480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9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12442880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139700547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224">
        <f>140663703-2461818</f>
        <v>138201885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152143427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449" t="s">
        <v>53</v>
      </c>
      <c r="B44" s="1450"/>
      <c r="C44" s="1451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147746455</v>
      </c>
    </row>
    <row r="46" spans="1:3" ht="12" customHeight="1" x14ac:dyDescent="0.2">
      <c r="A46" s="212" t="s">
        <v>85</v>
      </c>
      <c r="B46" s="6" t="s">
        <v>46</v>
      </c>
      <c r="C46" s="1222">
        <v>75694923</v>
      </c>
    </row>
    <row r="47" spans="1:3" ht="12" customHeight="1" x14ac:dyDescent="0.2">
      <c r="A47" s="212" t="s">
        <v>86</v>
      </c>
      <c r="B47" s="5" t="s">
        <v>134</v>
      </c>
      <c r="C47" s="1232">
        <v>10359218</v>
      </c>
    </row>
    <row r="48" spans="1:3" ht="12" customHeight="1" x14ac:dyDescent="0.2">
      <c r="A48" s="212" t="s">
        <v>87</v>
      </c>
      <c r="B48" s="5" t="s">
        <v>110</v>
      </c>
      <c r="C48" s="759">
        <v>61692314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6858790</v>
      </c>
    </row>
    <row r="52" spans="1:6" ht="12" customHeight="1" x14ac:dyDescent="0.2">
      <c r="A52" s="212" t="s">
        <v>91</v>
      </c>
      <c r="B52" s="6" t="s">
        <v>157</v>
      </c>
      <c r="C52" s="758">
        <v>6858790</v>
      </c>
    </row>
    <row r="53" spans="1:6" ht="12" customHeight="1" x14ac:dyDescent="0.2">
      <c r="A53" s="212" t="s">
        <v>92</v>
      </c>
      <c r="B53" s="5" t="s">
        <v>138</v>
      </c>
      <c r="C53" s="1034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154605245</v>
      </c>
    </row>
    <row r="58" spans="1:6" ht="14.25" customHeight="1" thickBot="1" x14ac:dyDescent="0.25">
      <c r="C58" s="573"/>
    </row>
    <row r="59" spans="1:6" x14ac:dyDescent="0.2">
      <c r="A59" s="1456" t="s">
        <v>459</v>
      </c>
      <c r="B59" s="1457"/>
      <c r="C59" s="1051">
        <f>19.75-0.5+0.4</f>
        <v>19.649999999999999</v>
      </c>
      <c r="E59" s="488"/>
      <c r="F59" s="488"/>
    </row>
    <row r="60" spans="1:6" ht="13.5" customHeight="1" thickBot="1" x14ac:dyDescent="0.25">
      <c r="A60" s="1454" t="s">
        <v>858</v>
      </c>
      <c r="B60" s="1455"/>
      <c r="C60" s="629"/>
      <c r="E60" s="723"/>
      <c r="F60" s="72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H13" sqref="H13"/>
    </sheetView>
  </sheetViews>
  <sheetFormatPr defaultColWidth="9.33203125" defaultRowHeight="12.75" x14ac:dyDescent="0.2"/>
  <cols>
    <col min="1" max="1" width="13.83203125" style="96" customWidth="1"/>
    <col min="2" max="2" width="82" style="710" customWidth="1"/>
    <col min="3" max="3" width="28.5" style="316" customWidth="1"/>
    <col min="4" max="16384" width="9.33203125" style="710"/>
  </cols>
  <sheetData>
    <row r="1" spans="1:8" ht="12.75" customHeight="1" x14ac:dyDescent="0.2">
      <c r="A1" s="1453" t="str">
        <f>CONCATENATE("26. melléklet"," ",ALAPADATOK!A7," ",ALAPADATOK!B7," ",ALAPADATOK!C7," ",ALAPADATOK!D7," ",ALAPADATOK!E7," ",ALAPADATOK!F7," ",ALAPADATOK!G7," ",ALAPADATOK!H7)</f>
        <v>26. melléklet a .. / 2022. ( ……. ) önkormányzati rendelethez</v>
      </c>
      <c r="B1" s="1453"/>
      <c r="C1" s="1453"/>
    </row>
    <row r="2" spans="1:8" s="77" customFormat="1" ht="21" customHeight="1" x14ac:dyDescent="0.2">
      <c r="A2" s="76"/>
      <c r="B2" s="78"/>
      <c r="C2" s="855"/>
    </row>
    <row r="3" spans="1:8" s="217" customFormat="1" ht="36.75" customHeight="1" thickBot="1" x14ac:dyDescent="0.25">
      <c r="A3" s="1403" t="s">
        <v>939</v>
      </c>
      <c r="B3" s="1403"/>
      <c r="C3" s="1403"/>
    </row>
    <row r="4" spans="1:8" ht="13.5" thickBot="1" x14ac:dyDescent="0.25">
      <c r="A4" s="175" t="s">
        <v>153</v>
      </c>
      <c r="B4" s="81" t="s">
        <v>50</v>
      </c>
      <c r="C4" s="82" t="s">
        <v>905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61">
        <f>SUM(C8:C18)</f>
        <v>4366882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67"/>
    </row>
    <row r="9" spans="1:8" s="168" customFormat="1" ht="12" customHeight="1" x14ac:dyDescent="0.2">
      <c r="A9" s="212" t="s">
        <v>86</v>
      </c>
      <c r="B9" s="5" t="s">
        <v>208</v>
      </c>
      <c r="C9" s="759">
        <v>909435</v>
      </c>
      <c r="H9" s="1167"/>
    </row>
    <row r="10" spans="1:8" s="168" customFormat="1" ht="12" customHeight="1" x14ac:dyDescent="0.2">
      <c r="A10" s="212" t="s">
        <v>87</v>
      </c>
      <c r="B10" s="5" t="s">
        <v>209</v>
      </c>
      <c r="C10" s="759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9"/>
    </row>
    <row r="12" spans="1:8" s="168" customFormat="1" ht="12" customHeight="1" x14ac:dyDescent="0.2">
      <c r="A12" s="212" t="s">
        <v>111</v>
      </c>
      <c r="B12" s="5" t="s">
        <v>211</v>
      </c>
      <c r="C12" s="759"/>
    </row>
    <row r="13" spans="1:8" s="168" customFormat="1" ht="12" customHeight="1" x14ac:dyDescent="0.2">
      <c r="A13" s="212" t="s">
        <v>89</v>
      </c>
      <c r="B13" s="5" t="s">
        <v>331</v>
      </c>
      <c r="C13" s="759">
        <v>245549</v>
      </c>
    </row>
    <row r="14" spans="1:8" s="168" customFormat="1" ht="12" customHeight="1" x14ac:dyDescent="0.2">
      <c r="A14" s="212" t="s">
        <v>90</v>
      </c>
      <c r="B14" s="4" t="s">
        <v>332</v>
      </c>
      <c r="C14" s="759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4366882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4"/>
    </row>
    <row r="41" spans="1:3" s="220" customFormat="1" ht="15" customHeight="1" thickBot="1" x14ac:dyDescent="0.25">
      <c r="A41" s="853" t="s">
        <v>25</v>
      </c>
      <c r="B41" s="854" t="s">
        <v>345</v>
      </c>
      <c r="C41" s="163">
        <f>+C36+C37</f>
        <v>4366882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61">
        <f>SUM(C46:C50)</f>
        <v>1421064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559">
        <v>1197504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s="221" customFormat="1" ht="12" customHeight="1" thickBot="1" x14ac:dyDescent="0.25">
      <c r="A51" s="74" t="s">
        <v>17</v>
      </c>
      <c r="B51" s="54" t="s">
        <v>347</v>
      </c>
      <c r="C51" s="761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64"/>
    </row>
    <row r="54" spans="1:3" ht="12" customHeight="1" x14ac:dyDescent="0.2">
      <c r="A54" s="212" t="s">
        <v>93</v>
      </c>
      <c r="B54" s="5" t="s">
        <v>54</v>
      </c>
      <c r="C54" s="759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9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1905064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K23" sqref="K23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53" t="str">
        <f>CONCATENATE("27. melléklet"," ",ALAPADATOK!A7," ",ALAPADATOK!B7," ",ALAPADATOK!C7," ",ALAPADATOK!D7," ",ALAPADATOK!E7," ",ALAPADATOK!F7," ",ALAPADATOK!G7," ",ALAPADATOK!H7)</f>
        <v>27. melléklet a .. / 2022. ( ……. ) önkormányzati rendelethez</v>
      </c>
      <c r="B1" s="1453"/>
      <c r="C1" s="1453"/>
    </row>
    <row r="2" spans="1:6" s="77" customFormat="1" ht="21" customHeight="1" x14ac:dyDescent="0.2">
      <c r="A2" s="76"/>
      <c r="B2" s="78"/>
      <c r="C2" s="852"/>
      <c r="E2" s="723"/>
      <c r="F2" s="723"/>
    </row>
    <row r="3" spans="1:6" s="217" customFormat="1" ht="33" customHeight="1" thickBot="1" x14ac:dyDescent="0.25">
      <c r="A3" s="1403" t="s">
        <v>913</v>
      </c>
      <c r="B3" s="1403"/>
      <c r="C3" s="1403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189843456</v>
      </c>
      <c r="E7" s="488">
        <f>'28. sz. mell Kornisné Kp. '!C7+'29. sz. mell Kornisné Kp.'!C7+'30. sz. mell Kornisné Kp '!C9</f>
        <v>189843456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59">
        <v>12544400</v>
      </c>
      <c r="E9" s="488">
        <f>'28. sz. mell Kornisné Kp. '!C9+'29. sz. mell Kornisné Kp.'!C9+'30. sz. mell Kornisné Kp '!C11</f>
        <v>12544400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163364832</v>
      </c>
      <c r="E12" s="488">
        <f>'28. sz. mell Kornisné Kp. '!C12+'29. sz. mell Kornisné Kp.'!C12+'30. sz. mell Kornisné Kp '!C14</f>
        <v>163364832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59">
        <v>3784224</v>
      </c>
      <c r="E13" s="488">
        <f>'28. sz. mell Kornisné Kp. '!C13+'29. sz. mell Kornisné Kp.'!C13+'30. sz. mell Kornisné Kp '!C15</f>
        <v>3784224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'28. sz. mell Kornisné Kp. '!C18+'29. sz. mell Kornisné Kp.'!C18+'30. sz. mell Kornisné Kp 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206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206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209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210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'28. sz. mell Kornisné Kp. '!C34+'29. sz. mell Kornisné Kp.'!C34+'30. sz. mell Kornisné Kp '!C36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5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259807226</v>
      </c>
      <c r="E36" s="488">
        <f>'28. sz. mell Kornisné Kp. '!C36+'29. sz. mell Kornisné Kp.'!C36+'30. sz. mell Kornisné Kp '!C38</f>
        <v>259807226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SUM(C38:C40)</f>
        <v>837852327</v>
      </c>
      <c r="E37" s="488">
        <f>'28. sz. mell Kornisné Kp. '!C37+'29. sz. mell Kornisné Kp.'!C37+'30. sz. mell Kornisné Kp '!C39</f>
        <v>837852327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212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211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3">
        <v>783855377</v>
      </c>
      <c r="E40" s="488">
        <f>'28. sz. mell Kornisné Kp. '!C40+'29. sz. mell Kornisné Kp.'!C40+'30. sz. mell Kornisné Kp '!C42</f>
        <v>783855377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8">
        <f>+C36+C37</f>
        <v>1097659553</v>
      </c>
      <c r="E41" s="488">
        <f>'28. sz. mell Kornisné Kp. '!C41+'29. sz. mell Kornisné Kp.'!C41+'30. sz. mell Kornisné Kp '!C43</f>
        <v>1097659553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1071915612</v>
      </c>
      <c r="E43" s="488">
        <f>'28. sz. mell Kornisné Kp. '!C43+'29. sz. mell Kornisné Kp.'!C43+'30. sz. mell Kornisné Kp '!C47</f>
        <v>1071915612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5">
        <v>707050335</v>
      </c>
      <c r="E44" s="488">
        <f>'28. sz. mell Kornisné Kp. '!C44+'29. sz. mell Kornisné Kp.'!C44+'30. sz. mell Kornisné Kp '!C48</f>
        <v>707050335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14">
        <v>99767565</v>
      </c>
      <c r="E45" s="488">
        <f>'28. sz. mell Kornisné Kp. '!C45+'29. sz. mell Kornisné Kp.'!C45+'30. sz. mell Kornisné Kp '!C49</f>
        <v>99767565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214">
        <v>265097712</v>
      </c>
      <c r="E46" s="488">
        <f>'28. sz. mell Kornisné Kp. '!C46+'29. sz. mell Kornisné Kp.'!C46+'30. sz. mell Kornisné Kp '!C50</f>
        <v>265097712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214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214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25743941</v>
      </c>
      <c r="E49" s="488">
        <f>'28. sz. mell Kornisné Kp. '!C49+'29. sz. mell Kornisné Kp.'!C49+'30. sz. mell Kornisné Kp '!C53</f>
        <v>25743941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1216">
        <v>25743941</v>
      </c>
      <c r="E50" s="488">
        <f>'28. sz. mell Kornisné Kp. '!C50+'29. sz. mell Kornisné Kp.'!C50+'30. sz. mell Kornisné Kp '!C54</f>
        <v>25743941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1097659553</v>
      </c>
      <c r="E55" s="488">
        <f>'28. sz. mell Kornisné Kp. '!C55+'29. sz. mell Kornisné Kp.'!C55+'30. sz. mell Kornisné Kp '!C59</f>
        <v>1097659553</v>
      </c>
      <c r="F55" s="488">
        <f t="shared" si="0"/>
        <v>0</v>
      </c>
    </row>
    <row r="56" spans="1:6" ht="13.5" thickBot="1" x14ac:dyDescent="0.25">
      <c r="A56" s="1447" t="s">
        <v>459</v>
      </c>
      <c r="B56" s="1448"/>
      <c r="C56" s="1217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462" t="s">
        <v>660</v>
      </c>
      <c r="B57" s="1463"/>
      <c r="C57" s="581">
        <v>2</v>
      </c>
      <c r="E57" s="488"/>
      <c r="F57" s="488"/>
    </row>
    <row r="58" spans="1:6" s="329" customFormat="1" ht="19.899999999999999" customHeight="1" thickBot="1" x14ac:dyDescent="0.25">
      <c r="A58" s="1458" t="s">
        <v>510</v>
      </c>
      <c r="B58" s="1459"/>
      <c r="C58" s="856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460" t="s">
        <v>859</v>
      </c>
      <c r="B59" s="1461"/>
      <c r="C59" s="856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L165"/>
  <sheetViews>
    <sheetView zoomScale="115" zoomScaleNormal="115" zoomScaleSheetLayoutView="100" workbookViewId="0">
      <selection activeCell="U96" sqref="U9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394" t="str">
        <f>CONCATENATE("2. melléklet"," ",ALAPADATOK!A7," ",ALAPADATOK!B7," ",ALAPADATOK!C7," ",ALAPADATOK!D7," ",ALAPADATOK!E7," ",ALAPADATOK!F7," ",ALAPADATOK!G7," ",ALAPADATOK!H7)</f>
        <v>2. melléklet a .. / 2022. ( ……. ) önkormányzati rendelethez</v>
      </c>
      <c r="B1" s="1394"/>
      <c r="C1" s="1394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393" t="str">
        <f>CONCATENATE(ALAPADATOK!A3)</f>
        <v>Tiszavasvári Város Önkormányzat</v>
      </c>
      <c r="B3" s="1393"/>
      <c r="C3" s="1393"/>
      <c r="F3" s="741"/>
      <c r="G3" s="741"/>
      <c r="H3" s="741"/>
    </row>
    <row r="4" spans="1:9" s="652" customFormat="1" x14ac:dyDescent="0.25">
      <c r="A4" s="1392" t="str">
        <f>CONCATENATE(ALAPADATOK!D7," ÉVI KÖLTSÉGVETÉS")</f>
        <v>2022. ÉVI KÖLTSÉGVETÉS</v>
      </c>
      <c r="B4" s="1392"/>
      <c r="C4" s="1392"/>
      <c r="F4" s="741"/>
      <c r="G4" s="741"/>
      <c r="H4" s="741"/>
    </row>
    <row r="5" spans="1:9" s="652" customFormat="1" x14ac:dyDescent="0.25">
      <c r="A5" s="1392" t="s">
        <v>679</v>
      </c>
      <c r="B5" s="1392"/>
      <c r="C5" s="1392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396" t="s">
        <v>13</v>
      </c>
      <c r="B7" s="1396"/>
      <c r="C7" s="1396"/>
      <c r="D7" s="739"/>
      <c r="E7" s="739"/>
      <c r="F7" s="739"/>
      <c r="G7" s="739"/>
      <c r="H7" s="739"/>
      <c r="I7" s="739"/>
    </row>
    <row r="8" spans="1:9" ht="15.95" customHeight="1" thickBot="1" x14ac:dyDescent="0.3">
      <c r="A8" s="1395" t="s">
        <v>114</v>
      </c>
      <c r="B8" s="1395"/>
      <c r="C8" s="121" t="s">
        <v>487</v>
      </c>
      <c r="D8" s="739"/>
      <c r="E8" s="739"/>
      <c r="F8" s="739"/>
      <c r="G8" s="739"/>
      <c r="H8" s="739"/>
      <c r="I8" s="739"/>
    </row>
    <row r="9" spans="1:9" ht="38.1" customHeight="1" thickBot="1" x14ac:dyDescent="0.3">
      <c r="A9" s="20" t="s">
        <v>63</v>
      </c>
      <c r="B9" s="21" t="s">
        <v>15</v>
      </c>
      <c r="C9" s="29" t="s">
        <v>959</v>
      </c>
      <c r="D9" s="739" t="s">
        <v>492</v>
      </c>
      <c r="E9" s="739" t="s">
        <v>493</v>
      </c>
      <c r="F9" s="739" t="s">
        <v>955</v>
      </c>
      <c r="G9" s="739" t="s">
        <v>956</v>
      </c>
      <c r="H9" s="739" t="s">
        <v>957</v>
      </c>
      <c r="I9" s="739" t="s">
        <v>958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1612170129</v>
      </c>
      <c r="D11" s="266">
        <f t="shared" ref="D11:I11" si="1">+D12+D13+D14+D17+D18+D19</f>
        <v>1612170129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89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6">
        <f t="shared" si="0"/>
        <v>296342550</v>
      </c>
      <c r="D13" s="1190">
        <v>296342550</v>
      </c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638221582</v>
      </c>
      <c r="D14" s="1190">
        <f t="shared" ref="D14:I14" si="2">SUM(D15:D16)</f>
        <v>638221582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367216923</v>
      </c>
      <c r="D15" s="1190">
        <v>367216923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286">
        <f t="shared" si="0"/>
        <v>271004659</v>
      </c>
      <c r="D16" s="1190">
        <v>271004659</v>
      </c>
      <c r="E16" s="767"/>
      <c r="F16" s="767"/>
      <c r="G16" s="767"/>
      <c r="H16" s="767"/>
      <c r="I16" s="767"/>
    </row>
    <row r="17" spans="1:11" s="183" customFormat="1" ht="12" customHeight="1" x14ac:dyDescent="0.2">
      <c r="A17" s="11" t="s">
        <v>88</v>
      </c>
      <c r="B17" s="185" t="s">
        <v>183</v>
      </c>
      <c r="C17" s="286">
        <f t="shared" si="0"/>
        <v>41287119</v>
      </c>
      <c r="D17" s="1190">
        <v>41287119</v>
      </c>
      <c r="E17" s="767"/>
      <c r="F17" s="767"/>
      <c r="G17" s="767"/>
      <c r="H17" s="767"/>
      <c r="I17" s="767"/>
    </row>
    <row r="18" spans="1:11" s="183" customFormat="1" ht="12" customHeight="1" x14ac:dyDescent="0.2">
      <c r="A18" s="11" t="s">
        <v>111</v>
      </c>
      <c r="B18" s="108" t="s">
        <v>388</v>
      </c>
      <c r="C18" s="1251">
        <f t="shared" si="0"/>
        <v>335081987</v>
      </c>
      <c r="D18" s="1190">
        <v>335081987</v>
      </c>
      <c r="E18" s="767"/>
      <c r="F18" s="767"/>
      <c r="G18" s="767"/>
      <c r="H18" s="767"/>
      <c r="I18" s="767"/>
    </row>
    <row r="19" spans="1:11" s="183" customFormat="1" ht="12" customHeight="1" thickBot="1" x14ac:dyDescent="0.25">
      <c r="A19" s="13" t="s">
        <v>89</v>
      </c>
      <c r="B19" s="109" t="s">
        <v>389</v>
      </c>
      <c r="C19" s="756">
        <f t="shared" si="0"/>
        <v>0</v>
      </c>
      <c r="D19" s="101"/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93838858</v>
      </c>
      <c r="D20" s="266">
        <f t="shared" ref="D20:I20" si="3">+D21+D22+D23+D24+D25</f>
        <v>93565378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1251">
        <f t="shared" si="0"/>
        <v>93838858</v>
      </c>
      <c r="D25" s="1183">
        <v>93565378</v>
      </c>
      <c r="E25" s="767"/>
      <c r="F25" s="767"/>
      <c r="G25" s="1190">
        <v>273480</v>
      </c>
      <c r="H25" s="767"/>
      <c r="I25" s="767"/>
    </row>
    <row r="26" spans="1:11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56195378</v>
      </c>
      <c r="D26" s="769">
        <v>56195378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270822642</v>
      </c>
      <c r="D27" s="266">
        <f t="shared" ref="D27:I27" si="4">+D28+D29+D30+D31+D32</f>
        <v>270822642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85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8"/>
      <c r="E29" s="767"/>
      <c r="F29" s="767"/>
      <c r="G29" s="767"/>
      <c r="H29" s="767"/>
      <c r="I29" s="767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839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</row>
    <row r="32" spans="1:11" s="183" customFormat="1" ht="12" customHeight="1" x14ac:dyDescent="0.2">
      <c r="A32" s="11" t="s">
        <v>122</v>
      </c>
      <c r="B32" s="185" t="s">
        <v>192</v>
      </c>
      <c r="C32" s="1251">
        <f t="shared" si="0"/>
        <v>242049642</v>
      </c>
      <c r="D32" s="1183">
        <v>242049642</v>
      </c>
      <c r="E32" s="767"/>
      <c r="F32" s="767"/>
      <c r="G32" s="767"/>
      <c r="H32" s="767"/>
      <c r="I32" s="767"/>
    </row>
    <row r="33" spans="1:9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242049642</v>
      </c>
      <c r="D33" s="769">
        <v>242049642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391355000</v>
      </c>
      <c r="D34" s="269">
        <f t="shared" ref="D34:I34" si="5">+D35++D39+D40</f>
        <v>391355000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376555000</v>
      </c>
      <c r="D35" s="281">
        <f t="shared" ref="D35:I35" si="6">SUM(D36:D37)</f>
        <v>376555000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88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286">
        <f t="shared" si="0"/>
        <v>286055000</v>
      </c>
      <c r="D37" s="1188">
        <f>286055000</f>
        <v>286055000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8"/>
      <c r="E38" s="767"/>
      <c r="F38" s="767"/>
      <c r="G38" s="767"/>
      <c r="H38" s="767"/>
      <c r="I38" s="767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84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135448601</v>
      </c>
      <c r="D41" s="266">
        <f t="shared" ref="D41:I41" si="7">SUM(D42:D52)</f>
        <v>43387369</v>
      </c>
      <c r="E41" s="112">
        <f t="shared" si="7"/>
        <v>52485571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286">
        <f t="shared" si="0"/>
        <v>43704400</v>
      </c>
      <c r="D43" s="1183">
        <v>11700000</v>
      </c>
      <c r="E43" s="1190">
        <f>2000000+400000+8400000</f>
        <v>10800000</v>
      </c>
      <c r="F43" s="1189">
        <v>600000</v>
      </c>
      <c r="G43" s="1189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286">
        <f t="shared" si="0"/>
        <v>24026827</v>
      </c>
      <c r="D44" s="1183">
        <v>13152488</v>
      </c>
      <c r="E44" s="1190">
        <f>4004339+600000</f>
        <v>4604339</v>
      </c>
      <c r="F44" s="1189">
        <v>6080000</v>
      </c>
      <c r="G44" s="1189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286">
        <f t="shared" si="0"/>
        <v>9500000</v>
      </c>
      <c r="D45" s="1183">
        <v>9500000</v>
      </c>
      <c r="E45" s="767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286">
        <f t="shared" si="0"/>
        <v>22799599</v>
      </c>
      <c r="D46" s="768"/>
      <c r="E46" s="1190">
        <f>18214365</f>
        <v>18214365</v>
      </c>
      <c r="F46" s="1189">
        <v>3325699</v>
      </c>
      <c r="G46" s="1189"/>
      <c r="H46" s="1189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286">
        <f t="shared" si="0"/>
        <v>22180357</v>
      </c>
      <c r="D47" s="1183">
        <v>8027280</v>
      </c>
      <c r="E47" s="1190">
        <f>1621172+108000+4917878</f>
        <v>6647050</v>
      </c>
      <c r="F47" s="1189">
        <v>2701539</v>
      </c>
      <c r="G47" s="1189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83"/>
      <c r="E48" s="1190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1017601</v>
      </c>
      <c r="D52" s="1184">
        <v>1007601</v>
      </c>
      <c r="E52" s="1192"/>
      <c r="F52" s="1189">
        <v>10000</v>
      </c>
      <c r="G52" s="1189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83">
        <v>48000000</v>
      </c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91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83"/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756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2552635230</v>
      </c>
      <c r="D69" s="269">
        <f t="shared" ref="D69:I69" si="11">+D11+D20+D27+D34+D41+D53+D59+D64</f>
        <v>2460300518</v>
      </c>
      <c r="E69" s="117">
        <f t="shared" si="11"/>
        <v>52485571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83">
        <v>187733250</v>
      </c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83">
        <v>1000000000</v>
      </c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2390839830</v>
      </c>
      <c r="D79" s="266">
        <f t="shared" ref="D79:I79" si="15">SUM(D80:D81)</f>
        <v>2381931880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285">
        <f t="shared" si="14"/>
        <v>2390839830</v>
      </c>
      <c r="D80" s="1183">
        <v>2381931880</v>
      </c>
      <c r="E80" s="1190">
        <v>383395</v>
      </c>
      <c r="F80" s="1190">
        <v>127382</v>
      </c>
      <c r="G80" s="1190">
        <v>1498662</v>
      </c>
      <c r="H80" s="767">
        <v>82725</v>
      </c>
      <c r="I80" s="767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83">
        <v>55076107</v>
      </c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3633649187</v>
      </c>
      <c r="D93" s="269">
        <f t="shared" ref="D93:I93" si="18">+D70+D74+D79+D82+D86+D92+D91</f>
        <v>3624741237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6186284417</v>
      </c>
      <c r="D94" s="269">
        <f t="shared" ref="D94:I94" si="19">+D69+D93</f>
        <v>6085041755</v>
      </c>
      <c r="E94" s="1193">
        <f t="shared" si="19"/>
        <v>52868966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396" t="s">
        <v>44</v>
      </c>
      <c r="B95" s="1396"/>
      <c r="C95" s="1396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397" t="s">
        <v>115</v>
      </c>
      <c r="B96" s="1397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1994192234</v>
      </c>
      <c r="D99" s="273">
        <f>+D100+D101+D102+D103+D104+D117</f>
        <v>888067811</v>
      </c>
      <c r="E99" s="111">
        <f>+E100+E101+E102+E103+E104+E117</f>
        <v>227668663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285">
        <f t="shared" si="21"/>
        <v>669737612</v>
      </c>
      <c r="D100" s="1182">
        <f>54633238+15752</f>
        <v>54648990</v>
      </c>
      <c r="E100" s="1194">
        <f>731087+6627773</f>
        <v>7358860</v>
      </c>
      <c r="F100" s="1194">
        <v>267518494</v>
      </c>
      <c r="G100" s="1194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1251">
        <f t="shared" si="21"/>
        <v>90781732</v>
      </c>
      <c r="D101" s="1183">
        <v>8055314</v>
      </c>
      <c r="E101" s="1190">
        <f>100249+927437</f>
        <v>1027686</v>
      </c>
      <c r="F101" s="1190">
        <v>35464167</v>
      </c>
      <c r="G101" s="1190">
        <v>10359218</v>
      </c>
      <c r="H101" s="767">
        <v>13799567</v>
      </c>
      <c r="I101" s="767">
        <v>22075780</v>
      </c>
    </row>
    <row r="102" spans="1:9" ht="12" customHeight="1" x14ac:dyDescent="0.25">
      <c r="A102" s="11" t="s">
        <v>87</v>
      </c>
      <c r="B102" s="5" t="s">
        <v>110</v>
      </c>
      <c r="C102" s="1251">
        <f t="shared" si="21"/>
        <v>883618217</v>
      </c>
      <c r="D102" s="1184">
        <f>475468834-160000</f>
        <v>475308834</v>
      </c>
      <c r="E102" s="1192">
        <f>5085511+653100+1140520+207726153+4676833</f>
        <v>219282117</v>
      </c>
      <c r="F102" s="1190">
        <v>81300938</v>
      </c>
      <c r="G102" s="767">
        <v>61692314</v>
      </c>
      <c r="H102" s="767">
        <v>17603512</v>
      </c>
      <c r="I102" s="767">
        <v>28430502</v>
      </c>
    </row>
    <row r="103" spans="1:9" ht="12" customHeight="1" x14ac:dyDescent="0.25">
      <c r="A103" s="11" t="s">
        <v>88</v>
      </c>
      <c r="B103" s="5" t="s">
        <v>135</v>
      </c>
      <c r="C103" s="286">
        <f t="shared" si="21"/>
        <v>43800000</v>
      </c>
      <c r="D103" s="1184">
        <v>43800000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286">
        <f t="shared" si="21"/>
        <v>175834160</v>
      </c>
      <c r="D104" s="769">
        <f>SUM(D105:D116)</f>
        <v>175834160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9" ht="12" customHeight="1" x14ac:dyDescent="0.25">
      <c r="A105" s="11" t="s">
        <v>89</v>
      </c>
      <c r="B105" s="5" t="s">
        <v>399</v>
      </c>
      <c r="C105" s="286">
        <f t="shared" si="21"/>
        <v>0</v>
      </c>
      <c r="D105" s="769"/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84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9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286">
        <f t="shared" si="21"/>
        <v>636000</v>
      </c>
      <c r="D111" s="1184">
        <v>636000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51">
        <f t="shared" si="21"/>
        <v>170106841</v>
      </c>
      <c r="D116" s="1183">
        <v>170106841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6">
        <f t="shared" si="21"/>
        <v>130420513</v>
      </c>
      <c r="D117" s="768">
        <f t="shared" ref="D117:I117" si="22">SUM(D118:D119)</f>
        <v>130420513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1251">
        <f t="shared" si="21"/>
        <v>10000000</v>
      </c>
      <c r="D118" s="1184">
        <v>10000000</v>
      </c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286">
        <f t="shared" si="21"/>
        <v>120420513</v>
      </c>
      <c r="D119" s="1187">
        <v>120420513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2549181529</v>
      </c>
      <c r="D120" s="266">
        <f t="shared" ref="D120:I120" si="23">+D121+D123+D125</f>
        <v>2539166442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285">
        <f>SUM(D121:I121)</f>
        <v>661942755</v>
      </c>
      <c r="D121" s="1185">
        <v>652524568</v>
      </c>
      <c r="E121" s="1189">
        <v>80000</v>
      </c>
      <c r="F121" s="1189">
        <v>1206500</v>
      </c>
      <c r="G121" s="222">
        <v>6858790</v>
      </c>
      <c r="H121" s="1189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285">
        <f t="shared" si="21"/>
        <v>224124925</v>
      </c>
      <c r="D122" s="1186">
        <v>224124925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285">
        <f t="shared" si="21"/>
        <v>1885815497</v>
      </c>
      <c r="D123" s="1183">
        <v>1885218597</v>
      </c>
      <c r="E123" s="767"/>
      <c r="F123" s="1190">
        <v>596900</v>
      </c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285">
        <f t="shared" si="21"/>
        <v>399460471</v>
      </c>
      <c r="D124" s="1195">
        <v>399460471</v>
      </c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79">
        <f t="shared" si="21"/>
        <v>1423277</v>
      </c>
      <c r="D125" s="1183">
        <f t="shared" ref="D125:I125" si="24">SUM(D126:D133)</f>
        <v>1423277</v>
      </c>
      <c r="E125" s="768">
        <f t="shared" si="24"/>
        <v>0</v>
      </c>
      <c r="F125" s="768">
        <f t="shared" si="24"/>
        <v>0</v>
      </c>
      <c r="G125" s="768">
        <f t="shared" si="24"/>
        <v>0</v>
      </c>
      <c r="H125" s="768">
        <f t="shared" si="24"/>
        <v>0</v>
      </c>
      <c r="I125" s="768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17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17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17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17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17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84">
        <v>1423277</v>
      </c>
      <c r="E133" s="769"/>
      <c r="F133" s="769"/>
      <c r="G133" s="1184"/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4543373763</v>
      </c>
      <c r="D134" s="266">
        <f t="shared" ref="D134:I134" si="25">+D99+D120</f>
        <v>3427234253</v>
      </c>
      <c r="E134" s="112">
        <f t="shared" si="25"/>
        <v>227748663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83">
        <v>21060296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83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88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1010">
        <f t="shared" si="28"/>
        <v>0</v>
      </c>
      <c r="G159" s="1010">
        <f t="shared" si="28"/>
        <v>0</v>
      </c>
      <c r="H159" s="1010">
        <f t="shared" si="28"/>
        <v>0</v>
      </c>
      <c r="I159" s="1010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5619510166</v>
      </c>
      <c r="D160" s="275">
        <f t="shared" ref="D160:I160" si="29">+D134+D159</f>
        <v>4503370656</v>
      </c>
      <c r="E160" s="194">
        <f t="shared" si="29"/>
        <v>227748663</v>
      </c>
      <c r="F160" s="1010">
        <f t="shared" si="29"/>
        <v>386086999</v>
      </c>
      <c r="G160" s="1010">
        <f t="shared" si="29"/>
        <v>154605245</v>
      </c>
      <c r="H160" s="1010">
        <f t="shared" si="29"/>
        <v>135080805</v>
      </c>
      <c r="I160" s="1010">
        <f t="shared" si="29"/>
        <v>212617798</v>
      </c>
    </row>
    <row r="161" spans="1:9" x14ac:dyDescent="0.25">
      <c r="A161" s="1392" t="s">
        <v>306</v>
      </c>
      <c r="B161" s="1392"/>
      <c r="C161" s="1392"/>
    </row>
    <row r="162" spans="1:9" ht="9.75" customHeight="1" thickBot="1" x14ac:dyDescent="0.3">
      <c r="A162" s="1395" t="s">
        <v>116</v>
      </c>
      <c r="B162" s="1395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-1990738533</v>
      </c>
    </row>
    <row r="164" spans="1:9" ht="21.75" thickBot="1" x14ac:dyDescent="0.3">
      <c r="A164" s="17" t="s">
        <v>17</v>
      </c>
      <c r="B164" s="22" t="s">
        <v>718</v>
      </c>
      <c r="C164" s="112">
        <f>+C93-C159</f>
        <v>2557512784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G13" sqref="G13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53" t="str">
        <f>CONCATENATE("28. melléklet"," ",ALAPADATOK!A7," ",ALAPADATOK!B7," ",ALAPADATOK!C7," ",ALAPADATOK!D7," ",ALAPADATOK!E7," ",ALAPADATOK!F7," ",ALAPADATOK!G7," ",ALAPADATOK!H7)</f>
        <v>28. melléklet a .. / 2022. ( ……. ) önkormányzati rendelethez</v>
      </c>
      <c r="B1" s="1453"/>
      <c r="C1" s="1453"/>
    </row>
    <row r="2" spans="1:3" s="77" customFormat="1" ht="21" customHeight="1" x14ac:dyDescent="0.2">
      <c r="A2" s="76"/>
      <c r="B2" s="78"/>
      <c r="C2" s="852"/>
    </row>
    <row r="3" spans="1:3" s="217" customFormat="1" ht="35.25" customHeight="1" thickBot="1" x14ac:dyDescent="0.25">
      <c r="A3" s="1403" t="s">
        <v>914</v>
      </c>
      <c r="B3" s="1403"/>
      <c r="C3" s="1403"/>
    </row>
    <row r="4" spans="1:3" ht="13.5" thickBot="1" x14ac:dyDescent="0.25">
      <c r="A4" s="1128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13429488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1218">
        <v>10424400</v>
      </c>
    </row>
    <row r="10" spans="1:3" s="168" customFormat="1" ht="12" customHeight="1" x14ac:dyDescent="0.2">
      <c r="A10" s="212" t="s">
        <v>87</v>
      </c>
      <c r="B10" s="5" t="s">
        <v>209</v>
      </c>
      <c r="C10" s="1218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218"/>
    </row>
    <row r="12" spans="1:3" s="168" customFormat="1" ht="12" customHeight="1" x14ac:dyDescent="0.2">
      <c r="A12" s="212" t="s">
        <v>111</v>
      </c>
      <c r="B12" s="5" t="s">
        <v>211</v>
      </c>
      <c r="C12" s="1218"/>
    </row>
    <row r="13" spans="1:3" s="168" customFormat="1" ht="12" customHeight="1" x14ac:dyDescent="0.2">
      <c r="A13" s="212" t="s">
        <v>89</v>
      </c>
      <c r="B13" s="5" t="s">
        <v>331</v>
      </c>
      <c r="C13" s="1218">
        <v>2855088</v>
      </c>
    </row>
    <row r="14" spans="1:3" s="168" customFormat="1" ht="12" customHeight="1" x14ac:dyDescent="0.2">
      <c r="A14" s="212" t="s">
        <v>90</v>
      </c>
      <c r="B14" s="4" t="s">
        <v>332</v>
      </c>
      <c r="C14" s="1218"/>
    </row>
    <row r="15" spans="1:3" s="168" customFormat="1" ht="12" customHeight="1" x14ac:dyDescent="0.2">
      <c r="A15" s="212" t="s">
        <v>100</v>
      </c>
      <c r="B15" s="5" t="s">
        <v>214</v>
      </c>
      <c r="C15" s="1220"/>
    </row>
    <row r="16" spans="1:3" s="220" customFormat="1" ht="12" customHeight="1" x14ac:dyDescent="0.2">
      <c r="A16" s="212" t="s">
        <v>101</v>
      </c>
      <c r="B16" s="5" t="s">
        <v>215</v>
      </c>
      <c r="C16" s="1219"/>
    </row>
    <row r="17" spans="1:3" s="220" customFormat="1" ht="12" customHeight="1" x14ac:dyDescent="0.2">
      <c r="A17" s="212" t="s">
        <v>102</v>
      </c>
      <c r="B17" s="5" t="s">
        <v>391</v>
      </c>
      <c r="C17" s="1221"/>
    </row>
    <row r="18" spans="1:3" s="220" customFormat="1" ht="12" customHeight="1" thickBot="1" x14ac:dyDescent="0.25">
      <c r="A18" s="212" t="s">
        <v>103</v>
      </c>
      <c r="B18" s="4" t="s">
        <v>216</v>
      </c>
      <c r="C18" s="122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30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13429488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199188310</v>
      </c>
    </row>
    <row r="38" spans="1:3" s="168" customFormat="1" ht="12" customHeight="1" x14ac:dyDescent="0.2">
      <c r="A38" s="213" t="s">
        <v>341</v>
      </c>
      <c r="B38" s="214" t="s">
        <v>166</v>
      </c>
      <c r="C38" s="1222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223"/>
    </row>
    <row r="40" spans="1:3" s="220" customFormat="1" ht="15" customHeight="1" thickBot="1" x14ac:dyDescent="0.25">
      <c r="A40" s="212" t="s">
        <v>343</v>
      </c>
      <c r="B40" s="57" t="s">
        <v>344</v>
      </c>
      <c r="C40" s="1224">
        <v>192372524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212617798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211868498</v>
      </c>
    </row>
    <row r="44" spans="1:3" ht="12" customHeight="1" x14ac:dyDescent="0.2">
      <c r="A44" s="212" t="s">
        <v>85</v>
      </c>
      <c r="B44" s="6" t="s">
        <v>46</v>
      </c>
      <c r="C44" s="1226">
        <v>161362216</v>
      </c>
    </row>
    <row r="45" spans="1:3" ht="12" customHeight="1" x14ac:dyDescent="0.2">
      <c r="A45" s="212" t="s">
        <v>86</v>
      </c>
      <c r="B45" s="5" t="s">
        <v>134</v>
      </c>
      <c r="C45" s="1225">
        <v>22075780</v>
      </c>
    </row>
    <row r="46" spans="1:3" ht="12" customHeight="1" x14ac:dyDescent="0.2">
      <c r="A46" s="212" t="s">
        <v>87</v>
      </c>
      <c r="B46" s="5" t="s">
        <v>110</v>
      </c>
      <c r="C46" s="1225">
        <v>28430502</v>
      </c>
    </row>
    <row r="47" spans="1:3" ht="12" customHeight="1" x14ac:dyDescent="0.2">
      <c r="A47" s="212" t="s">
        <v>88</v>
      </c>
      <c r="B47" s="5" t="s">
        <v>135</v>
      </c>
      <c r="C47" s="1225"/>
    </row>
    <row r="48" spans="1:3" ht="12" customHeight="1" thickBot="1" x14ac:dyDescent="0.25">
      <c r="A48" s="212" t="s">
        <v>111</v>
      </c>
      <c r="B48" s="5" t="s">
        <v>136</v>
      </c>
      <c r="C48" s="1225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227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212617798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F7" sqref="F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5" width="10.83203125" style="710" bestFit="1" customWidth="1"/>
    <col min="6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53" t="str">
        <f>CONCATENATE("29. melléklet"," ",ALAPADATOK!A7," ",ALAPADATOK!B7," ",ALAPADATOK!C7," ",ALAPADATOK!D7," ",ALAPADATOK!E7," ",ALAPADATOK!F7," ",ALAPADATOK!G7," ",ALAPADATOK!H7)</f>
        <v>29. melléklet a .. / 2022. ( ……. ) önkormányzati rendelethez</v>
      </c>
      <c r="B1" s="1453"/>
      <c r="C1" s="1453"/>
    </row>
    <row r="2" spans="1:3" s="77" customFormat="1" ht="21" customHeight="1" x14ac:dyDescent="0.2">
      <c r="A2" s="76"/>
      <c r="B2" s="78"/>
      <c r="C2" s="852"/>
    </row>
    <row r="3" spans="1:3" s="217" customFormat="1" ht="34.5" customHeight="1" thickBot="1" x14ac:dyDescent="0.25">
      <c r="A3" s="1403" t="s">
        <v>915</v>
      </c>
      <c r="B3" s="1403"/>
      <c r="C3" s="1403"/>
    </row>
    <row r="4" spans="1:3" ht="13.5" thickBot="1" x14ac:dyDescent="0.25">
      <c r="A4" s="1128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176413968</v>
      </c>
    </row>
    <row r="8" spans="1:3" s="168" customFormat="1" ht="12" customHeight="1" x14ac:dyDescent="0.2">
      <c r="A8" s="211" t="s">
        <v>85</v>
      </c>
      <c r="B8" s="7" t="s">
        <v>207</v>
      </c>
      <c r="C8" s="1228"/>
    </row>
    <row r="9" spans="1:3" s="168" customFormat="1" ht="12" customHeight="1" x14ac:dyDescent="0.2">
      <c r="A9" s="212" t="s">
        <v>86</v>
      </c>
      <c r="B9" s="5" t="s">
        <v>208</v>
      </c>
      <c r="C9" s="1229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229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229"/>
    </row>
    <row r="12" spans="1:3" s="168" customFormat="1" ht="12" customHeight="1" x14ac:dyDescent="0.2">
      <c r="A12" s="212" t="s">
        <v>111</v>
      </c>
      <c r="B12" s="5" t="s">
        <v>211</v>
      </c>
      <c r="C12" s="1229">
        <v>163364832</v>
      </c>
    </row>
    <row r="13" spans="1:3" s="168" customFormat="1" ht="12" customHeight="1" x14ac:dyDescent="0.2">
      <c r="A13" s="212" t="s">
        <v>89</v>
      </c>
      <c r="B13" s="5" t="s">
        <v>331</v>
      </c>
      <c r="C13" s="1229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229"/>
    </row>
    <row r="15" spans="1:3" s="168" customFormat="1" ht="12" customHeight="1" x14ac:dyDescent="0.2">
      <c r="A15" s="212" t="s">
        <v>100</v>
      </c>
      <c r="B15" s="5" t="s">
        <v>214</v>
      </c>
      <c r="C15" s="1230"/>
    </row>
    <row r="16" spans="1:3" s="220" customFormat="1" ht="12" customHeight="1" x14ac:dyDescent="0.2">
      <c r="A16" s="212" t="s">
        <v>101</v>
      </c>
      <c r="B16" s="5" t="s">
        <v>215</v>
      </c>
      <c r="C16" s="1229"/>
    </row>
    <row r="17" spans="1:3" s="220" customFormat="1" ht="12" customHeight="1" x14ac:dyDescent="0.2">
      <c r="A17" s="212" t="s">
        <v>102</v>
      </c>
      <c r="B17" s="5" t="s">
        <v>391</v>
      </c>
      <c r="C17" s="1231"/>
    </row>
    <row r="18" spans="1:3" s="220" customFormat="1" ht="12" customHeight="1" thickBot="1" x14ac:dyDescent="0.25">
      <c r="A18" s="212" t="s">
        <v>103</v>
      </c>
      <c r="B18" s="4" t="s">
        <v>216</v>
      </c>
      <c r="C18" s="1231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232"/>
    </row>
    <row r="21" spans="1:3" s="220" customFormat="1" ht="12" customHeight="1" x14ac:dyDescent="0.2">
      <c r="A21" s="212" t="s">
        <v>92</v>
      </c>
      <c r="B21" s="5" t="s">
        <v>334</v>
      </c>
      <c r="C21" s="1232"/>
    </row>
    <row r="22" spans="1:3" s="220" customFormat="1" ht="12" customHeight="1" x14ac:dyDescent="0.2">
      <c r="A22" s="212" t="s">
        <v>93</v>
      </c>
      <c r="B22" s="5" t="s">
        <v>335</v>
      </c>
      <c r="C22" s="1233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233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236"/>
    </row>
    <row r="27" spans="1:3" s="220" customFormat="1" ht="12" customHeight="1" x14ac:dyDescent="0.2">
      <c r="A27" s="213" t="s">
        <v>198</v>
      </c>
      <c r="B27" s="214" t="s">
        <v>334</v>
      </c>
      <c r="C27" s="1235"/>
    </row>
    <row r="28" spans="1:3" s="220" customFormat="1" ht="12" customHeight="1" x14ac:dyDescent="0.2">
      <c r="A28" s="213" t="s">
        <v>199</v>
      </c>
      <c r="B28" s="215" t="s">
        <v>336</v>
      </c>
      <c r="C28" s="1234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237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845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246377738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638664017</v>
      </c>
    </row>
    <row r="38" spans="1:3" s="168" customFormat="1" ht="12" customHeight="1" x14ac:dyDescent="0.2">
      <c r="A38" s="213" t="s">
        <v>341</v>
      </c>
      <c r="B38" s="214" t="s">
        <v>166</v>
      </c>
      <c r="C38" s="1239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38"/>
    </row>
    <row r="40" spans="1:3" s="220" customFormat="1" ht="15" customHeight="1" thickBot="1" x14ac:dyDescent="0.25">
      <c r="A40" s="212" t="s">
        <v>343</v>
      </c>
      <c r="B40" s="57" t="s">
        <v>344</v>
      </c>
      <c r="C40" s="1240">
        <v>591482853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885041755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7">
        <f>SUM(C44:C48)</f>
        <v>860047114</v>
      </c>
    </row>
    <row r="44" spans="1:3" ht="12" customHeight="1" x14ac:dyDescent="0.2">
      <c r="A44" s="212" t="s">
        <v>85</v>
      </c>
      <c r="B44" s="6" t="s">
        <v>46</v>
      </c>
      <c r="C44" s="1242">
        <v>545688119</v>
      </c>
    </row>
    <row r="45" spans="1:3" ht="12" customHeight="1" x14ac:dyDescent="0.2">
      <c r="A45" s="212" t="s">
        <v>86</v>
      </c>
      <c r="B45" s="5" t="s">
        <v>134</v>
      </c>
      <c r="C45" s="1241">
        <v>77691785</v>
      </c>
    </row>
    <row r="46" spans="1:3" ht="12" customHeight="1" x14ac:dyDescent="0.2">
      <c r="A46" s="212" t="s">
        <v>87</v>
      </c>
      <c r="B46" s="5" t="s">
        <v>110</v>
      </c>
      <c r="C46" s="1241">
        <v>236667210</v>
      </c>
    </row>
    <row r="47" spans="1:3" ht="12" customHeight="1" x14ac:dyDescent="0.2">
      <c r="A47" s="212" t="s">
        <v>88</v>
      </c>
      <c r="B47" s="5" t="s">
        <v>135</v>
      </c>
      <c r="C47" s="1241"/>
    </row>
    <row r="48" spans="1:3" ht="12" customHeight="1" thickBot="1" x14ac:dyDescent="0.25">
      <c r="A48" s="212" t="s">
        <v>111</v>
      </c>
      <c r="B48" s="5" t="s">
        <v>136</v>
      </c>
      <c r="C48" s="1241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24994641</v>
      </c>
    </row>
    <row r="50" spans="1:5" ht="12" customHeight="1" x14ac:dyDescent="0.2">
      <c r="A50" s="212" t="s">
        <v>91</v>
      </c>
      <c r="B50" s="6" t="s">
        <v>157</v>
      </c>
      <c r="C50" s="1243">
        <v>24994641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7"/>
      <c r="E54" s="657"/>
    </row>
    <row r="55" spans="1:5" ht="15" customHeight="1" thickBot="1" x14ac:dyDescent="0.25">
      <c r="A55" s="74" t="s">
        <v>19</v>
      </c>
      <c r="B55" s="95" t="s">
        <v>466</v>
      </c>
      <c r="C55" s="761">
        <f>+C43+C49+C54</f>
        <v>885041755</v>
      </c>
    </row>
    <row r="56" spans="1:5" ht="13.5" thickBot="1" x14ac:dyDescent="0.25">
      <c r="A56" s="1447" t="s">
        <v>459</v>
      </c>
      <c r="B56" s="1448"/>
      <c r="C56" s="1035">
        <f>110-3.33+1+3</f>
        <v>110.67</v>
      </c>
    </row>
    <row r="57" spans="1:5" ht="13.5" thickBot="1" x14ac:dyDescent="0.25">
      <c r="A57" s="1462" t="s">
        <v>661</v>
      </c>
      <c r="B57" s="1463"/>
      <c r="C57" s="581">
        <v>2</v>
      </c>
    </row>
    <row r="58" spans="1:5" ht="13.5" customHeight="1" thickBot="1" x14ac:dyDescent="0.25">
      <c r="A58" s="1460" t="s">
        <v>859</v>
      </c>
      <c r="B58" s="1461"/>
      <c r="C58" s="856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zoomScale="115" zoomScaleNormal="115" workbookViewId="0">
      <selection activeCell="H15" sqref="H15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53" t="str">
        <f>CONCATENATE("30. melléklet"," ",ALAPADATOK!A7," ",ALAPADATOK!B7," ",ALAPADATOK!C7," ",ALAPADATOK!D7," ",ALAPADATOK!E7," ",ALAPADATOK!F7," ",ALAPADATOK!G7," ",ALAPADATOK!H7)</f>
        <v>30. melléklet a .. / 2022. ( ……. ) önkormányzati rendelethez</v>
      </c>
      <c r="B1" s="1453"/>
      <c r="C1" s="1453"/>
    </row>
    <row r="2" spans="1:3" s="77" customFormat="1" ht="21" customHeight="1" thickBot="1" x14ac:dyDescent="0.25">
      <c r="A2" s="76"/>
      <c r="B2" s="78"/>
      <c r="C2" s="852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53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53" t="s">
        <v>25</v>
      </c>
      <c r="B43" s="854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8"/>
    </row>
    <row r="49" spans="1:4" ht="12" customHeight="1" x14ac:dyDescent="0.2">
      <c r="A49" s="212" t="s">
        <v>86</v>
      </c>
      <c r="B49" s="5" t="s">
        <v>134</v>
      </c>
      <c r="C49" s="759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7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464"/>
      <c r="B62" s="1465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zoomScaleNormal="100" workbookViewId="0">
      <selection activeCell="M17" sqref="M1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3" ht="12.75" customHeight="1" x14ac:dyDescent="0.2">
      <c r="A1" s="1453" t="str">
        <f>CONCATENATE("31. melléklet"," ",ALAPADATOK!A7," ",ALAPADATOK!B7," ",ALAPADATOK!C7," ",ALAPADATOK!D7," ",ALAPADATOK!E7," ",ALAPADATOK!F7," ",ALAPADATOK!G7," ",ALAPADATOK!H7)</f>
        <v>31. melléklet a .. / 2022. ( ……. ) önkormányzati rendelethez</v>
      </c>
      <c r="B1" s="1453"/>
      <c r="C1" s="1453"/>
    </row>
    <row r="2" spans="1:13" s="77" customFormat="1" ht="21" customHeight="1" x14ac:dyDescent="0.2">
      <c r="A2" s="76"/>
      <c r="B2" s="78"/>
      <c r="C2" s="852"/>
      <c r="E2" s="723"/>
      <c r="F2" s="723"/>
    </row>
    <row r="3" spans="1:13" s="217" customFormat="1" ht="36" customHeight="1" thickBot="1" x14ac:dyDescent="0.25">
      <c r="A3" s="1403" t="s">
        <v>940</v>
      </c>
      <c r="B3" s="1403"/>
      <c r="C3" s="1403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905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67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67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67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  <c r="E37" s="488">
        <f>'32. sz. mell TIB  '!C37+'33. sz. mell TIB'!C40</f>
        <v>133821270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24">
        <v>133738545</v>
      </c>
      <c r="E40" s="488">
        <f>'32. sz. mell TIB  '!C40+'33. sz. mell TIB'!C43</f>
        <v>133738545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  <c r="E41" s="488">
        <f>'32. sz. mell TIB  '!C41+'33. sz. mell TIB'!C44</f>
        <v>135080805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61">
        <f>SUM(C44:C48)</f>
        <v>134557208</v>
      </c>
      <c r="E43" s="488">
        <f>'32. sz. mell TIB  '!C43+'33. sz. mell TIB'!C48</f>
        <v>134557208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22">
        <v>103154129</v>
      </c>
      <c r="E44" s="488">
        <f>'32. sz. mell TIB  '!C44+'33. sz. mell TIB'!C49</f>
        <v>103154129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32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232">
        <v>17603512</v>
      </c>
      <c r="E46" s="488">
        <f>'32. sz. mell TIB  '!C46+'33. sz. mell TIB'!C51</f>
        <v>17603512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8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61">
        <f>+C43+C49+C54</f>
        <v>135080805</v>
      </c>
      <c r="E55" s="488">
        <f>'32. sz. mell TIB  '!C55+'33. sz. mell TIB'!C60</f>
        <v>135080805</v>
      </c>
      <c r="F55" s="488">
        <f t="shared" si="0"/>
        <v>0</v>
      </c>
    </row>
    <row r="56" spans="1:6" ht="13.5" thickBot="1" x14ac:dyDescent="0.25">
      <c r="A56" s="1447" t="s">
        <v>459</v>
      </c>
      <c r="B56" s="1448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zoomScale="118" zoomScaleNormal="118" workbookViewId="0">
      <selection activeCell="F7" sqref="F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53" t="str">
        <f>CONCATENATE("32. melléklet"," ",ALAPADATOK!A7," ",ALAPADATOK!B7," ",ALAPADATOK!C7," ",ALAPADATOK!D7," ",ALAPADATOK!E7," ",ALAPADATOK!F7," ",ALAPADATOK!G7," ",ALAPADATOK!H7)</f>
        <v>32. melléklet a .. / 2022. ( ……. ) önkormányzati rendelethez</v>
      </c>
      <c r="B1" s="1453"/>
      <c r="C1" s="1453"/>
    </row>
    <row r="2" spans="1:6" s="77" customFormat="1" ht="21" customHeight="1" x14ac:dyDescent="0.2">
      <c r="A2" s="76"/>
      <c r="B2" s="78"/>
      <c r="C2" s="852"/>
    </row>
    <row r="3" spans="1:6" s="217" customFormat="1" ht="36" customHeight="1" thickBot="1" x14ac:dyDescent="0.25">
      <c r="A3" s="1403" t="s">
        <v>941</v>
      </c>
      <c r="B3" s="1403"/>
      <c r="C3" s="1403"/>
    </row>
    <row r="4" spans="1:6" ht="13.5" thickBot="1" x14ac:dyDescent="0.25">
      <c r="A4" s="175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67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67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68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224">
        <v>133738545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61">
        <f>SUM(C44:C48)</f>
        <v>134557208</v>
      </c>
    </row>
    <row r="44" spans="1:3" ht="12" customHeight="1" x14ac:dyDescent="0.2">
      <c r="A44" s="212" t="s">
        <v>85</v>
      </c>
      <c r="B44" s="6" t="s">
        <v>46</v>
      </c>
      <c r="C44" s="1222">
        <v>103154129</v>
      </c>
    </row>
    <row r="45" spans="1:3" ht="12" customHeight="1" x14ac:dyDescent="0.2">
      <c r="A45" s="212" t="s">
        <v>86</v>
      </c>
      <c r="B45" s="5" t="s">
        <v>134</v>
      </c>
      <c r="C45" s="1232">
        <v>13799567</v>
      </c>
    </row>
    <row r="46" spans="1:3" ht="12" customHeight="1" x14ac:dyDescent="0.2">
      <c r="A46" s="212" t="s">
        <v>87</v>
      </c>
      <c r="B46" s="5" t="s">
        <v>110</v>
      </c>
      <c r="C46" s="759">
        <v>17603512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8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135080805</v>
      </c>
    </row>
    <row r="56" spans="1:3" ht="13.5" thickBot="1" x14ac:dyDescent="0.25">
      <c r="A56" s="1447" t="s">
        <v>459</v>
      </c>
      <c r="B56" s="1448"/>
      <c r="C56" s="1174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G11" sqref="G11"/>
    </sheetView>
  </sheetViews>
  <sheetFormatPr defaultRowHeight="12.75" x14ac:dyDescent="0.2"/>
  <cols>
    <col min="1" max="1" width="13.83203125" style="703" customWidth="1"/>
    <col min="2" max="2" width="79.1640625" style="703" customWidth="1"/>
    <col min="3" max="3" width="25" style="703" customWidth="1"/>
    <col min="4" max="16384" width="9.33203125" style="703"/>
  </cols>
  <sheetData>
    <row r="1" spans="1:3" x14ac:dyDescent="0.2">
      <c r="A1" s="1453" t="str">
        <f>CONCATENATE("33. melléklet"," ",ALAPADATOK!A7," ",ALAPADATOK!B7," ",ALAPADATOK!C7," ",ALAPADATOK!D7," ",ALAPADATOK!E7," ",ALAPADATOK!F7," ",ALAPADATOK!G7," ",ALAPADATOK!H7)</f>
        <v>33. melléklet a .. / 2022. ( ……. ) önkormányzati rendelethez</v>
      </c>
      <c r="B1" s="1453"/>
      <c r="C1" s="1453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61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865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61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61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9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60"/>
    </row>
    <row r="32" spans="1:3" ht="13.5" thickBot="1" x14ac:dyDescent="0.25">
      <c r="A32" s="74" t="s">
        <v>20</v>
      </c>
      <c r="B32" s="54" t="s">
        <v>337</v>
      </c>
      <c r="C32" s="761">
        <f>+C33+C34+C35</f>
        <v>0</v>
      </c>
    </row>
    <row r="33" spans="1:3" x14ac:dyDescent="0.2">
      <c r="A33" s="213" t="s">
        <v>78</v>
      </c>
      <c r="B33" s="214" t="s">
        <v>221</v>
      </c>
      <c r="C33" s="758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60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62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62">
        <f>+C40+C41+C42</f>
        <v>0</v>
      </c>
    </row>
    <row r="40" spans="1:3" x14ac:dyDescent="0.2">
      <c r="A40" s="213" t="s">
        <v>341</v>
      </c>
      <c r="B40" s="214" t="s">
        <v>166</v>
      </c>
      <c r="C40" s="758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60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x14ac:dyDescent="0.2">
      <c r="A48" s="212" t="s">
        <v>85</v>
      </c>
      <c r="B48" s="6" t="s">
        <v>46</v>
      </c>
      <c r="C48" s="758"/>
    </row>
    <row r="49" spans="1:3" x14ac:dyDescent="0.2">
      <c r="A49" s="212" t="s">
        <v>86</v>
      </c>
      <c r="B49" s="5" t="s">
        <v>134</v>
      </c>
      <c r="C49" s="759"/>
    </row>
    <row r="50" spans="1:3" x14ac:dyDescent="0.2">
      <c r="A50" s="212" t="s">
        <v>87</v>
      </c>
      <c r="B50" s="5" t="s">
        <v>110</v>
      </c>
      <c r="C50" s="759"/>
    </row>
    <row r="51" spans="1:3" x14ac:dyDescent="0.2">
      <c r="A51" s="212" t="s">
        <v>88</v>
      </c>
      <c r="B51" s="5" t="s">
        <v>135</v>
      </c>
      <c r="C51" s="759"/>
    </row>
    <row r="52" spans="1:3" ht="13.5" thickBot="1" x14ac:dyDescent="0.25">
      <c r="A52" s="212" t="s">
        <v>111</v>
      </c>
      <c r="B52" s="5" t="s">
        <v>136</v>
      </c>
      <c r="C52" s="759"/>
    </row>
    <row r="53" spans="1:3" ht="13.5" thickBot="1" x14ac:dyDescent="0.25">
      <c r="A53" s="74" t="s">
        <v>17</v>
      </c>
      <c r="B53" s="54" t="s">
        <v>347</v>
      </c>
      <c r="C53" s="761">
        <f>SUM(C54:C56)</f>
        <v>0</v>
      </c>
    </row>
    <row r="54" spans="1:3" x14ac:dyDescent="0.2">
      <c r="A54" s="212" t="s">
        <v>91</v>
      </c>
      <c r="B54" s="6" t="s">
        <v>157</v>
      </c>
      <c r="C54" s="758"/>
    </row>
    <row r="55" spans="1:3" x14ac:dyDescent="0.2">
      <c r="A55" s="212" t="s">
        <v>92</v>
      </c>
      <c r="B55" s="5" t="s">
        <v>138</v>
      </c>
      <c r="C55" s="759"/>
    </row>
    <row r="56" spans="1:3" x14ac:dyDescent="0.2">
      <c r="A56" s="212" t="s">
        <v>93</v>
      </c>
      <c r="B56" s="5" t="s">
        <v>54</v>
      </c>
      <c r="C56" s="759"/>
    </row>
    <row r="57" spans="1:3" ht="13.5" thickBot="1" x14ac:dyDescent="0.25">
      <c r="A57" s="212" t="s">
        <v>94</v>
      </c>
      <c r="B57" s="5" t="s">
        <v>465</v>
      </c>
      <c r="C57" s="759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10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J17" sqref="J17"/>
    </sheetView>
  </sheetViews>
  <sheetFormatPr defaultColWidth="12.5" defaultRowHeight="12.75" x14ac:dyDescent="0.2"/>
  <cols>
    <col min="1" max="1" width="35.83203125" style="618" customWidth="1"/>
    <col min="2" max="3" width="12.33203125" style="618" customWidth="1"/>
    <col min="4" max="4" width="12.33203125" style="628" customWidth="1"/>
    <col min="5" max="10" width="12.33203125" style="618" customWidth="1"/>
    <col min="11" max="11" width="12.33203125" style="628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466" t="str">
        <f>CONCATENATE("34. melléklet"," ",ALAPADATOK!A7," ",ALAPADATOK!B7," ",ALAPADATOK!C7," ",ALAPADATOK!D7," ",ALAPADATOK!E7," ",ALAPADATOK!F7," ",ALAPADATOK!G7," ",ALAPADATOK!H7)</f>
        <v>34. melléklet a .. / 2022. ( ……. ) önkormányzati rendelethez</v>
      </c>
      <c r="B1" s="1466"/>
      <c r="C1" s="1466"/>
      <c r="D1" s="1466"/>
      <c r="E1" s="1466"/>
      <c r="F1" s="1466"/>
      <c r="G1" s="1466"/>
      <c r="H1" s="1466"/>
      <c r="I1" s="1466"/>
      <c r="J1" s="1466"/>
      <c r="K1" s="1466"/>
    </row>
    <row r="2" spans="1:11" x14ac:dyDescent="0.2">
      <c r="A2" s="616"/>
      <c r="B2" s="616"/>
      <c r="C2" s="616"/>
      <c r="D2" s="617"/>
      <c r="E2" s="616"/>
      <c r="F2" s="616"/>
      <c r="G2" s="619"/>
      <c r="H2" s="619"/>
      <c r="I2" s="619"/>
      <c r="J2" s="619"/>
      <c r="K2" s="620"/>
    </row>
    <row r="3" spans="1:11" x14ac:dyDescent="0.2">
      <c r="A3" s="616"/>
      <c r="B3" s="616"/>
      <c r="C3" s="616"/>
      <c r="D3" s="617"/>
      <c r="E3" s="616"/>
      <c r="F3" s="616"/>
      <c r="G3" s="619"/>
      <c r="H3" s="619"/>
      <c r="I3" s="619"/>
      <c r="J3" s="619"/>
      <c r="K3" s="621"/>
    </row>
    <row r="4" spans="1:11" ht="19.5" x14ac:dyDescent="0.35">
      <c r="A4" s="1477" t="s">
        <v>362</v>
      </c>
      <c r="B4" s="1477"/>
      <c r="C4" s="1477"/>
      <c r="D4" s="1477"/>
      <c r="E4" s="1477"/>
      <c r="F4" s="1477"/>
      <c r="G4" s="1477"/>
      <c r="H4" s="1477"/>
      <c r="I4" s="1477"/>
      <c r="J4" s="1477"/>
      <c r="K4" s="1477"/>
    </row>
    <row r="5" spans="1:11" ht="19.5" x14ac:dyDescent="0.35">
      <c r="A5" s="1477" t="s">
        <v>1004</v>
      </c>
      <c r="B5" s="1477"/>
      <c r="C5" s="1477"/>
      <c r="D5" s="1477"/>
      <c r="E5" s="1477"/>
      <c r="F5" s="1477"/>
      <c r="G5" s="1477"/>
      <c r="H5" s="1477"/>
      <c r="I5" s="1477"/>
      <c r="J5" s="1477"/>
      <c r="K5" s="1477"/>
    </row>
    <row r="6" spans="1:11" ht="13.5" thickBot="1" x14ac:dyDescent="0.25">
      <c r="A6" s="1055"/>
      <c r="B6" s="1055"/>
      <c r="C6" s="1055"/>
      <c r="D6" s="1055"/>
      <c r="E6" s="1055"/>
      <c r="F6" s="1055"/>
      <c r="G6" s="1055"/>
      <c r="H6" s="1055"/>
      <c r="I6" s="1055"/>
      <c r="J6" s="1055"/>
      <c r="K6" s="1055"/>
    </row>
    <row r="7" spans="1:11" ht="15.95" customHeight="1" x14ac:dyDescent="0.2">
      <c r="A7" s="1467" t="s">
        <v>876</v>
      </c>
      <c r="B7" s="1469" t="s">
        <v>375</v>
      </c>
      <c r="C7" s="1470"/>
      <c r="D7" s="1471"/>
      <c r="E7" s="1472" t="s">
        <v>376</v>
      </c>
      <c r="F7" s="1473"/>
      <c r="G7" s="1473"/>
      <c r="H7" s="1473"/>
      <c r="I7" s="1473"/>
      <c r="J7" s="1473"/>
      <c r="K7" s="1474"/>
    </row>
    <row r="8" spans="1:11" ht="15.95" customHeight="1" x14ac:dyDescent="0.2">
      <c r="A8" s="1468"/>
      <c r="B8" s="1478" t="s">
        <v>916</v>
      </c>
      <c r="C8" s="1478" t="s">
        <v>922</v>
      </c>
      <c r="D8" s="1478" t="s">
        <v>921</v>
      </c>
      <c r="E8" s="1478" t="s">
        <v>917</v>
      </c>
      <c r="F8" s="1478" t="s">
        <v>923</v>
      </c>
      <c r="G8" s="1478" t="s">
        <v>918</v>
      </c>
      <c r="H8" s="1475" t="s">
        <v>136</v>
      </c>
      <c r="I8" s="1478" t="s">
        <v>920</v>
      </c>
      <c r="J8" s="1478" t="s">
        <v>919</v>
      </c>
      <c r="K8" s="1480" t="s">
        <v>921</v>
      </c>
    </row>
    <row r="9" spans="1:11" ht="15.95" customHeight="1" thickBot="1" x14ac:dyDescent="0.25">
      <c r="A9" s="1468"/>
      <c r="B9" s="1479"/>
      <c r="C9" s="1479"/>
      <c r="D9" s="1479"/>
      <c r="E9" s="1479"/>
      <c r="F9" s="1479"/>
      <c r="G9" s="1479"/>
      <c r="H9" s="1476"/>
      <c r="I9" s="1479"/>
      <c r="J9" s="1479"/>
      <c r="K9" s="1481"/>
    </row>
    <row r="10" spans="1:11" ht="15.95" customHeight="1" thickBot="1" x14ac:dyDescent="0.25">
      <c r="A10" s="1327" t="s">
        <v>385</v>
      </c>
      <c r="B10" s="1328" t="s">
        <v>386</v>
      </c>
      <c r="C10" s="1328" t="s">
        <v>1003</v>
      </c>
      <c r="D10" s="1328" t="s">
        <v>1002</v>
      </c>
      <c r="E10" s="1328" t="s">
        <v>438</v>
      </c>
      <c r="F10" s="1328" t="s">
        <v>996</v>
      </c>
      <c r="G10" s="1328" t="s">
        <v>997</v>
      </c>
      <c r="H10" s="1329" t="s">
        <v>998</v>
      </c>
      <c r="I10" s="1328" t="s">
        <v>999</v>
      </c>
      <c r="J10" s="1328" t="s">
        <v>1000</v>
      </c>
      <c r="K10" s="1330" t="s">
        <v>1001</v>
      </c>
    </row>
    <row r="11" spans="1:11" s="296" customFormat="1" ht="18" customHeight="1" x14ac:dyDescent="0.2">
      <c r="A11" s="623" t="s">
        <v>482</v>
      </c>
      <c r="B11" s="1165">
        <f>'17. sz. mell. PH.'!C36+'17. sz. mell. PH.'!C38</f>
        <v>53349966</v>
      </c>
      <c r="C11" s="1042">
        <f t="shared" ref="C11" si="0">K11-B11</f>
        <v>437259318</v>
      </c>
      <c r="D11" s="787">
        <f>SUM(B11:C11)</f>
        <v>490609284</v>
      </c>
      <c r="E11" s="1043">
        <f>'17. sz. mell. PH.'!C46</f>
        <v>199255493</v>
      </c>
      <c r="F11" s="1043">
        <f>'17. sz. mell. PH.'!C47</f>
        <v>33797395</v>
      </c>
      <c r="G11" s="1043">
        <f>'17. sz. mell. PH.'!C48</f>
        <v>252461386</v>
      </c>
      <c r="H11" s="766">
        <f>'17. sz. mell. PH.'!C50</f>
        <v>0</v>
      </c>
      <c r="I11" s="766">
        <f>'17. sz. mell. PH.'!C49</f>
        <v>0</v>
      </c>
      <c r="J11" s="1043">
        <f>'17. sz. mell. PH.'!C52</f>
        <v>5095010</v>
      </c>
      <c r="K11" s="765">
        <f t="shared" ref="K11" si="1">SUM(E11:J11)</f>
        <v>490609284</v>
      </c>
    </row>
    <row r="12" spans="1:11" ht="15.95" customHeight="1" x14ac:dyDescent="0.2">
      <c r="A12" s="1322" t="s">
        <v>0</v>
      </c>
      <c r="B12" s="1323">
        <f>'21. sz. mell OVI'!C35+'21. sz. mell OVI'!C37</f>
        <v>12844620</v>
      </c>
      <c r="C12" s="1323">
        <f t="shared" ref="C12:C15" si="2">K12-B12</f>
        <v>373242379</v>
      </c>
      <c r="D12" s="1324">
        <f t="shared" ref="D12:D15" si="3">B12+C12</f>
        <v>386086999</v>
      </c>
      <c r="E12" s="1331">
        <f>'21. sz. mell OVI'!C43</f>
        <v>267518494</v>
      </c>
      <c r="F12" s="1331">
        <f>'21. sz. mell OVI'!C44</f>
        <v>35464167</v>
      </c>
      <c r="G12" s="1331">
        <f>'21. sz. mell OVI'!C45</f>
        <v>81300938</v>
      </c>
      <c r="H12" s="1325">
        <f>'21. sz. mell OVI'!C47</f>
        <v>0</v>
      </c>
      <c r="I12" s="1325">
        <f>'21. sz. mell OVI'!C46</f>
        <v>0</v>
      </c>
      <c r="J12" s="1325">
        <f>'21. sz. mell OVI'!C48</f>
        <v>1803400</v>
      </c>
      <c r="K12" s="1326">
        <f t="shared" ref="K12:K15" si="4">SUM(E12:J12)</f>
        <v>386086999</v>
      </c>
    </row>
    <row r="13" spans="1:11" ht="15.95" customHeight="1" x14ac:dyDescent="0.2">
      <c r="A13" s="622" t="s">
        <v>495</v>
      </c>
      <c r="B13" s="1044">
        <f>'24. sz. mell EKIK'!C36+'24. sz. mell EKIK'!C38</f>
        <v>18308424</v>
      </c>
      <c r="C13" s="1044">
        <f t="shared" si="2"/>
        <v>138201885</v>
      </c>
      <c r="D13" s="787">
        <f t="shared" si="3"/>
        <v>156510309</v>
      </c>
      <c r="E13" s="1042">
        <f>'24. sz. mell EKIK'!C46</f>
        <v>75852403</v>
      </c>
      <c r="F13" s="1042">
        <f>'24. sz. mell EKIK'!C47</f>
        <v>10425298</v>
      </c>
      <c r="G13" s="1042">
        <f>'24. sz. mell EKIK'!C48</f>
        <v>62889818</v>
      </c>
      <c r="H13" s="1042">
        <f>'24. sz. mell EKIK'!C50</f>
        <v>0</v>
      </c>
      <c r="I13" s="1042">
        <f>'24. sz. mell EKIK'!C49</f>
        <v>0</v>
      </c>
      <c r="J13" s="1042">
        <f>'24. sz. mell EKIK'!C51</f>
        <v>7342790</v>
      </c>
      <c r="K13" s="765">
        <f t="shared" si="4"/>
        <v>156510309</v>
      </c>
    </row>
    <row r="14" spans="1:11" s="296" customFormat="1" ht="18" customHeight="1" x14ac:dyDescent="0.2">
      <c r="A14" s="623" t="s">
        <v>481</v>
      </c>
      <c r="B14" s="1176">
        <f>'27. sz. mell Kornisné Kp.'!C36+'27. sz. mell Kornisné Kp.'!C38</f>
        <v>313804176</v>
      </c>
      <c r="C14" s="1177">
        <f t="shared" si="2"/>
        <v>783855377</v>
      </c>
      <c r="D14" s="787">
        <f t="shared" si="3"/>
        <v>1097659553</v>
      </c>
      <c r="E14" s="1044">
        <f>'27. sz. mell Kornisné Kp.'!C44</f>
        <v>707050335</v>
      </c>
      <c r="F14" s="1044">
        <f>'27. sz. mell Kornisné Kp.'!C45</f>
        <v>99767565</v>
      </c>
      <c r="G14" s="1044">
        <f>'27. sz. mell Kornisné Kp.'!C46</f>
        <v>265097712</v>
      </c>
      <c r="H14" s="1042">
        <f>'27. sz. mell Kornisné Kp.'!C48</f>
        <v>0</v>
      </c>
      <c r="I14" s="1042">
        <f>'27. sz. mell Kornisné Kp.'!C47</f>
        <v>0</v>
      </c>
      <c r="J14" s="1042">
        <f>'27. sz. mell Kornisné Kp.'!C49</f>
        <v>25743941</v>
      </c>
      <c r="K14" s="765">
        <f t="shared" si="4"/>
        <v>1097659553</v>
      </c>
    </row>
    <row r="15" spans="1:11" s="296" customFormat="1" ht="18" customHeight="1" x14ac:dyDescent="0.2">
      <c r="A15" s="623" t="s">
        <v>471</v>
      </c>
      <c r="B15" s="1039">
        <f>'31. sz. mell TIB  '!C36+'31. sz. mell TIB  '!C38</f>
        <v>1342260</v>
      </c>
      <c r="C15" s="1044">
        <f t="shared" si="2"/>
        <v>133738545</v>
      </c>
      <c r="D15" s="787">
        <f t="shared" si="3"/>
        <v>135080805</v>
      </c>
      <c r="E15" s="1181">
        <f>'31. sz. mell TIB  '!C44</f>
        <v>103154129</v>
      </c>
      <c r="F15" s="1181">
        <f>'31. sz. mell TIB  '!C45</f>
        <v>13799567</v>
      </c>
      <c r="G15" s="1181">
        <f>'31. sz. mell TIB  '!C46</f>
        <v>17603512</v>
      </c>
      <c r="H15" s="766">
        <f>'31. sz. mell TIB  '!C48</f>
        <v>0</v>
      </c>
      <c r="I15" s="766">
        <f>'31. sz. mell TIB  '!C47</f>
        <v>0</v>
      </c>
      <c r="J15" s="1043">
        <f>'31. sz. mell TIB  '!C49</f>
        <v>523597</v>
      </c>
      <c r="K15" s="765">
        <f t="shared" si="4"/>
        <v>135080805</v>
      </c>
    </row>
    <row r="16" spans="1:11" s="406" customFormat="1" ht="18" customHeight="1" thickBot="1" x14ac:dyDescent="0.25">
      <c r="A16" s="624" t="s">
        <v>363</v>
      </c>
      <c r="B16" s="753">
        <f>SUM(B11:B15)</f>
        <v>399649446</v>
      </c>
      <c r="C16" s="753">
        <f t="shared" ref="C16:J16" si="5">SUM(C11:C15)</f>
        <v>1866297504</v>
      </c>
      <c r="D16" s="753">
        <f t="shared" si="5"/>
        <v>2265946950</v>
      </c>
      <c r="E16" s="753">
        <f t="shared" si="5"/>
        <v>1352830854</v>
      </c>
      <c r="F16" s="753">
        <f t="shared" si="5"/>
        <v>193253992</v>
      </c>
      <c r="G16" s="753">
        <f t="shared" si="5"/>
        <v>679353366</v>
      </c>
      <c r="H16" s="753">
        <f t="shared" si="5"/>
        <v>0</v>
      </c>
      <c r="I16" s="753">
        <f t="shared" si="5"/>
        <v>0</v>
      </c>
      <c r="J16" s="753">
        <f t="shared" si="5"/>
        <v>40508738</v>
      </c>
      <c r="K16" s="753">
        <f>SUM(K11:K15)</f>
        <v>2265946950</v>
      </c>
    </row>
    <row r="17" spans="1:11" s="368" customFormat="1" ht="11.25" x14ac:dyDescent="0.2">
      <c r="A17" s="625"/>
      <c r="B17" s="625"/>
      <c r="C17" s="625"/>
      <c r="D17" s="626"/>
      <c r="E17" s="625"/>
      <c r="F17" s="625"/>
      <c r="G17" s="625"/>
      <c r="H17" s="625"/>
      <c r="I17" s="625"/>
      <c r="J17" s="625"/>
      <c r="K17" s="626"/>
    </row>
    <row r="18" spans="1:11" s="368" customFormat="1" ht="11.25" x14ac:dyDescent="0.2">
      <c r="A18" s="625"/>
      <c r="B18" s="625"/>
      <c r="C18" s="625"/>
      <c r="D18" s="626"/>
      <c r="E18" s="625"/>
      <c r="F18" s="625"/>
      <c r="G18" s="625"/>
      <c r="H18" s="625"/>
      <c r="I18" s="625"/>
      <c r="J18" s="625"/>
      <c r="K18" s="626"/>
    </row>
    <row r="19" spans="1:11" x14ac:dyDescent="0.2">
      <c r="B19" s="627"/>
      <c r="C19" s="627"/>
      <c r="D19" s="627"/>
    </row>
    <row r="20" spans="1:11" x14ac:dyDescent="0.2">
      <c r="C20" s="627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28"/>
  <sheetViews>
    <sheetView zoomScaleNormal="100" workbookViewId="0">
      <selection activeCell="H17" sqref="H17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482" t="str">
        <f>CONCATENATE("35. melléklet"," ",ALAPADATOK!A7," ",ALAPADATOK!B7," ",ALAPADATOK!C7," ",ALAPADATOK!D7," ",ALAPADATOK!E7," ",ALAPADATOK!F7," ",ALAPADATOK!G7," ",ALAPADATOK!H7)</f>
        <v>35. melléklet a .. / 2022. ( ……. ) önkormányzati rendelethez</v>
      </c>
      <c r="B1" s="1482"/>
      <c r="C1" s="724"/>
      <c r="D1" s="724"/>
      <c r="E1" s="724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483" t="s">
        <v>359</v>
      </c>
      <c r="B7" s="1483"/>
    </row>
    <row r="8" spans="1:5" ht="19.5" x14ac:dyDescent="0.35">
      <c r="A8" s="1484" t="s">
        <v>1030</v>
      </c>
      <c r="B8" s="1484"/>
    </row>
    <row r="9" spans="1:5" ht="20.25" thickBot="1" x14ac:dyDescent="0.4">
      <c r="A9" s="1122"/>
      <c r="B9" s="1122"/>
    </row>
    <row r="10" spans="1:5" s="411" customFormat="1" ht="33" customHeight="1" thickBot="1" x14ac:dyDescent="0.25">
      <c r="A10" s="1050" t="s">
        <v>57</v>
      </c>
      <c r="B10" s="1151" t="s">
        <v>924</v>
      </c>
    </row>
    <row r="11" spans="1:5" ht="16.5" thickBot="1" x14ac:dyDescent="0.3">
      <c r="A11" s="1344" t="s">
        <v>1007</v>
      </c>
      <c r="B11" s="1332">
        <f>10000000</f>
        <v>10000000</v>
      </c>
      <c r="C11" s="412"/>
      <c r="D11" s="413"/>
    </row>
    <row r="12" spans="1:5" ht="16.5" thickBot="1" x14ac:dyDescent="0.3">
      <c r="A12" s="1344" t="s">
        <v>360</v>
      </c>
      <c r="B12" s="1333">
        <f>SUM(B13:B27)</f>
        <v>120420513</v>
      </c>
      <c r="C12" s="413"/>
      <c r="D12" s="413"/>
    </row>
    <row r="13" spans="1:5" ht="15.75" x14ac:dyDescent="0.25">
      <c r="A13" s="1334" t="s">
        <v>571</v>
      </c>
      <c r="B13" s="1335">
        <f>10000000</f>
        <v>10000000</v>
      </c>
      <c r="C13" s="353"/>
      <c r="D13" s="352"/>
    </row>
    <row r="14" spans="1:5" ht="15.75" x14ac:dyDescent="0.25">
      <c r="A14" s="1336" t="s">
        <v>572</v>
      </c>
      <c r="B14" s="1337">
        <v>1000000</v>
      </c>
      <c r="C14" s="353"/>
      <c r="D14" s="352"/>
    </row>
    <row r="15" spans="1:5" ht="15.75" x14ac:dyDescent="0.25">
      <c r="A15" s="1336" t="s">
        <v>844</v>
      </c>
      <c r="B15" s="1337">
        <v>685553</v>
      </c>
      <c r="C15" s="353"/>
      <c r="D15" s="352"/>
    </row>
    <row r="16" spans="1:5" ht="15.75" x14ac:dyDescent="0.25">
      <c r="A16" s="1338" t="s">
        <v>705</v>
      </c>
      <c r="B16" s="1337">
        <f>45418996+342126</f>
        <v>45761122</v>
      </c>
      <c r="C16" s="353"/>
      <c r="D16" s="352"/>
    </row>
    <row r="17" spans="1:4" ht="15.75" x14ac:dyDescent="0.25">
      <c r="A17" s="1338" t="s">
        <v>849</v>
      </c>
      <c r="B17" s="1337">
        <f>30581761-2794000</f>
        <v>27787761</v>
      </c>
      <c r="C17" s="353"/>
      <c r="D17" s="352"/>
    </row>
    <row r="18" spans="1:4" ht="15.75" x14ac:dyDescent="0.25">
      <c r="A18" s="1338" t="s">
        <v>847</v>
      </c>
      <c r="B18" s="1337">
        <v>1524072</v>
      </c>
      <c r="C18" s="353"/>
      <c r="D18" s="352"/>
    </row>
    <row r="19" spans="1:4" ht="15.75" x14ac:dyDescent="0.25">
      <c r="A19" s="1338" t="s">
        <v>848</v>
      </c>
      <c r="B19" s="1337">
        <v>628001</v>
      </c>
      <c r="C19" s="353"/>
      <c r="D19" s="352"/>
    </row>
    <row r="20" spans="1:4" ht="15.75" x14ac:dyDescent="0.25">
      <c r="A20" s="1338" t="s">
        <v>843</v>
      </c>
      <c r="B20" s="1337">
        <f>650000-250000</f>
        <v>400000</v>
      </c>
      <c r="C20" s="353"/>
      <c r="D20" s="352"/>
    </row>
    <row r="21" spans="1:4" ht="15.75" x14ac:dyDescent="0.25">
      <c r="A21" s="1338" t="s">
        <v>502</v>
      </c>
      <c r="B21" s="1337">
        <v>4000000</v>
      </c>
      <c r="C21" s="353"/>
      <c r="D21" s="352"/>
    </row>
    <row r="22" spans="1:4" ht="15.75" x14ac:dyDescent="0.25">
      <c r="A22" s="1339" t="s">
        <v>707</v>
      </c>
      <c r="B22" s="1337">
        <v>3589610</v>
      </c>
      <c r="C22" s="353"/>
      <c r="D22" s="352"/>
    </row>
    <row r="23" spans="1:4" ht="15.75" x14ac:dyDescent="0.25">
      <c r="A23" s="1339" t="s">
        <v>706</v>
      </c>
      <c r="B23" s="1337">
        <v>10000000</v>
      </c>
      <c r="C23" s="353"/>
      <c r="D23" s="352"/>
    </row>
    <row r="24" spans="1:4" ht="15.75" x14ac:dyDescent="0.25">
      <c r="A24" s="1339" t="s">
        <v>1005</v>
      </c>
      <c r="B24" s="1337">
        <v>519291</v>
      </c>
      <c r="C24" s="353"/>
      <c r="D24" s="352"/>
    </row>
    <row r="25" spans="1:4" ht="15.75" x14ac:dyDescent="0.25">
      <c r="A25" s="1340" t="s">
        <v>845</v>
      </c>
      <c r="B25" s="1337">
        <v>439501</v>
      </c>
      <c r="C25" s="353"/>
      <c r="D25" s="352"/>
    </row>
    <row r="26" spans="1:4" ht="15.75" x14ac:dyDescent="0.25">
      <c r="A26" s="1339" t="s">
        <v>846</v>
      </c>
      <c r="B26" s="1337">
        <f>406461+4715</f>
        <v>411176</v>
      </c>
      <c r="C26" s="353"/>
      <c r="D26" s="352"/>
    </row>
    <row r="27" spans="1:4" ht="16.5" thickBot="1" x14ac:dyDescent="0.3">
      <c r="A27" s="1341" t="s">
        <v>1006</v>
      </c>
      <c r="B27" s="1342">
        <v>13674426</v>
      </c>
      <c r="C27" s="353"/>
      <c r="D27" s="352"/>
    </row>
    <row r="28" spans="1:4" ht="16.5" thickBot="1" x14ac:dyDescent="0.3">
      <c r="A28" s="1344" t="s">
        <v>361</v>
      </c>
      <c r="B28" s="1343">
        <f>B11+B12</f>
        <v>130420513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theme="6"/>
  </sheetPr>
  <dimension ref="A1:M161"/>
  <sheetViews>
    <sheetView zoomScale="130" zoomScaleNormal="130" zoomScaleSheetLayoutView="115" workbookViewId="0">
      <selection activeCell="A3" sqref="A3:H3"/>
    </sheetView>
  </sheetViews>
  <sheetFormatPr defaultRowHeight="15.75" x14ac:dyDescent="0.25"/>
  <cols>
    <col min="1" max="1" width="9" style="712" customWidth="1"/>
    <col min="2" max="2" width="67.1640625" style="712" bestFit="1" customWidth="1"/>
    <col min="3" max="3" width="16.5" style="720" customWidth="1"/>
    <col min="4" max="4" width="15.5" style="720" customWidth="1"/>
    <col min="5" max="7" width="15.5" style="720" hidden="1" customWidth="1"/>
    <col min="8" max="8" width="15.5" style="720" customWidth="1"/>
    <col min="9" max="9" width="14.33203125" style="711" hidden="1" customWidth="1"/>
    <col min="10" max="10" width="12.6640625" style="711" hidden="1" customWidth="1"/>
    <col min="11" max="11" width="14.33203125" style="711" hidden="1" customWidth="1"/>
    <col min="12" max="31" width="0" style="711" hidden="1" customWidth="1"/>
    <col min="32" max="16384" width="9.33203125" style="711"/>
  </cols>
  <sheetData>
    <row r="1" spans="1:13" x14ac:dyDescent="0.25">
      <c r="A1" s="1485" t="str">
        <f>CONCATENATE("36. melléklet"," ",ALAPADATOK!A7," ",ALAPADATOK!B7," ",ALAPADATOK!C7," ",ALAPADATOK!D7," ",ALAPADATOK!E7," ",ALAPADATOK!F7," ",ALAPADATOK!G7," ",ALAPADATOK!H7)</f>
        <v>36. melléklet a .. / 2022. ( ……. ) önkormányzati rendelethez</v>
      </c>
      <c r="B1" s="1485"/>
      <c r="C1" s="1485"/>
      <c r="D1" s="1485"/>
      <c r="E1" s="1485"/>
      <c r="F1" s="1485"/>
      <c r="G1" s="1485"/>
      <c r="H1" s="1485"/>
    </row>
    <row r="2" spans="1:13" x14ac:dyDescent="0.25">
      <c r="H2" s="1384" t="s">
        <v>1039</v>
      </c>
    </row>
    <row r="3" spans="1:13" ht="35.25" customHeight="1" x14ac:dyDescent="0.25">
      <c r="A3" s="1486" t="s">
        <v>1008</v>
      </c>
      <c r="B3" s="1487"/>
      <c r="C3" s="1487"/>
      <c r="D3" s="1487"/>
      <c r="E3" s="1487"/>
      <c r="F3" s="1487"/>
      <c r="G3" s="1487"/>
      <c r="H3" s="1487"/>
      <c r="M3" s="711" t="s">
        <v>753</v>
      </c>
    </row>
    <row r="5" spans="1:13" ht="15.95" customHeight="1" thickBot="1" x14ac:dyDescent="0.3">
      <c r="A5" s="1396" t="s">
        <v>925</v>
      </c>
      <c r="B5" s="1396"/>
      <c r="C5" s="1396"/>
      <c r="D5" s="1396"/>
      <c r="E5" s="1396"/>
      <c r="F5" s="1396"/>
      <c r="G5" s="1396"/>
      <c r="H5" s="1396"/>
    </row>
    <row r="6" spans="1:13" ht="38.1" customHeight="1" thickBot="1" x14ac:dyDescent="0.3">
      <c r="A6" s="20" t="s">
        <v>63</v>
      </c>
      <c r="B6" s="21" t="s">
        <v>15</v>
      </c>
      <c r="C6" s="944" t="s">
        <v>1010</v>
      </c>
      <c r="D6" s="944" t="s">
        <v>1009</v>
      </c>
      <c r="E6" s="956"/>
      <c r="F6" s="956"/>
      <c r="G6" s="956"/>
      <c r="H6" s="958" t="s">
        <v>959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45" t="s">
        <v>387</v>
      </c>
      <c r="D7" s="1346" t="s">
        <v>437</v>
      </c>
      <c r="E7" s="1347"/>
      <c r="F7" s="1347"/>
      <c r="G7" s="1347"/>
      <c r="H7" s="1348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50">
        <f>SUM(C9:C16)-C11</f>
        <v>1383953547</v>
      </c>
      <c r="D8" s="980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1984935258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90">
        <v>256986904</v>
      </c>
      <c r="D9" s="981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91">
        <v>250568625</v>
      </c>
      <c r="D10" s="982">
        <v>262755080</v>
      </c>
      <c r="E10" s="533">
        <v>218107294</v>
      </c>
      <c r="F10" s="534"/>
      <c r="G10" s="534"/>
      <c r="H10" s="1251">
        <f>'1. sz.mell. '!C13</f>
        <v>296342550</v>
      </c>
      <c r="I10" s="767">
        <v>235351616</v>
      </c>
      <c r="J10" s="767"/>
      <c r="K10" s="767"/>
    </row>
    <row r="11" spans="1:13" s="267" customFormat="1" ht="12" customHeight="1" x14ac:dyDescent="0.2">
      <c r="A11" s="11" t="s">
        <v>87</v>
      </c>
      <c r="B11" s="279" t="s">
        <v>182</v>
      </c>
      <c r="C11" s="991">
        <f>SUM(C12:C13)</f>
        <v>793973650</v>
      </c>
      <c r="D11" s="982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51">
        <f>'1. sz.mell. '!C14</f>
        <v>1010986711</v>
      </c>
      <c r="I11" s="767">
        <f>132342947+82528441+152850000+191583306+50232560+61299400+1796961+73694436</f>
        <v>746328051</v>
      </c>
      <c r="J11" s="767"/>
      <c r="K11" s="767"/>
    </row>
    <row r="12" spans="1:13" s="267" customFormat="1" ht="24" customHeight="1" x14ac:dyDescent="0.2">
      <c r="A12" s="11" t="s">
        <v>720</v>
      </c>
      <c r="B12" s="279" t="s">
        <v>723</v>
      </c>
      <c r="C12" s="991">
        <v>616722342</v>
      </c>
      <c r="D12" s="982">
        <v>640407443</v>
      </c>
      <c r="E12" s="533"/>
      <c r="F12" s="534"/>
      <c r="G12" s="534"/>
      <c r="H12" s="1251">
        <f>'1. sz.mell. '!C15</f>
        <v>739982052</v>
      </c>
      <c r="I12" s="767"/>
      <c r="J12" s="767"/>
      <c r="K12" s="767"/>
    </row>
    <row r="13" spans="1:13" s="267" customFormat="1" ht="12" customHeight="1" x14ac:dyDescent="0.2">
      <c r="A13" s="11" t="s">
        <v>721</v>
      </c>
      <c r="B13" s="279" t="s">
        <v>724</v>
      </c>
      <c r="C13" s="991">
        <v>177251308</v>
      </c>
      <c r="D13" s="982">
        <v>188548694</v>
      </c>
      <c r="E13" s="533"/>
      <c r="F13" s="534"/>
      <c r="G13" s="534"/>
      <c r="H13" s="1251">
        <f>'1. sz.mell. '!C16</f>
        <v>271004659</v>
      </c>
      <c r="I13" s="767"/>
      <c r="J13" s="767"/>
      <c r="K13" s="767"/>
    </row>
    <row r="14" spans="1:13" s="267" customFormat="1" ht="12" customHeight="1" x14ac:dyDescent="0.2">
      <c r="A14" s="11" t="s">
        <v>88</v>
      </c>
      <c r="B14" s="279" t="s">
        <v>183</v>
      </c>
      <c r="C14" s="991">
        <v>38970172</v>
      </c>
      <c r="D14" s="982">
        <v>42308416</v>
      </c>
      <c r="E14" s="533">
        <f>4412740+15262320+10629000</f>
        <v>30304060</v>
      </c>
      <c r="F14" s="534"/>
      <c r="G14" s="534"/>
      <c r="H14" s="1251">
        <f>'1. sz.mell. '!C17</f>
        <v>41287119</v>
      </c>
      <c r="I14" s="767">
        <f>4617241+15998620+12622000</f>
        <v>33237861</v>
      </c>
      <c r="J14" s="767"/>
      <c r="K14" s="767"/>
    </row>
    <row r="15" spans="1:13" s="267" customFormat="1" ht="12" customHeight="1" x14ac:dyDescent="0.2">
      <c r="A15" s="11" t="s">
        <v>111</v>
      </c>
      <c r="B15" s="379" t="s">
        <v>388</v>
      </c>
      <c r="C15" s="991">
        <v>43054095</v>
      </c>
      <c r="D15" s="982">
        <v>89874183</v>
      </c>
      <c r="E15" s="533">
        <f>3551000+1060845+168707597+58000+128000-119824582</f>
        <v>53680860</v>
      </c>
      <c r="F15" s="534"/>
      <c r="G15" s="534"/>
      <c r="H15" s="1251">
        <f>'1. sz.mell. '!C18</f>
        <v>335081987</v>
      </c>
      <c r="I15" s="767">
        <f>29417493+205313443</f>
        <v>234730936</v>
      </c>
      <c r="J15" s="767"/>
      <c r="K15" s="767"/>
    </row>
    <row r="16" spans="1:13" s="267" customFormat="1" ht="12" customHeight="1" thickBot="1" x14ac:dyDescent="0.25">
      <c r="A16" s="13" t="s">
        <v>89</v>
      </c>
      <c r="B16" s="380" t="s">
        <v>389</v>
      </c>
      <c r="C16" s="992">
        <v>400101</v>
      </c>
      <c r="D16" s="983">
        <v>1466064</v>
      </c>
      <c r="E16" s="535"/>
      <c r="F16" s="536"/>
      <c r="G16" s="536"/>
      <c r="H16" s="400">
        <f>'1. sz.mell. '!C19</f>
        <v>0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9">
        <f>SUM(C18:C22)</f>
        <v>218745160</v>
      </c>
      <c r="D17" s="984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270970091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90"/>
      <c r="D18" s="981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91"/>
      <c r="D19" s="982"/>
      <c r="E19" s="535"/>
      <c r="F19" s="536"/>
      <c r="G19" s="536"/>
      <c r="H19" s="1251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91"/>
      <c r="D20" s="982"/>
      <c r="E20" s="535"/>
      <c r="F20" s="536"/>
      <c r="G20" s="536"/>
      <c r="H20" s="1251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91"/>
      <c r="D21" s="982"/>
      <c r="E21" s="535"/>
      <c r="F21" s="536"/>
      <c r="G21" s="536"/>
      <c r="H21" s="1251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91">
        <v>218745160</v>
      </c>
      <c r="D22" s="982">
        <v>349462909</v>
      </c>
      <c r="E22" s="533">
        <f>2285000+210000+110446000+65342000-323735435</f>
        <v>-145452435</v>
      </c>
      <c r="F22" s="534"/>
      <c r="G22" s="534">
        <v>5485000</v>
      </c>
      <c r="H22" s="1251">
        <f>'1. sz.mell. '!C25</f>
        <v>270970091</v>
      </c>
      <c r="I22" s="768">
        <f>102792540+24250000+3975280+5670000+67037993</f>
        <v>203725813</v>
      </c>
      <c r="J22" s="767"/>
      <c r="K22" s="767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92">
        <v>80120703</v>
      </c>
      <c r="D23" s="983">
        <v>100718749</v>
      </c>
      <c r="E23" s="539"/>
      <c r="F23" s="540"/>
      <c r="G23" s="540"/>
      <c r="H23" s="400">
        <f>'1. sz.mell. '!C26</f>
        <v>56195378</v>
      </c>
      <c r="I23" s="769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9">
        <f>SUM(C25:C29)</f>
        <v>283396180</v>
      </c>
      <c r="D24" s="984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289683632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90">
        <v>34619116</v>
      </c>
      <c r="D25" s="981">
        <v>1315000000</v>
      </c>
      <c r="E25" s="541"/>
      <c r="F25" s="542"/>
      <c r="G25" s="542"/>
      <c r="H25" s="399">
        <f>'1. sz.mell. '!C28</f>
        <v>28773000</v>
      </c>
      <c r="I25" s="770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93"/>
      <c r="D26" s="985"/>
      <c r="E26" s="533"/>
      <c r="F26" s="534"/>
      <c r="G26" s="534"/>
      <c r="H26" s="402">
        <f>'1. sz.mell. '!C29</f>
        <v>0</v>
      </c>
      <c r="I26" s="768"/>
      <c r="J26" s="767"/>
      <c r="K26" s="767"/>
    </row>
    <row r="27" spans="1:11" s="267" customFormat="1" ht="12" customHeight="1" x14ac:dyDescent="0.2">
      <c r="A27" s="11" t="s">
        <v>76</v>
      </c>
      <c r="B27" s="279" t="s">
        <v>354</v>
      </c>
      <c r="C27" s="991"/>
      <c r="D27" s="982"/>
      <c r="E27" s="533"/>
      <c r="F27" s="534"/>
      <c r="G27" s="534"/>
      <c r="H27" s="1251">
        <f>'1. sz.mell. '!C30</f>
        <v>0</v>
      </c>
      <c r="I27" s="768"/>
      <c r="J27" s="767"/>
      <c r="K27" s="767"/>
    </row>
    <row r="28" spans="1:11" s="267" customFormat="1" ht="12" customHeight="1" x14ac:dyDescent="0.2">
      <c r="A28" s="11" t="s">
        <v>77</v>
      </c>
      <c r="B28" s="279" t="s">
        <v>355</v>
      </c>
      <c r="C28" s="991"/>
      <c r="D28" s="982"/>
      <c r="E28" s="533"/>
      <c r="F28" s="534"/>
      <c r="G28" s="534"/>
      <c r="H28" s="1251">
        <f>'1. sz.mell. '!C31</f>
        <v>0</v>
      </c>
      <c r="I28" s="768"/>
      <c r="J28" s="767"/>
      <c r="K28" s="767"/>
    </row>
    <row r="29" spans="1:11" s="267" customFormat="1" ht="12" customHeight="1" x14ac:dyDescent="0.2">
      <c r="A29" s="11" t="s">
        <v>122</v>
      </c>
      <c r="B29" s="279" t="s">
        <v>192</v>
      </c>
      <c r="C29" s="991">
        <v>248777064</v>
      </c>
      <c r="D29" s="982">
        <v>742307126</v>
      </c>
      <c r="E29" s="533">
        <f>3797300-15179276</f>
        <v>-11381976</v>
      </c>
      <c r="F29" s="534"/>
      <c r="G29" s="534"/>
      <c r="H29" s="1251">
        <f>'1. sz.mell. '!C32</f>
        <v>260910632</v>
      </c>
      <c r="I29" s="768">
        <f>5596040+25377271+3487179+47949076</f>
        <v>82409566</v>
      </c>
      <c r="J29" s="767"/>
      <c r="K29" s="767"/>
    </row>
    <row r="30" spans="1:11" s="267" customFormat="1" ht="12" customHeight="1" thickBot="1" x14ac:dyDescent="0.25">
      <c r="A30" s="13" t="s">
        <v>123</v>
      </c>
      <c r="B30" s="280" t="s">
        <v>193</v>
      </c>
      <c r="C30" s="992">
        <v>239136377</v>
      </c>
      <c r="D30" s="983">
        <v>71627578</v>
      </c>
      <c r="E30" s="539">
        <v>3797300</v>
      </c>
      <c r="F30" s="540"/>
      <c r="G30" s="540"/>
      <c r="H30" s="400">
        <f>'1. sz.mell. '!C33</f>
        <v>242049642</v>
      </c>
      <c r="I30" s="769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9">
        <f>C32+C35+C36+C37+C38</f>
        <v>318511494</v>
      </c>
      <c r="D31" s="984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391355000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8">
        <f>SUM(C33:C34)</f>
        <v>306301683</v>
      </c>
      <c r="D32" s="986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376555000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91">
        <v>83640757</v>
      </c>
      <c r="D33" s="982">
        <v>91977110</v>
      </c>
      <c r="E33" s="535">
        <f>8990000+70000000</f>
        <v>78990000</v>
      </c>
      <c r="F33" s="536"/>
      <c r="G33" s="536"/>
      <c r="H33" s="1251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91">
        <v>222660926</v>
      </c>
      <c r="D34" s="982">
        <v>262110522</v>
      </c>
      <c r="E34" s="535">
        <f>203840000+10000000</f>
        <v>213840000</v>
      </c>
      <c r="F34" s="536"/>
      <c r="G34" s="536"/>
      <c r="H34" s="285">
        <f>'1. sz.mell. '!C37</f>
        <v>286055000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91">
        <v>914</v>
      </c>
      <c r="D35" s="982">
        <v>1</v>
      </c>
      <c r="E35" s="533"/>
      <c r="F35" s="534"/>
      <c r="G35" s="534"/>
      <c r="H35" s="285">
        <f>'1. sz.mell. '!C38</f>
        <v>0</v>
      </c>
      <c r="I35" s="768"/>
      <c r="J35" s="767"/>
      <c r="K35" s="767"/>
    </row>
    <row r="36" spans="1:11" s="267" customFormat="1" ht="12" customHeight="1" x14ac:dyDescent="0.2">
      <c r="A36" s="11" t="s">
        <v>473</v>
      </c>
      <c r="B36" s="279" t="s">
        <v>202</v>
      </c>
      <c r="C36" s="991">
        <v>0</v>
      </c>
      <c r="D36" s="982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91">
        <v>194100</v>
      </c>
      <c r="D37" s="982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92">
        <v>12014797</v>
      </c>
      <c r="D38" s="983">
        <v>13613287</v>
      </c>
      <c r="E38" s="539">
        <v>5500000</v>
      </c>
      <c r="F38" s="540"/>
      <c r="G38" s="540"/>
      <c r="H38" s="400">
        <f>'1. sz.mell. '!C40</f>
        <v>14800000</v>
      </c>
      <c r="I38" s="769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9">
        <f>SUM(C40:C50)</f>
        <v>334062033</v>
      </c>
      <c r="D39" s="984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338531351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90">
        <v>8209247</v>
      </c>
      <c r="D40" s="981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70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91">
        <v>69205220</v>
      </c>
      <c r="D41" s="982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51">
        <f>'1. sz.mell. '!C43</f>
        <v>48514937</v>
      </c>
      <c r="I41" s="768">
        <f>15901900+787402+500000</f>
        <v>17189302</v>
      </c>
      <c r="J41" s="767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91">
        <v>17680191</v>
      </c>
      <c r="D42" s="982">
        <v>27216666</v>
      </c>
      <c r="E42" s="533">
        <f>8458000+947000</f>
        <v>9405000</v>
      </c>
      <c r="F42" s="534">
        <v>500000</v>
      </c>
      <c r="G42" s="532">
        <v>85718340</v>
      </c>
      <c r="H42" s="1251">
        <f>'1. sz.mell. '!C44</f>
        <v>34326827</v>
      </c>
      <c r="I42" s="768">
        <f>20000+6000000+700000+1000000+1109692</f>
        <v>8829692</v>
      </c>
      <c r="J42" s="767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91">
        <v>3774152</v>
      </c>
      <c r="D43" s="982">
        <v>6598332</v>
      </c>
      <c r="E43" s="533">
        <f>430000</f>
        <v>430000</v>
      </c>
      <c r="F43" s="534"/>
      <c r="G43" s="532"/>
      <c r="H43" s="1251">
        <f>'1. sz.mell. '!C45</f>
        <v>9500000</v>
      </c>
      <c r="I43" s="768">
        <f>440000+300000</f>
        <v>740000</v>
      </c>
      <c r="J43" s="767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91">
        <v>176293968</v>
      </c>
      <c r="D44" s="982">
        <v>170792469</v>
      </c>
      <c r="E44" s="533"/>
      <c r="F44" s="534"/>
      <c r="G44" s="532">
        <f>182811402-4572000</f>
        <v>178239402</v>
      </c>
      <c r="H44" s="1251">
        <f>'1. sz.mell. '!C46</f>
        <v>186164431</v>
      </c>
      <c r="I44" s="768"/>
      <c r="J44" s="767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91">
        <v>20117811</v>
      </c>
      <c r="D45" s="982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51">
        <f>'1. sz.mell. '!C47</f>
        <v>23916940</v>
      </c>
      <c r="I45" s="768">
        <f>5400+1993957+12052638+212598+189000+2801434+333450+135000</f>
        <v>17723477</v>
      </c>
      <c r="J45" s="767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91">
        <v>2550000</v>
      </c>
      <c r="D46" s="982">
        <v>8473000</v>
      </c>
      <c r="E46" s="533"/>
      <c r="F46" s="534"/>
      <c r="G46" s="532">
        <v>21034000</v>
      </c>
      <c r="H46" s="1251">
        <f>'1. sz.mell. '!C48</f>
        <v>31678717</v>
      </c>
      <c r="I46" s="768"/>
      <c r="J46" s="767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91">
        <v>153</v>
      </c>
      <c r="D47" s="982">
        <v>5910</v>
      </c>
      <c r="E47" s="533">
        <v>30000</v>
      </c>
      <c r="F47" s="534"/>
      <c r="G47" s="532">
        <v>10000</v>
      </c>
      <c r="H47" s="1251">
        <f>'1. sz.mell. '!C49</f>
        <v>0</v>
      </c>
      <c r="I47" s="768"/>
      <c r="J47" s="767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91"/>
      <c r="D48" s="982"/>
      <c r="E48" s="533"/>
      <c r="F48" s="534"/>
      <c r="G48" s="532"/>
      <c r="H48" s="1251">
        <f>'1. sz.mell. '!C50</f>
        <v>0</v>
      </c>
      <c r="I48" s="768"/>
      <c r="J48" s="767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91">
        <v>1278624</v>
      </c>
      <c r="D49" s="982">
        <v>17361516</v>
      </c>
      <c r="E49" s="539">
        <f>500000</f>
        <v>500000</v>
      </c>
      <c r="F49" s="540"/>
      <c r="G49" s="532"/>
      <c r="H49" s="1251">
        <f>'1. sz.mell. '!C51</f>
        <v>0</v>
      </c>
      <c r="I49" s="769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92">
        <v>34952667</v>
      </c>
      <c r="D50" s="983">
        <v>6503776</v>
      </c>
      <c r="E50" s="539">
        <f>704000</f>
        <v>704000</v>
      </c>
      <c r="F50" s="540">
        <v>100000</v>
      </c>
      <c r="G50" s="532"/>
      <c r="H50" s="400">
        <f>'1. sz.mell. '!C52</f>
        <v>4429499</v>
      </c>
      <c r="I50" s="769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9">
        <f>SUM(C52:C56)</f>
        <v>8433198</v>
      </c>
      <c r="D51" s="984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94"/>
      <c r="D52" s="987"/>
      <c r="E52" s="531"/>
      <c r="F52" s="532"/>
      <c r="G52" s="532"/>
      <c r="H52" s="401">
        <f>'1. sz.mell. '!C54</f>
        <v>0</v>
      </c>
      <c r="I52" s="770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91">
        <v>8058657</v>
      </c>
      <c r="D53" s="982">
        <v>23960843</v>
      </c>
      <c r="E53" s="533">
        <f>25179000</f>
        <v>25179000</v>
      </c>
      <c r="F53" s="534"/>
      <c r="G53" s="534"/>
      <c r="H53" s="1251">
        <f>'1. sz.mell. '!C55</f>
        <v>48000000</v>
      </c>
      <c r="I53" s="768">
        <f>21787500</f>
        <v>21787500</v>
      </c>
      <c r="J53" s="767"/>
      <c r="K53" s="767"/>
    </row>
    <row r="54" spans="1:11" s="267" customFormat="1" ht="12" customHeight="1" x14ac:dyDescent="0.2">
      <c r="A54" s="11" t="s">
        <v>218</v>
      </c>
      <c r="B54" s="279" t="s">
        <v>223</v>
      </c>
      <c r="C54" s="991">
        <v>44541</v>
      </c>
      <c r="D54" s="982">
        <v>54283</v>
      </c>
      <c r="E54" s="533"/>
      <c r="F54" s="534"/>
      <c r="G54" s="534"/>
      <c r="H54" s="1251">
        <f>'1. sz.mell. '!C56</f>
        <v>0</v>
      </c>
      <c r="I54" s="768"/>
      <c r="J54" s="767">
        <f>300000</f>
        <v>300000</v>
      </c>
      <c r="K54" s="767"/>
    </row>
    <row r="55" spans="1:11" s="267" customFormat="1" ht="12" customHeight="1" x14ac:dyDescent="0.2">
      <c r="A55" s="11" t="s">
        <v>219</v>
      </c>
      <c r="B55" s="279" t="s">
        <v>224</v>
      </c>
      <c r="C55" s="991"/>
      <c r="D55" s="982"/>
      <c r="E55" s="533"/>
      <c r="F55" s="534"/>
      <c r="G55" s="534"/>
      <c r="H55" s="1251">
        <f>'1. sz.mell. '!C57</f>
        <v>0</v>
      </c>
      <c r="I55" s="768"/>
      <c r="J55" s="767"/>
      <c r="K55" s="767"/>
    </row>
    <row r="56" spans="1:11" s="267" customFormat="1" ht="12" customHeight="1" thickBot="1" x14ac:dyDescent="0.25">
      <c r="A56" s="13" t="s">
        <v>220</v>
      </c>
      <c r="B56" s="380" t="s">
        <v>225</v>
      </c>
      <c r="C56" s="992">
        <v>330000</v>
      </c>
      <c r="D56" s="983">
        <v>0</v>
      </c>
      <c r="E56" s="539"/>
      <c r="F56" s="540"/>
      <c r="G56" s="540"/>
      <c r="H56" s="403">
        <f>'1. sz.mell. '!C58</f>
        <v>0</v>
      </c>
      <c r="I56" s="769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9">
        <f>SUM(C58:C60)</f>
        <v>2494416</v>
      </c>
      <c r="D57" s="984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1200000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95"/>
      <c r="D58" s="1352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91">
        <v>540368</v>
      </c>
      <c r="D59" s="982">
        <v>431905</v>
      </c>
      <c r="E59" s="533">
        <f>383000+1566000</f>
        <v>1949000</v>
      </c>
      <c r="F59" s="534"/>
      <c r="G59" s="534"/>
      <c r="H59" s="1251">
        <f>'1. sz.mell. '!C61</f>
        <v>200000</v>
      </c>
      <c r="I59" s="768">
        <f>480000</f>
        <v>480000</v>
      </c>
      <c r="J59" s="767"/>
      <c r="K59" s="767"/>
    </row>
    <row r="60" spans="1:11" s="267" customFormat="1" ht="12" customHeight="1" x14ac:dyDescent="0.2">
      <c r="A60" s="11" t="s">
        <v>230</v>
      </c>
      <c r="B60" s="279" t="s">
        <v>228</v>
      </c>
      <c r="C60" s="991">
        <v>1954048</v>
      </c>
      <c r="D60" s="982">
        <v>13916876</v>
      </c>
      <c r="E60" s="533">
        <f>4075000+140433</f>
        <v>4215433</v>
      </c>
      <c r="F60" s="534"/>
      <c r="G60" s="534"/>
      <c r="H60" s="1251">
        <f>'1. sz.mell. '!C62</f>
        <v>0</v>
      </c>
      <c r="I60" s="768">
        <f>950000</f>
        <v>950000</v>
      </c>
      <c r="J60" s="767"/>
      <c r="K60" s="767"/>
    </row>
    <row r="61" spans="1:11" s="267" customFormat="1" ht="12" customHeight="1" thickBot="1" x14ac:dyDescent="0.25">
      <c r="A61" s="13" t="s">
        <v>231</v>
      </c>
      <c r="B61" s="380" t="s">
        <v>229</v>
      </c>
      <c r="C61" s="992"/>
      <c r="D61" s="983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9">
        <f>SUM(C63:C65)</f>
        <v>11510400</v>
      </c>
      <c r="D62" s="984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94"/>
      <c r="D63" s="987"/>
      <c r="E63" s="533"/>
      <c r="F63" s="534"/>
      <c r="G63" s="534"/>
      <c r="H63" s="401">
        <f>'1. sz.mell. '!C65</f>
        <v>0</v>
      </c>
      <c r="I63" s="768"/>
      <c r="J63" s="767"/>
      <c r="K63" s="767"/>
    </row>
    <row r="64" spans="1:11" s="267" customFormat="1" ht="12" customHeight="1" x14ac:dyDescent="0.2">
      <c r="A64" s="11" t="s">
        <v>133</v>
      </c>
      <c r="B64" s="279" t="s">
        <v>357</v>
      </c>
      <c r="C64" s="993"/>
      <c r="D64" s="985"/>
      <c r="E64" s="533"/>
      <c r="F64" s="534"/>
      <c r="G64" s="534"/>
      <c r="H64" s="402">
        <f>'1. sz.mell. '!C66</f>
        <v>0</v>
      </c>
      <c r="I64" s="768"/>
      <c r="J64" s="767"/>
      <c r="K64" s="767"/>
    </row>
    <row r="65" spans="1:11" s="267" customFormat="1" ht="12" customHeight="1" x14ac:dyDescent="0.2">
      <c r="A65" s="11" t="s">
        <v>158</v>
      </c>
      <c r="B65" s="279" t="s">
        <v>235</v>
      </c>
      <c r="C65" s="991">
        <v>11510400</v>
      </c>
      <c r="D65" s="982">
        <v>250000</v>
      </c>
      <c r="E65" s="533"/>
      <c r="F65" s="534"/>
      <c r="G65" s="534"/>
      <c r="H65" s="402">
        <f>'1. sz.mell. '!C67</f>
        <v>0</v>
      </c>
      <c r="I65" s="768"/>
      <c r="J65" s="767"/>
      <c r="K65" s="767"/>
    </row>
    <row r="66" spans="1:11" s="267" customFormat="1" ht="12" customHeight="1" thickBot="1" x14ac:dyDescent="0.25">
      <c r="A66" s="13" t="s">
        <v>233</v>
      </c>
      <c r="B66" s="380" t="s">
        <v>236</v>
      </c>
      <c r="C66" s="992">
        <v>5060400</v>
      </c>
      <c r="D66" s="983">
        <v>0</v>
      </c>
      <c r="E66" s="533"/>
      <c r="F66" s="534"/>
      <c r="G66" s="534"/>
      <c r="H66" s="403">
        <f>'1. sz.mell. '!C68</f>
        <v>0</v>
      </c>
      <c r="I66" s="768"/>
      <c r="J66" s="767"/>
      <c r="K66" s="767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3324675332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90">
        <v>21319241</v>
      </c>
      <c r="D69" s="981">
        <v>11502781</v>
      </c>
      <c r="E69" s="533">
        <v>44100000</v>
      </c>
      <c r="F69" s="534"/>
      <c r="G69" s="534"/>
      <c r="H69" s="399">
        <f>'1. sz.mell. '!C71</f>
        <v>187733250</v>
      </c>
      <c r="I69" s="768">
        <f>69269106</f>
        <v>69269106</v>
      </c>
      <c r="J69" s="767"/>
      <c r="K69" s="767"/>
    </row>
    <row r="70" spans="1:11" s="267" customFormat="1" ht="12" customHeight="1" x14ac:dyDescent="0.2">
      <c r="A70" s="11" t="s">
        <v>279</v>
      </c>
      <c r="B70" s="279" t="s">
        <v>241</v>
      </c>
      <c r="C70" s="991">
        <v>821155240</v>
      </c>
      <c r="D70" s="982">
        <v>1003497787</v>
      </c>
      <c r="E70" s="533">
        <v>100000000</v>
      </c>
      <c r="F70" s="534"/>
      <c r="G70" s="534"/>
      <c r="H70" s="1251">
        <f>'1. sz.mell. '!C72</f>
        <v>1000000000</v>
      </c>
      <c r="I70" s="768">
        <v>100000000</v>
      </c>
      <c r="J70" s="767"/>
      <c r="K70" s="767"/>
    </row>
    <row r="71" spans="1:11" s="267" customFormat="1" ht="12" customHeight="1" thickBot="1" x14ac:dyDescent="0.25">
      <c r="A71" s="13" t="s">
        <v>280</v>
      </c>
      <c r="B71" s="382" t="s">
        <v>394</v>
      </c>
      <c r="C71" s="996"/>
      <c r="D71" s="988"/>
      <c r="E71" s="533"/>
      <c r="F71" s="534"/>
      <c r="G71" s="534"/>
      <c r="H71" s="403">
        <f>'1. sz.mell. '!C73</f>
        <v>0</v>
      </c>
      <c r="I71" s="768"/>
      <c r="J71" s="767"/>
      <c r="K71" s="767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89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94"/>
      <c r="D73" s="987"/>
      <c r="E73" s="533"/>
      <c r="F73" s="534"/>
      <c r="G73" s="534"/>
      <c r="H73" s="401">
        <f>'1. sz.mell. '!C75</f>
        <v>0</v>
      </c>
      <c r="I73" s="768"/>
      <c r="J73" s="767"/>
      <c r="K73" s="767"/>
    </row>
    <row r="74" spans="1:11" s="267" customFormat="1" ht="17.25" customHeight="1" x14ac:dyDescent="0.2">
      <c r="A74" s="11" t="s">
        <v>113</v>
      </c>
      <c r="B74" s="279" t="s">
        <v>246</v>
      </c>
      <c r="C74" s="993"/>
      <c r="D74" s="985"/>
      <c r="E74" s="533"/>
      <c r="F74" s="534"/>
      <c r="G74" s="534"/>
      <c r="H74" s="402">
        <f>'1. sz.mell. '!C76</f>
        <v>0</v>
      </c>
      <c r="I74" s="768"/>
      <c r="J74" s="767"/>
      <c r="K74" s="767"/>
    </row>
    <row r="75" spans="1:11" s="267" customFormat="1" ht="12" customHeight="1" x14ac:dyDescent="0.2">
      <c r="A75" s="11" t="s">
        <v>271</v>
      </c>
      <c r="B75" s="279" t="s">
        <v>247</v>
      </c>
      <c r="C75" s="993"/>
      <c r="D75" s="985"/>
      <c r="E75" s="533"/>
      <c r="F75" s="534"/>
      <c r="G75" s="534"/>
      <c r="H75" s="402">
        <f>'1. sz.mell. '!C77</f>
        <v>0</v>
      </c>
      <c r="I75" s="768"/>
      <c r="J75" s="767"/>
      <c r="K75" s="767"/>
    </row>
    <row r="76" spans="1:11" s="267" customFormat="1" ht="12" customHeight="1" thickBot="1" x14ac:dyDescent="0.25">
      <c r="A76" s="13" t="s">
        <v>272</v>
      </c>
      <c r="B76" s="380" t="s">
        <v>248</v>
      </c>
      <c r="C76" s="996"/>
      <c r="D76" s="988"/>
      <c r="E76" s="533"/>
      <c r="F76" s="534"/>
      <c r="G76" s="534"/>
      <c r="H76" s="403">
        <f>'1. sz.mell. '!C78</f>
        <v>0</v>
      </c>
      <c r="I76" s="768"/>
      <c r="J76" s="767"/>
      <c r="K76" s="767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2438020994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90">
        <v>933051850</v>
      </c>
      <c r="D78" s="981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2438020994</v>
      </c>
      <c r="I78" s="768">
        <f>346583469</f>
        <v>346583469</v>
      </c>
      <c r="J78" s="767">
        <f>829764</f>
        <v>829764</v>
      </c>
      <c r="K78" s="767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96"/>
      <c r="D79" s="988"/>
      <c r="E79" s="533"/>
      <c r="F79" s="534"/>
      <c r="G79" s="534"/>
      <c r="H79" s="403">
        <f>'1. sz.mell. '!C81</f>
        <v>0</v>
      </c>
      <c r="I79" s="768"/>
      <c r="J79" s="767"/>
      <c r="K79" s="767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90">
        <v>48966750</v>
      </c>
      <c r="D81" s="981">
        <v>55076107</v>
      </c>
      <c r="E81" s="533"/>
      <c r="F81" s="534"/>
      <c r="G81" s="534"/>
      <c r="H81" s="401">
        <f>'1. sz.mell. '!C83</f>
        <v>55076107</v>
      </c>
      <c r="I81" s="768"/>
      <c r="J81" s="767"/>
      <c r="K81" s="767"/>
    </row>
    <row r="82" spans="1:11" s="267" customFormat="1" ht="12" customHeight="1" x14ac:dyDescent="0.2">
      <c r="A82" s="11" t="s">
        <v>276</v>
      </c>
      <c r="B82" s="279" t="s">
        <v>256</v>
      </c>
      <c r="C82" s="993"/>
      <c r="D82" s="985"/>
      <c r="E82" s="533"/>
      <c r="F82" s="534"/>
      <c r="G82" s="534"/>
      <c r="H82" s="402">
        <f>'1. sz.mell. '!C84</f>
        <v>0</v>
      </c>
      <c r="I82" s="768"/>
      <c r="J82" s="767"/>
      <c r="K82" s="767"/>
    </row>
    <row r="83" spans="1:11" s="267" customFormat="1" ht="12" customHeight="1" thickBot="1" x14ac:dyDescent="0.25">
      <c r="A83" s="13" t="s">
        <v>277</v>
      </c>
      <c r="B83" s="380" t="s">
        <v>257</v>
      </c>
      <c r="C83" s="996"/>
      <c r="D83" s="988"/>
      <c r="E83" s="533"/>
      <c r="F83" s="534"/>
      <c r="G83" s="534"/>
      <c r="H83" s="403">
        <f>'1. sz.mell. '!C85</f>
        <v>0</v>
      </c>
      <c r="I83" s="768"/>
      <c r="J83" s="767"/>
      <c r="K83" s="767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89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94"/>
      <c r="D85" s="987"/>
      <c r="E85" s="533"/>
      <c r="F85" s="534"/>
      <c r="G85" s="534"/>
      <c r="H85" s="401">
        <f>'1. sz.mell. '!C87</f>
        <v>0</v>
      </c>
      <c r="I85" s="768"/>
      <c r="J85" s="767"/>
      <c r="K85" s="767"/>
    </row>
    <row r="86" spans="1:11" s="267" customFormat="1" ht="12" customHeight="1" x14ac:dyDescent="0.2">
      <c r="A86" s="189" t="s">
        <v>261</v>
      </c>
      <c r="B86" s="279" t="s">
        <v>262</v>
      </c>
      <c r="C86" s="993"/>
      <c r="D86" s="985"/>
      <c r="E86" s="533"/>
      <c r="F86" s="534"/>
      <c r="G86" s="534"/>
      <c r="H86" s="402">
        <f>'1. sz.mell. '!C88</f>
        <v>0</v>
      </c>
      <c r="I86" s="768"/>
      <c r="J86" s="767"/>
      <c r="K86" s="767"/>
    </row>
    <row r="87" spans="1:11" s="267" customFormat="1" ht="12" customHeight="1" x14ac:dyDescent="0.2">
      <c r="A87" s="189" t="s">
        <v>263</v>
      </c>
      <c r="B87" s="279" t="s">
        <v>264</v>
      </c>
      <c r="C87" s="993"/>
      <c r="D87" s="985"/>
      <c r="E87" s="533"/>
      <c r="F87" s="534"/>
      <c r="G87" s="534"/>
      <c r="H87" s="402">
        <f>'1. sz.mell. '!C89</f>
        <v>0</v>
      </c>
      <c r="I87" s="768"/>
      <c r="J87" s="767"/>
      <c r="K87" s="767"/>
    </row>
    <row r="88" spans="1:11" s="267" customFormat="1" ht="12" customHeight="1" thickBot="1" x14ac:dyDescent="0.25">
      <c r="A88" s="190" t="s">
        <v>265</v>
      </c>
      <c r="B88" s="380" t="s">
        <v>266</v>
      </c>
      <c r="C88" s="996"/>
      <c r="D88" s="988"/>
      <c r="E88" s="533"/>
      <c r="F88" s="534"/>
      <c r="G88" s="534"/>
      <c r="H88" s="403">
        <f>'1. sz.mell. '!C90</f>
        <v>0</v>
      </c>
      <c r="I88" s="768"/>
      <c r="J88" s="767"/>
      <c r="K88" s="767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3680830351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7005505683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396" t="s">
        <v>44</v>
      </c>
      <c r="B93" s="1396"/>
      <c r="C93" s="1396"/>
      <c r="D93" s="1396"/>
      <c r="E93" s="1396"/>
      <c r="F93" s="1396"/>
      <c r="G93" s="1396"/>
      <c r="H93" s="1396"/>
    </row>
    <row r="94" spans="1:11" s="267" customFormat="1" ht="36.75" customHeight="1" thickBot="1" x14ac:dyDescent="0.25">
      <c r="A94" s="20" t="s">
        <v>14</v>
      </c>
      <c r="B94" s="396" t="s">
        <v>45</v>
      </c>
      <c r="C94" s="1351" t="str">
        <f t="shared" ref="C94:H94" si="0">C6</f>
        <v>2020. évi tény</v>
      </c>
      <c r="D94" s="944" t="str">
        <f t="shared" si="0"/>
        <v>2021. évi várható adat</v>
      </c>
      <c r="E94" s="944">
        <f t="shared" si="0"/>
        <v>0</v>
      </c>
      <c r="F94" s="944">
        <f t="shared" si="0"/>
        <v>0</v>
      </c>
      <c r="G94" s="944">
        <f t="shared" si="0"/>
        <v>0</v>
      </c>
      <c r="H94" s="958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42">
        <f>SUM(C97:C101,C114)</f>
        <v>2234422838</v>
      </c>
      <c r="D96" s="942">
        <f>SUM(D97:D101,D114)</f>
        <v>2386975064</v>
      </c>
      <c r="E96" s="951"/>
      <c r="F96" s="953"/>
      <c r="G96" s="942"/>
      <c r="H96" s="960">
        <f>'1. sz.mell. '!C99</f>
        <v>3251433446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99">
        <v>1107374684</v>
      </c>
      <c r="D97" s="945">
        <v>1161174126</v>
      </c>
      <c r="E97" s="957"/>
      <c r="F97" s="961"/>
      <c r="G97" s="961"/>
      <c r="H97" s="969">
        <f>'1. sz.mell. '!C100</f>
        <v>1410952696</v>
      </c>
      <c r="I97" s="771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97">
        <v>200144461</v>
      </c>
      <c r="D98" s="967">
        <v>193253575</v>
      </c>
      <c r="E98" s="962"/>
      <c r="F98" s="968"/>
      <c r="G98" s="968"/>
      <c r="H98" s="969">
        <f>'1. sz.mell. '!C101</f>
        <v>202791912</v>
      </c>
      <c r="I98" s="768">
        <f>4364055+1409889+7817+2684650+14227+10944+444000+1007723</f>
        <v>9943305</v>
      </c>
      <c r="J98" s="767">
        <f>30406649+133681+815187</f>
        <v>31355517</v>
      </c>
      <c r="K98" s="767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97">
        <v>742294097</v>
      </c>
      <c r="D99" s="967">
        <v>781923489</v>
      </c>
      <c r="E99" s="965"/>
      <c r="F99" s="943"/>
      <c r="G99" s="968"/>
      <c r="H99" s="969">
        <f>'1. sz.mell. '!C102</f>
        <v>1267136777</v>
      </c>
      <c r="I99" s="76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7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97">
        <v>46911174</v>
      </c>
      <c r="D100" s="967">
        <v>37424380</v>
      </c>
      <c r="E100" s="965"/>
      <c r="F100" s="943"/>
      <c r="G100" s="943"/>
      <c r="H100" s="969">
        <v>37424380</v>
      </c>
      <c r="I100" s="769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38">
        <f>SUM(C102:C113)</f>
        <v>137698422</v>
      </c>
      <c r="D101" s="938">
        <f>SUM(D102:D113)</f>
        <v>213199494</v>
      </c>
      <c r="E101" s="938">
        <f>SUM(E102:E113)</f>
        <v>0</v>
      </c>
      <c r="F101" s="938">
        <f>SUM(F102:F113)</f>
        <v>0</v>
      </c>
      <c r="G101" s="938">
        <f>SUM(G102:G113)</f>
        <v>0</v>
      </c>
      <c r="H101" s="938">
        <f>'1. sz.mell. '!C104</f>
        <v>196331548</v>
      </c>
      <c r="I101" s="769">
        <f>SUM(I102:I113)</f>
        <v>219979003</v>
      </c>
      <c r="J101" s="769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97">
        <v>792176</v>
      </c>
      <c r="D102" s="967">
        <v>17102997</v>
      </c>
      <c r="E102" s="965"/>
      <c r="F102" s="943"/>
      <c r="G102" s="943"/>
      <c r="H102" s="969">
        <f>'1. sz.mell. '!C105</f>
        <v>0</v>
      </c>
      <c r="I102" s="769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97"/>
      <c r="D103" s="967">
        <v>24566831</v>
      </c>
      <c r="E103" s="965"/>
      <c r="F103" s="943"/>
      <c r="G103" s="943"/>
      <c r="H103" s="969">
        <f>'1. sz.mell. '!C106</f>
        <v>5091319</v>
      </c>
      <c r="I103" s="769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97"/>
      <c r="D104" s="967"/>
      <c r="E104" s="965"/>
      <c r="F104" s="943"/>
      <c r="G104" s="943"/>
      <c r="H104" s="969">
        <f>'1. sz.mell. '!C107</f>
        <v>0</v>
      </c>
      <c r="I104" s="769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97"/>
      <c r="D105" s="967"/>
      <c r="E105" s="965"/>
      <c r="F105" s="943"/>
      <c r="G105" s="943"/>
      <c r="H105" s="969">
        <f>'1. sz.mell. '!C108</f>
        <v>0</v>
      </c>
      <c r="I105" s="769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97"/>
      <c r="D106" s="967"/>
      <c r="E106" s="965"/>
      <c r="F106" s="943"/>
      <c r="G106" s="943"/>
      <c r="H106" s="969">
        <f>'1. sz.mell. '!C109</f>
        <v>0</v>
      </c>
      <c r="I106" s="769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97"/>
      <c r="D107" s="967"/>
      <c r="E107" s="965"/>
      <c r="F107" s="943"/>
      <c r="G107" s="943"/>
      <c r="H107" s="969">
        <f>'1. sz.mell. '!C110</f>
        <v>0</v>
      </c>
      <c r="I107" s="769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97">
        <v>1352500</v>
      </c>
      <c r="D108" s="967">
        <v>574972</v>
      </c>
      <c r="E108" s="965"/>
      <c r="F108" s="943"/>
      <c r="G108" s="943"/>
      <c r="H108" s="969">
        <f>'1. sz.mell. '!C111</f>
        <v>636000</v>
      </c>
      <c r="I108" s="769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97"/>
      <c r="D109" s="967"/>
      <c r="E109" s="965"/>
      <c r="F109" s="943"/>
      <c r="G109" s="943"/>
      <c r="H109" s="969">
        <f>'1. sz.mell. '!C112</f>
        <v>0</v>
      </c>
      <c r="I109" s="769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97"/>
      <c r="D110" s="967"/>
      <c r="E110" s="965"/>
      <c r="F110" s="943"/>
      <c r="G110" s="943"/>
      <c r="H110" s="969">
        <f>'1. sz.mell. '!C113</f>
        <v>0</v>
      </c>
      <c r="I110" s="769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97"/>
      <c r="D111" s="967"/>
      <c r="E111" s="965"/>
      <c r="F111" s="943"/>
      <c r="G111" s="943"/>
      <c r="H111" s="969">
        <f>'1. sz.mell. '!C114</f>
        <v>0</v>
      </c>
      <c r="I111" s="769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97"/>
      <c r="D112" s="967"/>
      <c r="E112" s="965"/>
      <c r="F112" s="943"/>
      <c r="G112" s="943"/>
      <c r="H112" s="969">
        <f>'1. sz.mell. '!C115</f>
        <v>0</v>
      </c>
      <c r="I112" s="769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97">
        <v>135553746</v>
      </c>
      <c r="D113" s="967">
        <v>170954694</v>
      </c>
      <c r="E113" s="962"/>
      <c r="F113" s="968"/>
      <c r="G113" s="943"/>
      <c r="H113" s="969">
        <v>213199494</v>
      </c>
      <c r="I113" s="768">
        <f>1000000+47869145+6604733+15489215+46984511+23326783+69312000+7332000+1437616</f>
        <v>219356003</v>
      </c>
      <c r="J113" s="767"/>
      <c r="K113" s="173"/>
    </row>
    <row r="114" spans="1:11" ht="12" customHeight="1" x14ac:dyDescent="0.25">
      <c r="A114" s="11" t="s">
        <v>404</v>
      </c>
      <c r="B114" s="390" t="s">
        <v>47</v>
      </c>
      <c r="C114" s="997"/>
      <c r="D114" s="967"/>
      <c r="E114" s="962"/>
      <c r="F114" s="968"/>
      <c r="G114" s="968"/>
      <c r="H114" s="969">
        <f>'1. sz.mell. '!C117</f>
        <v>130420513</v>
      </c>
      <c r="I114" s="768">
        <f>SUM(I115:I116)</f>
        <v>78390965</v>
      </c>
      <c r="J114" s="768">
        <f>SUM(J115:J116)</f>
        <v>0</v>
      </c>
      <c r="K114" s="767"/>
    </row>
    <row r="115" spans="1:11" ht="12" customHeight="1" x14ac:dyDescent="0.25">
      <c r="A115" s="11" t="s">
        <v>405</v>
      </c>
      <c r="B115" s="387" t="s">
        <v>406</v>
      </c>
      <c r="C115" s="997"/>
      <c r="D115" s="967"/>
      <c r="E115" s="965"/>
      <c r="F115" s="943"/>
      <c r="G115" s="968"/>
      <c r="H115" s="969">
        <f>'1. sz.mell. '!C118</f>
        <v>10000000</v>
      </c>
      <c r="I115" s="769">
        <v>15000000</v>
      </c>
      <c r="J115" s="173"/>
      <c r="K115" s="767"/>
    </row>
    <row r="116" spans="1:11" ht="12" customHeight="1" thickBot="1" x14ac:dyDescent="0.3">
      <c r="A116" s="15" t="s">
        <v>407</v>
      </c>
      <c r="B116" s="391" t="s">
        <v>408</v>
      </c>
      <c r="C116" s="998"/>
      <c r="D116" s="959"/>
      <c r="E116" s="946"/>
      <c r="F116" s="964"/>
      <c r="G116" s="964"/>
      <c r="H116" s="969">
        <f>'1. sz.mell. '!C119</f>
        <v>120420513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42">
        <f>C118+C120+C122</f>
        <v>401828104</v>
      </c>
      <c r="D117" s="942">
        <f>D118+D120+D122</f>
        <v>564129676</v>
      </c>
      <c r="E117" s="940"/>
      <c r="F117" s="947"/>
      <c r="G117" s="966"/>
      <c r="H117" s="963">
        <f>'1. sz.mell. '!C120</f>
        <v>2676267834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99">
        <v>223119190</v>
      </c>
      <c r="D118" s="945">
        <v>274821481</v>
      </c>
      <c r="E118" s="941"/>
      <c r="F118" s="954"/>
      <c r="G118" s="954"/>
      <c r="H118" s="969">
        <f>'1. sz.mell. '!C121</f>
        <v>739545060</v>
      </c>
      <c r="I118" s="770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97"/>
      <c r="D119" s="967"/>
      <c r="E119" s="941"/>
      <c r="F119" s="954"/>
      <c r="G119" s="954"/>
      <c r="H119" s="969">
        <f>'1. sz.mell. '!C122</f>
        <v>225178725</v>
      </c>
      <c r="I119" s="770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97">
        <v>174642005</v>
      </c>
      <c r="D120" s="967">
        <v>286496384</v>
      </c>
      <c r="E120" s="962"/>
      <c r="F120" s="968"/>
      <c r="G120" s="968"/>
      <c r="H120" s="969">
        <f>'1. sz.mell. '!C123</f>
        <v>1934815497</v>
      </c>
      <c r="I120" s="768">
        <f>9517731+51474577+42450993+1905000</f>
        <v>105348301</v>
      </c>
      <c r="J120" s="767"/>
      <c r="K120" s="767">
        <v>965200</v>
      </c>
    </row>
    <row r="121" spans="1:11" ht="12" customHeight="1" x14ac:dyDescent="0.25">
      <c r="A121" s="12" t="s">
        <v>94</v>
      </c>
      <c r="B121" s="388" t="s">
        <v>298</v>
      </c>
      <c r="C121" s="997"/>
      <c r="D121" s="967"/>
      <c r="E121" s="962"/>
      <c r="F121" s="952"/>
      <c r="G121" s="962"/>
      <c r="H121" s="969">
        <f>'1. sz.mell. '!C124</f>
        <v>399460471</v>
      </c>
      <c r="I121" s="768">
        <f>28614577+42450993-1206500</f>
        <v>69859070</v>
      </c>
      <c r="J121" s="497"/>
      <c r="K121" s="768"/>
    </row>
    <row r="122" spans="1:11" ht="12" customHeight="1" x14ac:dyDescent="0.25">
      <c r="A122" s="12" t="s">
        <v>95</v>
      </c>
      <c r="B122" s="380" t="s">
        <v>159</v>
      </c>
      <c r="C122" s="997">
        <f>SUM(C123:C130)</f>
        <v>4066909</v>
      </c>
      <c r="D122" s="997">
        <f>SUM(D123:D130)</f>
        <v>2811811</v>
      </c>
      <c r="E122" s="962"/>
      <c r="F122" s="962"/>
      <c r="G122" s="962"/>
      <c r="H122" s="969">
        <f>'1. sz.mell. '!C125</f>
        <v>1907277</v>
      </c>
      <c r="I122" s="768">
        <f>SUM(I123:I130)</f>
        <v>26919106</v>
      </c>
      <c r="J122" s="768">
        <f>SUM(J123:J130)</f>
        <v>0</v>
      </c>
      <c r="K122" s="768"/>
    </row>
    <row r="123" spans="1:11" ht="12" customHeight="1" x14ac:dyDescent="0.25">
      <c r="A123" s="12" t="s">
        <v>104</v>
      </c>
      <c r="B123" s="379" t="s">
        <v>358</v>
      </c>
      <c r="C123" s="997"/>
      <c r="D123" s="967"/>
      <c r="E123" s="948"/>
      <c r="F123" s="948"/>
      <c r="G123" s="962"/>
      <c r="H123" s="969">
        <f>'1. sz.mell. '!C126</f>
        <v>0</v>
      </c>
      <c r="I123" s="101"/>
      <c r="J123" s="101"/>
      <c r="K123" s="768"/>
    </row>
    <row r="124" spans="1:11" ht="12" customHeight="1" x14ac:dyDescent="0.25">
      <c r="A124" s="12" t="s">
        <v>106</v>
      </c>
      <c r="B124" s="394" t="s">
        <v>303</v>
      </c>
      <c r="C124" s="997"/>
      <c r="D124" s="967"/>
      <c r="E124" s="948"/>
      <c r="F124" s="948"/>
      <c r="G124" s="962"/>
      <c r="H124" s="969">
        <f>'1. sz.mell. '!C127</f>
        <v>0</v>
      </c>
      <c r="I124" s="101"/>
      <c r="J124" s="101"/>
      <c r="K124" s="768"/>
    </row>
    <row r="125" spans="1:11" ht="12" customHeight="1" x14ac:dyDescent="0.25">
      <c r="A125" s="12" t="s">
        <v>139</v>
      </c>
      <c r="B125" s="395" t="s">
        <v>286</v>
      </c>
      <c r="C125" s="997"/>
      <c r="D125" s="967"/>
      <c r="E125" s="948"/>
      <c r="F125" s="948"/>
      <c r="G125" s="962"/>
      <c r="H125" s="969">
        <f>'1. sz.mell. '!C128</f>
        <v>0</v>
      </c>
      <c r="I125" s="101"/>
      <c r="J125" s="101"/>
      <c r="K125" s="768"/>
    </row>
    <row r="126" spans="1:11" ht="12" customHeight="1" x14ac:dyDescent="0.25">
      <c r="A126" s="12" t="s">
        <v>140</v>
      </c>
      <c r="B126" s="395" t="s">
        <v>302</v>
      </c>
      <c r="C126" s="997"/>
      <c r="D126" s="967"/>
      <c r="E126" s="948"/>
      <c r="F126" s="948"/>
      <c r="G126" s="962"/>
      <c r="H126" s="969">
        <f>'1. sz.mell. '!C129</f>
        <v>0</v>
      </c>
      <c r="I126" s="101"/>
      <c r="J126" s="101"/>
      <c r="K126" s="768"/>
    </row>
    <row r="127" spans="1:11" ht="12" customHeight="1" x14ac:dyDescent="0.25">
      <c r="A127" s="12" t="s">
        <v>141</v>
      </c>
      <c r="B127" s="395" t="s">
        <v>301</v>
      </c>
      <c r="C127" s="997"/>
      <c r="D127" s="967"/>
      <c r="E127" s="948"/>
      <c r="F127" s="948"/>
      <c r="G127" s="962"/>
      <c r="H127" s="969">
        <f>'1. sz.mell. '!C130</f>
        <v>0</v>
      </c>
      <c r="I127" s="101"/>
      <c r="J127" s="101"/>
      <c r="K127" s="768"/>
    </row>
    <row r="128" spans="1:11" ht="12" customHeight="1" x14ac:dyDescent="0.25">
      <c r="A128" s="12" t="s">
        <v>294</v>
      </c>
      <c r="B128" s="395" t="s">
        <v>289</v>
      </c>
      <c r="C128" s="997"/>
      <c r="D128" s="967"/>
      <c r="E128" s="948"/>
      <c r="F128" s="948"/>
      <c r="G128" s="962"/>
      <c r="H128" s="969">
        <f>'1. sz.mell. '!C131</f>
        <v>0</v>
      </c>
      <c r="I128" s="101"/>
      <c r="J128" s="101"/>
      <c r="K128" s="768"/>
    </row>
    <row r="129" spans="1:11" ht="12" customHeight="1" x14ac:dyDescent="0.25">
      <c r="A129" s="12" t="s">
        <v>295</v>
      </c>
      <c r="B129" s="395" t="s">
        <v>300</v>
      </c>
      <c r="C129" s="997"/>
      <c r="D129" s="967"/>
      <c r="E129" s="948"/>
      <c r="F129" s="948"/>
      <c r="G129" s="962"/>
      <c r="H129" s="969">
        <f>'1. sz.mell. '!C132</f>
        <v>0</v>
      </c>
      <c r="I129" s="101"/>
      <c r="J129" s="101"/>
      <c r="K129" s="768"/>
    </row>
    <row r="130" spans="1:11" ht="12" customHeight="1" thickBot="1" x14ac:dyDescent="0.3">
      <c r="A130" s="10" t="s">
        <v>296</v>
      </c>
      <c r="B130" s="395" t="s">
        <v>299</v>
      </c>
      <c r="C130" s="998">
        <v>4066909</v>
      </c>
      <c r="D130" s="959">
        <v>2811811</v>
      </c>
      <c r="E130" s="965"/>
      <c r="F130" s="965"/>
      <c r="G130" s="965"/>
      <c r="H130" s="969">
        <f>'1. sz.mell. '!C133</f>
        <v>1907277</v>
      </c>
      <c r="I130" s="769">
        <f>650000+26269106</f>
        <v>26919106</v>
      </c>
      <c r="J130" s="769"/>
      <c r="K130" s="769"/>
    </row>
    <row r="131" spans="1:11" ht="12" customHeight="1" thickBot="1" x14ac:dyDescent="0.3">
      <c r="A131" s="17" t="s">
        <v>18</v>
      </c>
      <c r="B131" s="372" t="s">
        <v>409</v>
      </c>
      <c r="C131" s="942">
        <f>C117+C96</f>
        <v>2636250942</v>
      </c>
      <c r="D131" s="942">
        <f>D117+D96</f>
        <v>2951104740</v>
      </c>
      <c r="E131" s="940"/>
      <c r="F131" s="947"/>
      <c r="G131" s="947"/>
      <c r="H131" s="963">
        <f>'1. sz.mell. '!C134</f>
        <v>5927701280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42">
        <f>SUM(C133:C135)</f>
        <v>847193674</v>
      </c>
      <c r="D132" s="942">
        <f>SUM(D133:D135)</f>
        <v>1028491534</v>
      </c>
      <c r="E132" s="940"/>
      <c r="F132" s="947"/>
      <c r="G132" s="947"/>
      <c r="H132" s="963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1000">
        <v>26038434</v>
      </c>
      <c r="D133" s="949">
        <v>24993747</v>
      </c>
      <c r="E133" s="962"/>
      <c r="F133" s="962"/>
      <c r="G133" s="962"/>
      <c r="H133" s="969">
        <f>'1. sz.mell. '!C136</f>
        <v>22728296</v>
      </c>
      <c r="I133" s="768">
        <f>11674500+5278000</f>
        <v>16952500</v>
      </c>
      <c r="J133" s="768"/>
      <c r="K133" s="768"/>
    </row>
    <row r="134" spans="1:11" ht="12" customHeight="1" x14ac:dyDescent="0.25">
      <c r="A134" s="12" t="s">
        <v>198</v>
      </c>
      <c r="B134" s="388" t="s">
        <v>412</v>
      </c>
      <c r="C134" s="1001">
        <v>821155240</v>
      </c>
      <c r="D134" s="950">
        <v>1003497787</v>
      </c>
      <c r="E134" s="948"/>
      <c r="F134" s="948"/>
      <c r="G134" s="948"/>
      <c r="H134" s="969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1002"/>
      <c r="D135" s="937"/>
      <c r="E135" s="948"/>
      <c r="F135" s="948"/>
      <c r="G135" s="948"/>
      <c r="H135" s="939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55">
        <f>SUM(C137:C142)</f>
        <v>0</v>
      </c>
      <c r="D136" s="955">
        <f>SUM(D137:D142)</f>
        <v>0</v>
      </c>
      <c r="E136" s="955">
        <f>SUM(E137:E142)</f>
        <v>0</v>
      </c>
      <c r="F136" s="955">
        <f>SUM(F137:F142)</f>
        <v>0</v>
      </c>
      <c r="G136" s="955">
        <f>SUM(G137:G142)</f>
        <v>0</v>
      </c>
      <c r="H136" s="955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1000"/>
      <c r="D137" s="949"/>
      <c r="E137" s="948"/>
      <c r="F137" s="948"/>
      <c r="G137" s="948"/>
      <c r="H137" s="969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1001"/>
      <c r="D138" s="950"/>
      <c r="E138" s="948"/>
      <c r="F138" s="948"/>
      <c r="G138" s="948"/>
      <c r="H138" s="969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1001"/>
      <c r="D139" s="950"/>
      <c r="E139" s="948"/>
      <c r="F139" s="948"/>
      <c r="G139" s="948"/>
      <c r="H139" s="969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1001"/>
      <c r="D140" s="950"/>
      <c r="E140" s="948"/>
      <c r="F140" s="948"/>
      <c r="G140" s="948"/>
      <c r="H140" s="969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1001"/>
      <c r="D141" s="950"/>
      <c r="E141" s="948"/>
      <c r="F141" s="948"/>
      <c r="G141" s="948"/>
      <c r="H141" s="969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1002"/>
      <c r="D142" s="937"/>
      <c r="E142" s="948"/>
      <c r="F142" s="948"/>
      <c r="G142" s="948"/>
      <c r="H142" s="939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42">
        <f t="shared" ref="C143" si="1">SUM(C144:C147)</f>
        <v>45672254</v>
      </c>
      <c r="D143" s="942">
        <f t="shared" ref="D143:K143" si="2">SUM(D144:D147)</f>
        <v>48966750</v>
      </c>
      <c r="E143" s="942">
        <f t="shared" si="2"/>
        <v>0</v>
      </c>
      <c r="F143" s="942">
        <f t="shared" si="2"/>
        <v>0</v>
      </c>
      <c r="G143" s="942">
        <f t="shared" si="2"/>
        <v>0</v>
      </c>
      <c r="H143" s="942">
        <f>'1. sz.mell. '!C146</f>
        <v>55076107</v>
      </c>
      <c r="I143" s="530">
        <f t="shared" si="2"/>
        <v>41904332</v>
      </c>
      <c r="J143" s="547">
        <f t="shared" si="2"/>
        <v>0</v>
      </c>
      <c r="K143" s="547">
        <f t="shared" si="2"/>
        <v>0</v>
      </c>
    </row>
    <row r="144" spans="1:11" ht="12" customHeight="1" x14ac:dyDescent="0.25">
      <c r="A144" s="12" t="s">
        <v>81</v>
      </c>
      <c r="B144" s="392" t="s">
        <v>304</v>
      </c>
      <c r="C144" s="1000"/>
      <c r="D144" s="949"/>
      <c r="E144" s="948"/>
      <c r="F144" s="948"/>
      <c r="G144" s="948"/>
      <c r="H144" s="970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1001">
        <v>45672254</v>
      </c>
      <c r="D145" s="950">
        <v>48966750</v>
      </c>
      <c r="E145" s="948"/>
      <c r="F145" s="948"/>
      <c r="G145" s="948"/>
      <c r="H145" s="969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1001"/>
      <c r="D146" s="950"/>
      <c r="E146" s="948"/>
      <c r="F146" s="948"/>
      <c r="G146" s="948"/>
      <c r="H146" s="970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1002"/>
      <c r="D147" s="937"/>
      <c r="E147" s="948"/>
      <c r="F147" s="948"/>
      <c r="G147" s="948"/>
      <c r="H147" s="971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72">
        <f>SUM(C149:C153)</f>
        <v>0</v>
      </c>
      <c r="D148" s="972">
        <f>SUM(D149:D153)</f>
        <v>0</v>
      </c>
      <c r="E148" s="972">
        <f>SUM(E149:E153)</f>
        <v>0</v>
      </c>
      <c r="F148" s="972">
        <f>SUM(F149:F153)</f>
        <v>0</v>
      </c>
      <c r="G148" s="972">
        <f>SUM(G149:G153)</f>
        <v>0</v>
      </c>
      <c r="H148" s="972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1000"/>
      <c r="D149" s="949"/>
      <c r="E149" s="948"/>
      <c r="F149" s="948"/>
      <c r="G149" s="948"/>
      <c r="H149" s="970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1001"/>
      <c r="D150" s="950"/>
      <c r="E150" s="948"/>
      <c r="F150" s="948"/>
      <c r="G150" s="948"/>
      <c r="H150" s="970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1001"/>
      <c r="D151" s="950"/>
      <c r="E151" s="948"/>
      <c r="F151" s="948"/>
      <c r="G151" s="948"/>
      <c r="H151" s="970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1001"/>
      <c r="D152" s="950"/>
      <c r="E152" s="948"/>
      <c r="F152" s="948"/>
      <c r="G152" s="948"/>
      <c r="H152" s="970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1002"/>
      <c r="D153" s="937"/>
      <c r="E153" s="973"/>
      <c r="F153" s="973"/>
      <c r="G153" s="948"/>
      <c r="H153" s="971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55"/>
      <c r="D154" s="974"/>
      <c r="E154" s="975"/>
      <c r="F154" s="976"/>
      <c r="G154" s="977"/>
      <c r="H154" s="963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55"/>
      <c r="D155" s="974"/>
      <c r="E155" s="975"/>
      <c r="F155" s="976"/>
      <c r="G155" s="977"/>
      <c r="H155" s="963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42">
        <f>C132+C136+C143+C148+C154+C155</f>
        <v>892865928</v>
      </c>
      <c r="D156" s="942">
        <f>D132+D136+D143+D148+D154+D155</f>
        <v>1077458284</v>
      </c>
      <c r="E156" s="978"/>
      <c r="F156" s="979"/>
      <c r="G156" s="979"/>
      <c r="H156" s="963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42">
        <f>C156+C131</f>
        <v>3529116870</v>
      </c>
      <c r="D157" s="942">
        <f>D156+D131</f>
        <v>4028563024</v>
      </c>
      <c r="E157" s="978"/>
      <c r="F157" s="979"/>
      <c r="G157" s="979"/>
      <c r="H157" s="963">
        <f>'1. sz.mell. '!C160</f>
        <v>7005505683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12" customFormat="1" ht="16.5" customHeight="1" x14ac:dyDescent="0.25">
      <c r="C161" s="720"/>
      <c r="D161" s="720"/>
      <c r="E161" s="720"/>
      <c r="F161" s="720"/>
      <c r="G161" s="720"/>
      <c r="H161" s="720"/>
      <c r="I161" s="711"/>
      <c r="J161" s="711"/>
      <c r="K161" s="71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J50"/>
  <sheetViews>
    <sheetView workbookViewId="0">
      <selection activeCell="G2" sqref="G2:I2"/>
    </sheetView>
  </sheetViews>
  <sheetFormatPr defaultRowHeight="12.75" x14ac:dyDescent="0.2"/>
  <cols>
    <col min="1" max="1" width="6.83203125" style="707" customWidth="1"/>
    <col min="2" max="2" width="49.6640625" style="706" customWidth="1"/>
    <col min="3" max="3" width="12.83203125" style="721" customWidth="1"/>
    <col min="4" max="8" width="12.83203125" style="706" customWidth="1"/>
    <col min="9" max="9" width="13.83203125" style="706" customWidth="1"/>
    <col min="10" max="256" width="9.33203125" style="706"/>
    <col min="257" max="257" width="6.83203125" style="706" customWidth="1"/>
    <col min="258" max="258" width="49.6640625" style="706" customWidth="1"/>
    <col min="259" max="264" width="12.83203125" style="706" customWidth="1"/>
    <col min="265" max="265" width="13.83203125" style="706" customWidth="1"/>
    <col min="266" max="512" width="9.33203125" style="706"/>
    <col min="513" max="513" width="6.83203125" style="706" customWidth="1"/>
    <col min="514" max="514" width="49.6640625" style="706" customWidth="1"/>
    <col min="515" max="520" width="12.83203125" style="706" customWidth="1"/>
    <col min="521" max="521" width="13.83203125" style="706" customWidth="1"/>
    <col min="522" max="768" width="9.33203125" style="706"/>
    <col min="769" max="769" width="6.83203125" style="706" customWidth="1"/>
    <col min="770" max="770" width="49.6640625" style="706" customWidth="1"/>
    <col min="771" max="776" width="12.83203125" style="706" customWidth="1"/>
    <col min="777" max="777" width="13.83203125" style="706" customWidth="1"/>
    <col min="778" max="1024" width="9.33203125" style="706"/>
    <col min="1025" max="1025" width="6.83203125" style="706" customWidth="1"/>
    <col min="1026" max="1026" width="49.6640625" style="706" customWidth="1"/>
    <col min="1027" max="1032" width="12.83203125" style="706" customWidth="1"/>
    <col min="1033" max="1033" width="13.83203125" style="706" customWidth="1"/>
    <col min="1034" max="1280" width="9.33203125" style="706"/>
    <col min="1281" max="1281" width="6.83203125" style="706" customWidth="1"/>
    <col min="1282" max="1282" width="49.6640625" style="706" customWidth="1"/>
    <col min="1283" max="1288" width="12.83203125" style="706" customWidth="1"/>
    <col min="1289" max="1289" width="13.83203125" style="706" customWidth="1"/>
    <col min="1290" max="1536" width="9.33203125" style="706"/>
    <col min="1537" max="1537" width="6.83203125" style="706" customWidth="1"/>
    <col min="1538" max="1538" width="49.6640625" style="706" customWidth="1"/>
    <col min="1539" max="1544" width="12.83203125" style="706" customWidth="1"/>
    <col min="1545" max="1545" width="13.83203125" style="706" customWidth="1"/>
    <col min="1546" max="1792" width="9.33203125" style="706"/>
    <col min="1793" max="1793" width="6.83203125" style="706" customWidth="1"/>
    <col min="1794" max="1794" width="49.6640625" style="706" customWidth="1"/>
    <col min="1795" max="1800" width="12.83203125" style="706" customWidth="1"/>
    <col min="1801" max="1801" width="13.83203125" style="706" customWidth="1"/>
    <col min="1802" max="2048" width="9.33203125" style="706"/>
    <col min="2049" max="2049" width="6.83203125" style="706" customWidth="1"/>
    <col min="2050" max="2050" width="49.6640625" style="706" customWidth="1"/>
    <col min="2051" max="2056" width="12.83203125" style="706" customWidth="1"/>
    <col min="2057" max="2057" width="13.83203125" style="706" customWidth="1"/>
    <col min="2058" max="2304" width="9.33203125" style="706"/>
    <col min="2305" max="2305" width="6.83203125" style="706" customWidth="1"/>
    <col min="2306" max="2306" width="49.6640625" style="706" customWidth="1"/>
    <col min="2307" max="2312" width="12.83203125" style="706" customWidth="1"/>
    <col min="2313" max="2313" width="13.83203125" style="706" customWidth="1"/>
    <col min="2314" max="2560" width="9.33203125" style="706"/>
    <col min="2561" max="2561" width="6.83203125" style="706" customWidth="1"/>
    <col min="2562" max="2562" width="49.6640625" style="706" customWidth="1"/>
    <col min="2563" max="2568" width="12.83203125" style="706" customWidth="1"/>
    <col min="2569" max="2569" width="13.83203125" style="706" customWidth="1"/>
    <col min="2570" max="2816" width="9.33203125" style="706"/>
    <col min="2817" max="2817" width="6.83203125" style="706" customWidth="1"/>
    <col min="2818" max="2818" width="49.6640625" style="706" customWidth="1"/>
    <col min="2819" max="2824" width="12.83203125" style="706" customWidth="1"/>
    <col min="2825" max="2825" width="13.83203125" style="706" customWidth="1"/>
    <col min="2826" max="3072" width="9.33203125" style="706"/>
    <col min="3073" max="3073" width="6.83203125" style="706" customWidth="1"/>
    <col min="3074" max="3074" width="49.6640625" style="706" customWidth="1"/>
    <col min="3075" max="3080" width="12.83203125" style="706" customWidth="1"/>
    <col min="3081" max="3081" width="13.83203125" style="706" customWidth="1"/>
    <col min="3082" max="3328" width="9.33203125" style="706"/>
    <col min="3329" max="3329" width="6.83203125" style="706" customWidth="1"/>
    <col min="3330" max="3330" width="49.6640625" style="706" customWidth="1"/>
    <col min="3331" max="3336" width="12.83203125" style="706" customWidth="1"/>
    <col min="3337" max="3337" width="13.83203125" style="706" customWidth="1"/>
    <col min="3338" max="3584" width="9.33203125" style="706"/>
    <col min="3585" max="3585" width="6.83203125" style="706" customWidth="1"/>
    <col min="3586" max="3586" width="49.6640625" style="706" customWidth="1"/>
    <col min="3587" max="3592" width="12.83203125" style="706" customWidth="1"/>
    <col min="3593" max="3593" width="13.83203125" style="706" customWidth="1"/>
    <col min="3594" max="3840" width="9.33203125" style="706"/>
    <col min="3841" max="3841" width="6.83203125" style="706" customWidth="1"/>
    <col min="3842" max="3842" width="49.6640625" style="706" customWidth="1"/>
    <col min="3843" max="3848" width="12.83203125" style="706" customWidth="1"/>
    <col min="3849" max="3849" width="13.83203125" style="706" customWidth="1"/>
    <col min="3850" max="4096" width="9.33203125" style="706"/>
    <col min="4097" max="4097" width="6.83203125" style="706" customWidth="1"/>
    <col min="4098" max="4098" width="49.6640625" style="706" customWidth="1"/>
    <col min="4099" max="4104" width="12.83203125" style="706" customWidth="1"/>
    <col min="4105" max="4105" width="13.83203125" style="706" customWidth="1"/>
    <col min="4106" max="4352" width="9.33203125" style="706"/>
    <col min="4353" max="4353" width="6.83203125" style="706" customWidth="1"/>
    <col min="4354" max="4354" width="49.6640625" style="706" customWidth="1"/>
    <col min="4355" max="4360" width="12.83203125" style="706" customWidth="1"/>
    <col min="4361" max="4361" width="13.83203125" style="706" customWidth="1"/>
    <col min="4362" max="4608" width="9.33203125" style="706"/>
    <col min="4609" max="4609" width="6.83203125" style="706" customWidth="1"/>
    <col min="4610" max="4610" width="49.6640625" style="706" customWidth="1"/>
    <col min="4611" max="4616" width="12.83203125" style="706" customWidth="1"/>
    <col min="4617" max="4617" width="13.83203125" style="706" customWidth="1"/>
    <col min="4618" max="4864" width="9.33203125" style="706"/>
    <col min="4865" max="4865" width="6.83203125" style="706" customWidth="1"/>
    <col min="4866" max="4866" width="49.6640625" style="706" customWidth="1"/>
    <col min="4867" max="4872" width="12.83203125" style="706" customWidth="1"/>
    <col min="4873" max="4873" width="13.83203125" style="706" customWidth="1"/>
    <col min="4874" max="5120" width="9.33203125" style="706"/>
    <col min="5121" max="5121" width="6.83203125" style="706" customWidth="1"/>
    <col min="5122" max="5122" width="49.6640625" style="706" customWidth="1"/>
    <col min="5123" max="5128" width="12.83203125" style="706" customWidth="1"/>
    <col min="5129" max="5129" width="13.83203125" style="706" customWidth="1"/>
    <col min="5130" max="5376" width="9.33203125" style="706"/>
    <col min="5377" max="5377" width="6.83203125" style="706" customWidth="1"/>
    <col min="5378" max="5378" width="49.6640625" style="706" customWidth="1"/>
    <col min="5379" max="5384" width="12.83203125" style="706" customWidth="1"/>
    <col min="5385" max="5385" width="13.83203125" style="706" customWidth="1"/>
    <col min="5386" max="5632" width="9.33203125" style="706"/>
    <col min="5633" max="5633" width="6.83203125" style="706" customWidth="1"/>
    <col min="5634" max="5634" width="49.6640625" style="706" customWidth="1"/>
    <col min="5635" max="5640" width="12.83203125" style="706" customWidth="1"/>
    <col min="5641" max="5641" width="13.83203125" style="706" customWidth="1"/>
    <col min="5642" max="5888" width="9.33203125" style="706"/>
    <col min="5889" max="5889" width="6.83203125" style="706" customWidth="1"/>
    <col min="5890" max="5890" width="49.6640625" style="706" customWidth="1"/>
    <col min="5891" max="5896" width="12.83203125" style="706" customWidth="1"/>
    <col min="5897" max="5897" width="13.83203125" style="706" customWidth="1"/>
    <col min="5898" max="6144" width="9.33203125" style="706"/>
    <col min="6145" max="6145" width="6.83203125" style="706" customWidth="1"/>
    <col min="6146" max="6146" width="49.6640625" style="706" customWidth="1"/>
    <col min="6147" max="6152" width="12.83203125" style="706" customWidth="1"/>
    <col min="6153" max="6153" width="13.83203125" style="706" customWidth="1"/>
    <col min="6154" max="6400" width="9.33203125" style="706"/>
    <col min="6401" max="6401" width="6.83203125" style="706" customWidth="1"/>
    <col min="6402" max="6402" width="49.6640625" style="706" customWidth="1"/>
    <col min="6403" max="6408" width="12.83203125" style="706" customWidth="1"/>
    <col min="6409" max="6409" width="13.83203125" style="706" customWidth="1"/>
    <col min="6410" max="6656" width="9.33203125" style="706"/>
    <col min="6657" max="6657" width="6.83203125" style="706" customWidth="1"/>
    <col min="6658" max="6658" width="49.6640625" style="706" customWidth="1"/>
    <col min="6659" max="6664" width="12.83203125" style="706" customWidth="1"/>
    <col min="6665" max="6665" width="13.83203125" style="706" customWidth="1"/>
    <col min="6666" max="6912" width="9.33203125" style="706"/>
    <col min="6913" max="6913" width="6.83203125" style="706" customWidth="1"/>
    <col min="6914" max="6914" width="49.6640625" style="706" customWidth="1"/>
    <col min="6915" max="6920" width="12.83203125" style="706" customWidth="1"/>
    <col min="6921" max="6921" width="13.83203125" style="706" customWidth="1"/>
    <col min="6922" max="7168" width="9.33203125" style="706"/>
    <col min="7169" max="7169" width="6.83203125" style="706" customWidth="1"/>
    <col min="7170" max="7170" width="49.6640625" style="706" customWidth="1"/>
    <col min="7171" max="7176" width="12.83203125" style="706" customWidth="1"/>
    <col min="7177" max="7177" width="13.83203125" style="706" customWidth="1"/>
    <col min="7178" max="7424" width="9.33203125" style="706"/>
    <col min="7425" max="7425" width="6.83203125" style="706" customWidth="1"/>
    <col min="7426" max="7426" width="49.6640625" style="706" customWidth="1"/>
    <col min="7427" max="7432" width="12.83203125" style="706" customWidth="1"/>
    <col min="7433" max="7433" width="13.83203125" style="706" customWidth="1"/>
    <col min="7434" max="7680" width="9.33203125" style="706"/>
    <col min="7681" max="7681" width="6.83203125" style="706" customWidth="1"/>
    <col min="7682" max="7682" width="49.6640625" style="706" customWidth="1"/>
    <col min="7683" max="7688" width="12.83203125" style="706" customWidth="1"/>
    <col min="7689" max="7689" width="13.83203125" style="706" customWidth="1"/>
    <col min="7690" max="7936" width="9.33203125" style="706"/>
    <col min="7937" max="7937" width="6.83203125" style="706" customWidth="1"/>
    <col min="7938" max="7938" width="49.6640625" style="706" customWidth="1"/>
    <col min="7939" max="7944" width="12.83203125" style="706" customWidth="1"/>
    <col min="7945" max="7945" width="13.83203125" style="706" customWidth="1"/>
    <col min="7946" max="8192" width="9.33203125" style="706"/>
    <col min="8193" max="8193" width="6.83203125" style="706" customWidth="1"/>
    <col min="8194" max="8194" width="49.6640625" style="706" customWidth="1"/>
    <col min="8195" max="8200" width="12.83203125" style="706" customWidth="1"/>
    <col min="8201" max="8201" width="13.83203125" style="706" customWidth="1"/>
    <col min="8202" max="8448" width="9.33203125" style="706"/>
    <col min="8449" max="8449" width="6.83203125" style="706" customWidth="1"/>
    <col min="8450" max="8450" width="49.6640625" style="706" customWidth="1"/>
    <col min="8451" max="8456" width="12.83203125" style="706" customWidth="1"/>
    <col min="8457" max="8457" width="13.83203125" style="706" customWidth="1"/>
    <col min="8458" max="8704" width="9.33203125" style="706"/>
    <col min="8705" max="8705" width="6.83203125" style="706" customWidth="1"/>
    <col min="8706" max="8706" width="49.6640625" style="706" customWidth="1"/>
    <col min="8707" max="8712" width="12.83203125" style="706" customWidth="1"/>
    <col min="8713" max="8713" width="13.83203125" style="706" customWidth="1"/>
    <col min="8714" max="8960" width="9.33203125" style="706"/>
    <col min="8961" max="8961" width="6.83203125" style="706" customWidth="1"/>
    <col min="8962" max="8962" width="49.6640625" style="706" customWidth="1"/>
    <col min="8963" max="8968" width="12.83203125" style="706" customWidth="1"/>
    <col min="8969" max="8969" width="13.83203125" style="706" customWidth="1"/>
    <col min="8970" max="9216" width="9.33203125" style="706"/>
    <col min="9217" max="9217" width="6.83203125" style="706" customWidth="1"/>
    <col min="9218" max="9218" width="49.6640625" style="706" customWidth="1"/>
    <col min="9219" max="9224" width="12.83203125" style="706" customWidth="1"/>
    <col min="9225" max="9225" width="13.83203125" style="706" customWidth="1"/>
    <col min="9226" max="9472" width="9.33203125" style="706"/>
    <col min="9473" max="9473" width="6.83203125" style="706" customWidth="1"/>
    <col min="9474" max="9474" width="49.6640625" style="706" customWidth="1"/>
    <col min="9475" max="9480" width="12.83203125" style="706" customWidth="1"/>
    <col min="9481" max="9481" width="13.83203125" style="706" customWidth="1"/>
    <col min="9482" max="9728" width="9.33203125" style="706"/>
    <col min="9729" max="9729" width="6.83203125" style="706" customWidth="1"/>
    <col min="9730" max="9730" width="49.6640625" style="706" customWidth="1"/>
    <col min="9731" max="9736" width="12.83203125" style="706" customWidth="1"/>
    <col min="9737" max="9737" width="13.83203125" style="706" customWidth="1"/>
    <col min="9738" max="9984" width="9.33203125" style="706"/>
    <col min="9985" max="9985" width="6.83203125" style="706" customWidth="1"/>
    <col min="9986" max="9986" width="49.6640625" style="706" customWidth="1"/>
    <col min="9987" max="9992" width="12.83203125" style="706" customWidth="1"/>
    <col min="9993" max="9993" width="13.83203125" style="706" customWidth="1"/>
    <col min="9994" max="10240" width="9.33203125" style="706"/>
    <col min="10241" max="10241" width="6.83203125" style="706" customWidth="1"/>
    <col min="10242" max="10242" width="49.6640625" style="706" customWidth="1"/>
    <col min="10243" max="10248" width="12.83203125" style="706" customWidth="1"/>
    <col min="10249" max="10249" width="13.83203125" style="706" customWidth="1"/>
    <col min="10250" max="10496" width="9.33203125" style="706"/>
    <col min="10497" max="10497" width="6.83203125" style="706" customWidth="1"/>
    <col min="10498" max="10498" width="49.6640625" style="706" customWidth="1"/>
    <col min="10499" max="10504" width="12.83203125" style="706" customWidth="1"/>
    <col min="10505" max="10505" width="13.83203125" style="706" customWidth="1"/>
    <col min="10506" max="10752" width="9.33203125" style="706"/>
    <col min="10753" max="10753" width="6.83203125" style="706" customWidth="1"/>
    <col min="10754" max="10754" width="49.6640625" style="706" customWidth="1"/>
    <col min="10755" max="10760" width="12.83203125" style="706" customWidth="1"/>
    <col min="10761" max="10761" width="13.83203125" style="706" customWidth="1"/>
    <col min="10762" max="11008" width="9.33203125" style="706"/>
    <col min="11009" max="11009" width="6.83203125" style="706" customWidth="1"/>
    <col min="11010" max="11010" width="49.6640625" style="706" customWidth="1"/>
    <col min="11011" max="11016" width="12.83203125" style="706" customWidth="1"/>
    <col min="11017" max="11017" width="13.83203125" style="706" customWidth="1"/>
    <col min="11018" max="11264" width="9.33203125" style="706"/>
    <col min="11265" max="11265" width="6.83203125" style="706" customWidth="1"/>
    <col min="11266" max="11266" width="49.6640625" style="706" customWidth="1"/>
    <col min="11267" max="11272" width="12.83203125" style="706" customWidth="1"/>
    <col min="11273" max="11273" width="13.83203125" style="706" customWidth="1"/>
    <col min="11274" max="11520" width="9.33203125" style="706"/>
    <col min="11521" max="11521" width="6.83203125" style="706" customWidth="1"/>
    <col min="11522" max="11522" width="49.6640625" style="706" customWidth="1"/>
    <col min="11523" max="11528" width="12.83203125" style="706" customWidth="1"/>
    <col min="11529" max="11529" width="13.83203125" style="706" customWidth="1"/>
    <col min="11530" max="11776" width="9.33203125" style="706"/>
    <col min="11777" max="11777" width="6.83203125" style="706" customWidth="1"/>
    <col min="11778" max="11778" width="49.6640625" style="706" customWidth="1"/>
    <col min="11779" max="11784" width="12.83203125" style="706" customWidth="1"/>
    <col min="11785" max="11785" width="13.83203125" style="706" customWidth="1"/>
    <col min="11786" max="12032" width="9.33203125" style="706"/>
    <col min="12033" max="12033" width="6.83203125" style="706" customWidth="1"/>
    <col min="12034" max="12034" width="49.6640625" style="706" customWidth="1"/>
    <col min="12035" max="12040" width="12.83203125" style="706" customWidth="1"/>
    <col min="12041" max="12041" width="13.83203125" style="706" customWidth="1"/>
    <col min="12042" max="12288" width="9.33203125" style="706"/>
    <col min="12289" max="12289" width="6.83203125" style="706" customWidth="1"/>
    <col min="12290" max="12290" width="49.6640625" style="706" customWidth="1"/>
    <col min="12291" max="12296" width="12.83203125" style="706" customWidth="1"/>
    <col min="12297" max="12297" width="13.83203125" style="706" customWidth="1"/>
    <col min="12298" max="12544" width="9.33203125" style="706"/>
    <col min="12545" max="12545" width="6.83203125" style="706" customWidth="1"/>
    <col min="12546" max="12546" width="49.6640625" style="706" customWidth="1"/>
    <col min="12547" max="12552" width="12.83203125" style="706" customWidth="1"/>
    <col min="12553" max="12553" width="13.83203125" style="706" customWidth="1"/>
    <col min="12554" max="12800" width="9.33203125" style="706"/>
    <col min="12801" max="12801" width="6.83203125" style="706" customWidth="1"/>
    <col min="12802" max="12802" width="49.6640625" style="706" customWidth="1"/>
    <col min="12803" max="12808" width="12.83203125" style="706" customWidth="1"/>
    <col min="12809" max="12809" width="13.83203125" style="706" customWidth="1"/>
    <col min="12810" max="13056" width="9.33203125" style="706"/>
    <col min="13057" max="13057" width="6.83203125" style="706" customWidth="1"/>
    <col min="13058" max="13058" width="49.6640625" style="706" customWidth="1"/>
    <col min="13059" max="13064" width="12.83203125" style="706" customWidth="1"/>
    <col min="13065" max="13065" width="13.83203125" style="706" customWidth="1"/>
    <col min="13066" max="13312" width="9.33203125" style="706"/>
    <col min="13313" max="13313" width="6.83203125" style="706" customWidth="1"/>
    <col min="13314" max="13314" width="49.6640625" style="706" customWidth="1"/>
    <col min="13315" max="13320" width="12.83203125" style="706" customWidth="1"/>
    <col min="13321" max="13321" width="13.83203125" style="706" customWidth="1"/>
    <col min="13322" max="13568" width="9.33203125" style="706"/>
    <col min="13569" max="13569" width="6.83203125" style="706" customWidth="1"/>
    <col min="13570" max="13570" width="49.6640625" style="706" customWidth="1"/>
    <col min="13571" max="13576" width="12.83203125" style="706" customWidth="1"/>
    <col min="13577" max="13577" width="13.83203125" style="706" customWidth="1"/>
    <col min="13578" max="13824" width="9.33203125" style="706"/>
    <col min="13825" max="13825" width="6.83203125" style="706" customWidth="1"/>
    <col min="13826" max="13826" width="49.6640625" style="706" customWidth="1"/>
    <col min="13827" max="13832" width="12.83203125" style="706" customWidth="1"/>
    <col min="13833" max="13833" width="13.83203125" style="706" customWidth="1"/>
    <col min="13834" max="14080" width="9.33203125" style="706"/>
    <col min="14081" max="14081" width="6.83203125" style="706" customWidth="1"/>
    <col min="14082" max="14082" width="49.6640625" style="706" customWidth="1"/>
    <col min="14083" max="14088" width="12.83203125" style="706" customWidth="1"/>
    <col min="14089" max="14089" width="13.83203125" style="706" customWidth="1"/>
    <col min="14090" max="14336" width="9.33203125" style="706"/>
    <col min="14337" max="14337" width="6.83203125" style="706" customWidth="1"/>
    <col min="14338" max="14338" width="49.6640625" style="706" customWidth="1"/>
    <col min="14339" max="14344" width="12.83203125" style="706" customWidth="1"/>
    <col min="14345" max="14345" width="13.83203125" style="706" customWidth="1"/>
    <col min="14346" max="14592" width="9.33203125" style="706"/>
    <col min="14593" max="14593" width="6.83203125" style="706" customWidth="1"/>
    <col min="14594" max="14594" width="49.6640625" style="706" customWidth="1"/>
    <col min="14595" max="14600" width="12.83203125" style="706" customWidth="1"/>
    <col min="14601" max="14601" width="13.83203125" style="706" customWidth="1"/>
    <col min="14602" max="14848" width="9.33203125" style="706"/>
    <col min="14849" max="14849" width="6.83203125" style="706" customWidth="1"/>
    <col min="14850" max="14850" width="49.6640625" style="706" customWidth="1"/>
    <col min="14851" max="14856" width="12.83203125" style="706" customWidth="1"/>
    <col min="14857" max="14857" width="13.83203125" style="706" customWidth="1"/>
    <col min="14858" max="15104" width="9.33203125" style="706"/>
    <col min="15105" max="15105" width="6.83203125" style="706" customWidth="1"/>
    <col min="15106" max="15106" width="49.6640625" style="706" customWidth="1"/>
    <col min="15107" max="15112" width="12.83203125" style="706" customWidth="1"/>
    <col min="15113" max="15113" width="13.83203125" style="706" customWidth="1"/>
    <col min="15114" max="15360" width="9.33203125" style="706"/>
    <col min="15361" max="15361" width="6.83203125" style="706" customWidth="1"/>
    <col min="15362" max="15362" width="49.6640625" style="706" customWidth="1"/>
    <col min="15363" max="15368" width="12.83203125" style="706" customWidth="1"/>
    <col min="15369" max="15369" width="13.83203125" style="706" customWidth="1"/>
    <col min="15370" max="15616" width="9.33203125" style="706"/>
    <col min="15617" max="15617" width="6.83203125" style="706" customWidth="1"/>
    <col min="15618" max="15618" width="49.6640625" style="706" customWidth="1"/>
    <col min="15619" max="15624" width="12.83203125" style="706" customWidth="1"/>
    <col min="15625" max="15625" width="13.83203125" style="706" customWidth="1"/>
    <col min="15626" max="15872" width="9.33203125" style="706"/>
    <col min="15873" max="15873" width="6.83203125" style="706" customWidth="1"/>
    <col min="15874" max="15874" width="49.6640625" style="706" customWidth="1"/>
    <col min="15875" max="15880" width="12.83203125" style="706" customWidth="1"/>
    <col min="15881" max="15881" width="13.83203125" style="706" customWidth="1"/>
    <col min="15882" max="16128" width="9.33203125" style="706"/>
    <col min="16129" max="16129" width="6.83203125" style="706" customWidth="1"/>
    <col min="16130" max="16130" width="49.6640625" style="706" customWidth="1"/>
    <col min="16131" max="16136" width="12.83203125" style="706" customWidth="1"/>
    <col min="16137" max="16137" width="13.83203125" style="706" customWidth="1"/>
    <col min="16138" max="16384" width="9.33203125" style="706"/>
  </cols>
  <sheetData>
    <row r="1" spans="1:9" x14ac:dyDescent="0.2">
      <c r="A1" s="1490" t="str">
        <f>CONCATENATE("37. melléklet ",ALAPADATOK!A7," ",ALAPADATOK!B7," ",ALAPADATOK!C7," ",ALAPADATOK!D7," ",ALAPADATOK!E7," ",ALAPADATOK!F7," ",ALAPADATOK!G7," ",ALAPADATOK!H7)</f>
        <v>37. melléklet a .. / 2022. ( ……. ) önkormányzati rendelethez</v>
      </c>
      <c r="B1" s="1490"/>
      <c r="C1" s="1490"/>
      <c r="D1" s="1490"/>
      <c r="E1" s="1490"/>
      <c r="F1" s="1490"/>
      <c r="G1" s="1490"/>
      <c r="H1" s="1490"/>
      <c r="I1" s="1490"/>
    </row>
    <row r="2" spans="1:9" x14ac:dyDescent="0.2">
      <c r="G2" s="1499" t="s">
        <v>1038</v>
      </c>
      <c r="H2" s="1499"/>
      <c r="I2" s="1499"/>
    </row>
    <row r="3" spans="1:9" ht="27.75" customHeight="1" x14ac:dyDescent="0.2">
      <c r="A3" s="1491" t="s">
        <v>7</v>
      </c>
      <c r="B3" s="1491"/>
      <c r="C3" s="1491"/>
      <c r="D3" s="1491"/>
      <c r="E3" s="1491"/>
      <c r="F3" s="1491"/>
      <c r="G3" s="1491"/>
      <c r="H3" s="1491"/>
      <c r="I3" s="1491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492" t="s">
        <v>63</v>
      </c>
      <c r="B5" s="1494" t="s">
        <v>71</v>
      </c>
      <c r="C5" s="1492" t="s">
        <v>72</v>
      </c>
      <c r="D5" s="1492" t="s">
        <v>1011</v>
      </c>
      <c r="E5" s="1496" t="s">
        <v>62</v>
      </c>
      <c r="F5" s="1497"/>
      <c r="G5" s="1497"/>
      <c r="H5" s="1498"/>
      <c r="I5" s="1494" t="s">
        <v>48</v>
      </c>
    </row>
    <row r="6" spans="1:9" s="229" customFormat="1" ht="17.25" customHeight="1" thickBot="1" x14ac:dyDescent="0.25">
      <c r="A6" s="1493"/>
      <c r="B6" s="1495"/>
      <c r="C6" s="1495"/>
      <c r="D6" s="1493"/>
      <c r="E6" s="788">
        <v>2022</v>
      </c>
      <c r="F6" s="788">
        <v>2023</v>
      </c>
      <c r="G6" s="788">
        <v>2024</v>
      </c>
      <c r="H6" s="789" t="s">
        <v>1012</v>
      </c>
      <c r="I6" s="1495"/>
    </row>
    <row r="7" spans="1:9" s="230" customFormat="1" ht="18" customHeight="1" thickBot="1" x14ac:dyDescent="0.25">
      <c r="A7" s="790">
        <v>1</v>
      </c>
      <c r="B7" s="791">
        <v>2</v>
      </c>
      <c r="C7" s="792">
        <v>3</v>
      </c>
      <c r="D7" s="793">
        <v>4</v>
      </c>
      <c r="E7" s="790">
        <v>5</v>
      </c>
      <c r="F7" s="794">
        <v>6</v>
      </c>
      <c r="G7" s="794">
        <v>7</v>
      </c>
      <c r="H7" s="795">
        <v>8</v>
      </c>
      <c r="I7" s="796" t="s">
        <v>73</v>
      </c>
    </row>
    <row r="8" spans="1:9" ht="24.75" customHeight="1" thickBot="1" x14ac:dyDescent="0.25">
      <c r="A8" s="797" t="s">
        <v>16</v>
      </c>
      <c r="B8" s="798" t="s">
        <v>708</v>
      </c>
      <c r="C8" s="1355">
        <v>0</v>
      </c>
      <c r="D8" s="799">
        <v>0</v>
      </c>
      <c r="E8" s="799">
        <v>0</v>
      </c>
      <c r="F8" s="799">
        <v>0</v>
      </c>
      <c r="G8" s="799">
        <v>0</v>
      </c>
      <c r="H8" s="799">
        <v>0</v>
      </c>
      <c r="I8" s="800">
        <v>0</v>
      </c>
    </row>
    <row r="9" spans="1:9" ht="24.75" customHeight="1" thickBot="1" x14ac:dyDescent="0.25">
      <c r="A9" s="801" t="s">
        <v>17</v>
      </c>
      <c r="B9" s="802" t="s">
        <v>1013</v>
      </c>
      <c r="C9" s="803">
        <v>2022</v>
      </c>
      <c r="D9" s="804">
        <v>0</v>
      </c>
      <c r="E9" s="804">
        <v>0</v>
      </c>
      <c r="F9" s="804">
        <v>0</v>
      </c>
      <c r="G9" s="804">
        <v>0</v>
      </c>
      <c r="H9" s="804">
        <v>0</v>
      </c>
      <c r="I9" s="800">
        <v>0</v>
      </c>
    </row>
    <row r="10" spans="1:9" ht="24" customHeight="1" thickBot="1" x14ac:dyDescent="0.25">
      <c r="A10" s="805" t="s">
        <v>18</v>
      </c>
      <c r="B10" s="806" t="s">
        <v>8</v>
      </c>
      <c r="C10" s="807"/>
      <c r="D10" s="808"/>
      <c r="E10" s="808"/>
      <c r="F10" s="808"/>
      <c r="G10" s="808"/>
      <c r="H10" s="809"/>
      <c r="I10" s="810"/>
    </row>
    <row r="11" spans="1:9" ht="22.5" x14ac:dyDescent="0.2">
      <c r="A11" s="811" t="s">
        <v>19</v>
      </c>
      <c r="B11" s="725" t="s">
        <v>497</v>
      </c>
      <c r="C11" s="812">
        <v>2016</v>
      </c>
      <c r="D11" s="813">
        <v>5888000</v>
      </c>
      <c r="E11" s="814">
        <v>1472000</v>
      </c>
      <c r="F11" s="814">
        <v>1472000</v>
      </c>
      <c r="G11" s="814">
        <v>1471000</v>
      </c>
      <c r="H11" s="815">
        <v>0</v>
      </c>
      <c r="I11" s="816">
        <f t="shared" ref="I11:I21" si="0">SUM(D11:H11)</f>
        <v>10303000</v>
      </c>
    </row>
    <row r="12" spans="1:9" x14ac:dyDescent="0.2">
      <c r="A12" s="811" t="s">
        <v>20</v>
      </c>
      <c r="B12" s="725" t="s">
        <v>709</v>
      </c>
      <c r="C12" s="812">
        <v>2017</v>
      </c>
      <c r="D12" s="813">
        <f>14820000</f>
        <v>14820000</v>
      </c>
      <c r="E12" s="813">
        <v>4940000</v>
      </c>
      <c r="F12" s="813">
        <v>4940000</v>
      </c>
      <c r="G12" s="813">
        <v>4940000</v>
      </c>
      <c r="H12" s="813">
        <v>11461155</v>
      </c>
      <c r="I12" s="816">
        <f t="shared" si="0"/>
        <v>41101155</v>
      </c>
    </row>
    <row r="13" spans="1:9" ht="22.5" x14ac:dyDescent="0.2">
      <c r="A13" s="811" t="s">
        <v>21</v>
      </c>
      <c r="B13" s="725" t="s">
        <v>501</v>
      </c>
      <c r="C13" s="812">
        <v>2017</v>
      </c>
      <c r="D13" s="813">
        <v>4392000</v>
      </c>
      <c r="E13" s="813">
        <v>1108000</v>
      </c>
      <c r="F13" s="813">
        <v>0</v>
      </c>
      <c r="G13" s="813">
        <v>0</v>
      </c>
      <c r="H13" s="813">
        <v>0</v>
      </c>
      <c r="I13" s="816">
        <f t="shared" si="0"/>
        <v>5500000</v>
      </c>
    </row>
    <row r="14" spans="1:9" s="1260" customFormat="1" x14ac:dyDescent="0.2">
      <c r="A14" s="811" t="s">
        <v>22</v>
      </c>
      <c r="B14" s="725" t="s">
        <v>508</v>
      </c>
      <c r="C14" s="812">
        <v>2018</v>
      </c>
      <c r="D14" s="813">
        <v>3669008</v>
      </c>
      <c r="E14" s="813">
        <v>1834504</v>
      </c>
      <c r="F14" s="813">
        <v>1834504</v>
      </c>
      <c r="G14" s="814">
        <v>1704746</v>
      </c>
      <c r="H14" s="813">
        <v>0</v>
      </c>
      <c r="I14" s="816">
        <f t="shared" ref="I14" si="1">SUM(D14:H14)</f>
        <v>9042762</v>
      </c>
    </row>
    <row r="15" spans="1:9" x14ac:dyDescent="0.2">
      <c r="A15" s="811" t="s">
        <v>23</v>
      </c>
      <c r="B15" s="725" t="s">
        <v>506</v>
      </c>
      <c r="C15" s="812">
        <v>2018</v>
      </c>
      <c r="D15" s="726">
        <v>2460000</v>
      </c>
      <c r="E15" s="814">
        <v>741452</v>
      </c>
      <c r="F15" s="814">
        <v>0</v>
      </c>
      <c r="G15" s="814">
        <v>0</v>
      </c>
      <c r="H15" s="813">
        <v>0</v>
      </c>
      <c r="I15" s="816">
        <f t="shared" si="0"/>
        <v>3201452</v>
      </c>
    </row>
    <row r="16" spans="1:9" x14ac:dyDescent="0.2">
      <c r="A16" s="811" t="s">
        <v>24</v>
      </c>
      <c r="B16" s="725" t="s">
        <v>505</v>
      </c>
      <c r="C16" s="812">
        <v>2018</v>
      </c>
      <c r="D16" s="726">
        <v>2857500</v>
      </c>
      <c r="E16" s="814">
        <v>1270000</v>
      </c>
      <c r="F16" s="814">
        <v>741242</v>
      </c>
      <c r="G16" s="814">
        <v>0</v>
      </c>
      <c r="H16" s="813">
        <v>0</v>
      </c>
      <c r="I16" s="816">
        <f t="shared" si="0"/>
        <v>4868742</v>
      </c>
    </row>
    <row r="17" spans="1:10" ht="22.5" x14ac:dyDescent="0.2">
      <c r="A17" s="811" t="s">
        <v>25</v>
      </c>
      <c r="B17" s="725" t="s">
        <v>507</v>
      </c>
      <c r="C17" s="812">
        <v>2018</v>
      </c>
      <c r="D17" s="726">
        <v>4170000</v>
      </c>
      <c r="E17" s="814">
        <v>1668000</v>
      </c>
      <c r="F17" s="814">
        <v>1668000</v>
      </c>
      <c r="G17" s="814">
        <v>1668000</v>
      </c>
      <c r="H17" s="813">
        <v>721526</v>
      </c>
      <c r="I17" s="816">
        <f t="shared" si="0"/>
        <v>9895526</v>
      </c>
    </row>
    <row r="18" spans="1:10" x14ac:dyDescent="0.2">
      <c r="A18" s="811" t="s">
        <v>26</v>
      </c>
      <c r="B18" s="725" t="s">
        <v>508</v>
      </c>
      <c r="C18" s="812">
        <v>2018</v>
      </c>
      <c r="D18" s="813">
        <v>1834504</v>
      </c>
      <c r="E18" s="813">
        <v>1834504</v>
      </c>
      <c r="F18" s="813">
        <v>1834504</v>
      </c>
      <c r="G18" s="814">
        <v>1834504</v>
      </c>
      <c r="H18" s="813">
        <v>1704746</v>
      </c>
      <c r="I18" s="816">
        <f t="shared" si="0"/>
        <v>9042762</v>
      </c>
    </row>
    <row r="19" spans="1:10" x14ac:dyDescent="0.2">
      <c r="A19" s="811" t="s">
        <v>27</v>
      </c>
      <c r="B19" s="817" t="s">
        <v>584</v>
      </c>
      <c r="C19" s="818">
        <v>2018</v>
      </c>
      <c r="D19" s="819">
        <v>5555200</v>
      </c>
      <c r="E19" s="819">
        <v>2777600</v>
      </c>
      <c r="F19" s="819">
        <v>2777600</v>
      </c>
      <c r="G19" s="819">
        <v>2777600</v>
      </c>
      <c r="H19" s="819">
        <v>11112000</v>
      </c>
      <c r="I19" s="816">
        <f t="shared" si="0"/>
        <v>25000000</v>
      </c>
    </row>
    <row r="20" spans="1:10" s="1260" customFormat="1" ht="22.5" x14ac:dyDescent="0.2">
      <c r="A20" s="811" t="s">
        <v>28</v>
      </c>
      <c r="B20" s="823" t="s">
        <v>586</v>
      </c>
      <c r="C20" s="812">
        <v>2019</v>
      </c>
      <c r="D20" s="813">
        <v>4500000</v>
      </c>
      <c r="E20" s="813">
        <v>3600000</v>
      </c>
      <c r="F20" s="813">
        <v>3600000</v>
      </c>
      <c r="G20" s="813">
        <v>3600000</v>
      </c>
      <c r="H20" s="813">
        <v>2009597</v>
      </c>
      <c r="I20" s="824">
        <f t="shared" ref="I20" si="2">SUM(D20:H20)</f>
        <v>17309597</v>
      </c>
    </row>
    <row r="21" spans="1:10" x14ac:dyDescent="0.2">
      <c r="A21" s="811" t="s">
        <v>29</v>
      </c>
      <c r="B21" s="820" t="s">
        <v>585</v>
      </c>
      <c r="C21" s="821">
        <v>2019</v>
      </c>
      <c r="D21" s="822">
        <v>1524000</v>
      </c>
      <c r="E21" s="822">
        <v>1016000</v>
      </c>
      <c r="F21" s="822">
        <v>1016000</v>
      </c>
      <c r="G21" s="822">
        <v>453644</v>
      </c>
      <c r="H21" s="822">
        <v>0</v>
      </c>
      <c r="I21" s="816">
        <f t="shared" si="0"/>
        <v>4009644</v>
      </c>
    </row>
    <row r="22" spans="1:10" x14ac:dyDescent="0.2">
      <c r="A22" s="811" t="s">
        <v>30</v>
      </c>
      <c r="B22" s="1003" t="s">
        <v>850</v>
      </c>
      <c r="C22" s="812">
        <v>2020</v>
      </c>
      <c r="D22" s="813">
        <v>0</v>
      </c>
      <c r="E22" s="813">
        <v>2300740</v>
      </c>
      <c r="F22" s="813">
        <v>2300740</v>
      </c>
      <c r="G22" s="813">
        <v>2300740</v>
      </c>
      <c r="H22" s="813">
        <v>4600561</v>
      </c>
      <c r="I22" s="824">
        <f>SUM(D22:H22)</f>
        <v>11502781</v>
      </c>
      <c r="J22" s="231"/>
    </row>
    <row r="23" spans="1:10" x14ac:dyDescent="0.2">
      <c r="A23" s="811" t="s">
        <v>31</v>
      </c>
      <c r="B23" s="1003" t="s">
        <v>864</v>
      </c>
      <c r="C23" s="812">
        <v>2021</v>
      </c>
      <c r="D23" s="813">
        <v>0</v>
      </c>
      <c r="E23" s="813">
        <v>0</v>
      </c>
      <c r="F23" s="813">
        <v>1568620</v>
      </c>
      <c r="G23" s="813">
        <v>1568620</v>
      </c>
      <c r="H23" s="813">
        <v>3921584</v>
      </c>
      <c r="I23" s="824">
        <f>SUM(D23:H23)</f>
        <v>7058824</v>
      </c>
    </row>
    <row r="24" spans="1:10" s="1260" customFormat="1" ht="22.5" x14ac:dyDescent="0.2">
      <c r="A24" s="1357" t="s">
        <v>32</v>
      </c>
      <c r="B24" s="1354" t="s">
        <v>943</v>
      </c>
      <c r="C24" s="821">
        <v>2021</v>
      </c>
      <c r="D24" s="822">
        <v>0</v>
      </c>
      <c r="E24" s="822">
        <v>0</v>
      </c>
      <c r="F24" s="822">
        <v>13750000</v>
      </c>
      <c r="G24" s="822">
        <v>13750000</v>
      </c>
      <c r="H24" s="822">
        <v>139500000</v>
      </c>
      <c r="I24" s="1353">
        <f>SUM(D24:H24)</f>
        <v>167000000</v>
      </c>
    </row>
    <row r="25" spans="1:10" s="1260" customFormat="1" ht="13.5" thickBot="1" x14ac:dyDescent="0.25">
      <c r="A25" s="1356" t="s">
        <v>33</v>
      </c>
      <c r="B25" s="1003" t="s">
        <v>1014</v>
      </c>
      <c r="C25" s="812">
        <v>2022</v>
      </c>
      <c r="D25" s="813">
        <v>0</v>
      </c>
      <c r="E25" s="813">
        <v>0</v>
      </c>
      <c r="F25" s="813">
        <v>0</v>
      </c>
      <c r="G25" s="813">
        <v>2280000</v>
      </c>
      <c r="H25" s="813">
        <v>11394426</v>
      </c>
      <c r="I25" s="824">
        <f>SUM(D25:H25)</f>
        <v>13674426</v>
      </c>
    </row>
    <row r="26" spans="1:10" ht="13.5" thickBot="1" x14ac:dyDescent="0.25">
      <c r="A26" s="1488" t="s">
        <v>49</v>
      </c>
      <c r="B26" s="1489"/>
      <c r="C26" s="825"/>
      <c r="D26" s="810">
        <f t="shared" ref="D26:I26" si="3">SUM(D11:D25)</f>
        <v>51670212</v>
      </c>
      <c r="E26" s="810">
        <f t="shared" si="3"/>
        <v>24562800</v>
      </c>
      <c r="F26" s="810">
        <f t="shared" si="3"/>
        <v>37503210</v>
      </c>
      <c r="G26" s="810">
        <f t="shared" si="3"/>
        <v>38348854</v>
      </c>
      <c r="H26" s="810">
        <f t="shared" si="3"/>
        <v>186425595</v>
      </c>
      <c r="I26" s="810">
        <f t="shared" si="3"/>
        <v>338510671</v>
      </c>
    </row>
    <row r="27" spans="1:10" ht="15" x14ac:dyDescent="0.25">
      <c r="B27" s="667" t="s">
        <v>851</v>
      </c>
      <c r="C27" s="583"/>
      <c r="D27" s="667"/>
      <c r="E27" s="667"/>
      <c r="F27" s="667"/>
      <c r="G27" s="667"/>
      <c r="H27" s="667"/>
    </row>
    <row r="29" spans="1:10" ht="15.75" x14ac:dyDescent="0.2">
      <c r="B29" s="397"/>
    </row>
    <row r="30" spans="1:10" ht="15.75" x14ac:dyDescent="0.2">
      <c r="B30" s="582"/>
      <c r="C30" s="584"/>
      <c r="D30" s="232"/>
      <c r="E30" s="232"/>
      <c r="F30" s="232"/>
      <c r="G30" s="232"/>
      <c r="H30" s="232"/>
    </row>
    <row r="31" spans="1:10" x14ac:dyDescent="0.2">
      <c r="B31" s="232"/>
      <c r="C31" s="585"/>
    </row>
    <row r="32" spans="1:10" x14ac:dyDescent="0.2">
      <c r="B32" s="232"/>
      <c r="C32" s="585"/>
    </row>
    <row r="33" spans="2:4" x14ac:dyDescent="0.2">
      <c r="B33" s="232"/>
      <c r="C33" s="586"/>
    </row>
    <row r="34" spans="2:4" x14ac:dyDescent="0.2">
      <c r="B34" s="838"/>
      <c r="C34" s="585"/>
    </row>
    <row r="35" spans="2:4" x14ac:dyDescent="0.2">
      <c r="B35" s="232"/>
      <c r="C35" s="585"/>
    </row>
    <row r="36" spans="2:4" x14ac:dyDescent="0.2">
      <c r="B36" s="232"/>
      <c r="C36" s="585"/>
    </row>
    <row r="37" spans="2:4" x14ac:dyDescent="0.2">
      <c r="B37" s="232"/>
      <c r="C37" s="585"/>
    </row>
    <row r="38" spans="2:4" x14ac:dyDescent="0.2">
      <c r="B38" s="232"/>
      <c r="C38" s="585"/>
    </row>
    <row r="39" spans="2:4" x14ac:dyDescent="0.2">
      <c r="B39" s="232"/>
      <c r="C39" s="585"/>
    </row>
    <row r="40" spans="2:4" ht="17.25" customHeight="1" x14ac:dyDescent="0.2">
      <c r="B40" s="233"/>
      <c r="C40" s="586"/>
    </row>
    <row r="41" spans="2:4" x14ac:dyDescent="0.2">
      <c r="B41" s="232"/>
    </row>
    <row r="42" spans="2:4" x14ac:dyDescent="0.2">
      <c r="B42" s="234"/>
      <c r="C42" s="586"/>
    </row>
    <row r="43" spans="2:4" x14ac:dyDescent="0.2">
      <c r="C43" s="585"/>
      <c r="D43" s="707"/>
    </row>
    <row r="44" spans="2:4" x14ac:dyDescent="0.2">
      <c r="C44" s="585"/>
      <c r="D44" s="707"/>
    </row>
    <row r="45" spans="2:4" x14ac:dyDescent="0.2">
      <c r="C45" s="585"/>
      <c r="D45" s="707"/>
    </row>
    <row r="47" spans="2:4" x14ac:dyDescent="0.2">
      <c r="B47" s="234"/>
      <c r="C47" s="586"/>
    </row>
    <row r="48" spans="2:4" x14ac:dyDescent="0.2">
      <c r="D48" s="707"/>
    </row>
    <row r="49" spans="4:4" x14ac:dyDescent="0.2">
      <c r="D49" s="707"/>
    </row>
    <row r="50" spans="4:4" x14ac:dyDescent="0.2">
      <c r="D50" s="707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N167"/>
  <sheetViews>
    <sheetView zoomScale="115" zoomScaleNormal="115" zoomScaleSheetLayoutView="100" workbookViewId="0">
      <selection activeCell="B179" sqref="B17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15.3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394" t="str">
        <f>CONCATENATE("3. melléklet"," ",ALAPADATOK!A7," ",ALAPADATOK!B7," ",ALAPADATOK!C7," ",ALAPADATOK!D7," ",ALAPADATOK!E7," ",ALAPADATOK!F7," ",ALAPADATOK!G7," ",ALAPADATOK!H7)</f>
        <v>3. melléklet a .. / 2022. ( ……. ) önkormányzati rendelethez</v>
      </c>
      <c r="B1" s="1394"/>
      <c r="C1" s="1394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393" t="str">
        <f>CONCATENATE(ALAPADATOK!A3)</f>
        <v>Tiszavasvári Város Önkormányzat</v>
      </c>
      <c r="B3" s="1393"/>
      <c r="C3" s="1393"/>
      <c r="F3" s="741"/>
      <c r="G3" s="741"/>
      <c r="H3" s="741"/>
    </row>
    <row r="4" spans="1:9" s="652" customFormat="1" x14ac:dyDescent="0.25">
      <c r="A4" s="1392" t="str">
        <f>CONCATENATE(ALAPADATOK!D7," ÉVI KÖLTSÉGVETÉS")</f>
        <v>2022. ÉVI KÖLTSÉGVETÉS</v>
      </c>
      <c r="B4" s="1392"/>
      <c r="C4" s="1392"/>
      <c r="F4" s="741"/>
      <c r="G4" s="741"/>
      <c r="H4" s="741"/>
    </row>
    <row r="5" spans="1:9" s="652" customFormat="1" x14ac:dyDescent="0.25">
      <c r="A5" s="1392" t="s">
        <v>680</v>
      </c>
      <c r="B5" s="1392"/>
      <c r="C5" s="1392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396" t="s">
        <v>13</v>
      </c>
      <c r="B7" s="1396"/>
      <c r="C7" s="1396"/>
      <c r="D7" s="170"/>
      <c r="E7" s="170"/>
      <c r="F7" s="739"/>
      <c r="G7" s="739"/>
      <c r="H7" s="739"/>
      <c r="I7" s="170"/>
    </row>
    <row r="8" spans="1:9" ht="15.95" customHeight="1" thickBot="1" x14ac:dyDescent="0.3">
      <c r="A8" s="1398"/>
      <c r="B8" s="1398"/>
      <c r="C8" s="121" t="s">
        <v>487</v>
      </c>
      <c r="D8" s="170"/>
      <c r="E8" s="170"/>
      <c r="F8" s="739"/>
      <c r="G8" s="739"/>
      <c r="H8" s="739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959</v>
      </c>
      <c r="D9" s="739" t="s">
        <v>492</v>
      </c>
      <c r="E9" s="739" t="s">
        <v>493</v>
      </c>
      <c r="F9" s="739" t="s">
        <v>955</v>
      </c>
      <c r="G9" s="739" t="s">
        <v>956</v>
      </c>
      <c r="H9" s="739" t="s">
        <v>957</v>
      </c>
      <c r="I9" s="739" t="s">
        <v>958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372765129</v>
      </c>
      <c r="D11" s="266">
        <f t="shared" ref="D11:I11" si="1">+D12+D13+D14+D17+D18+D19</f>
        <v>372765129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89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90"/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372765129</v>
      </c>
      <c r="D14" s="1190">
        <f t="shared" ref="D14:I14" si="2">SUM(D15:D16)</f>
        <v>372765129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372765129</v>
      </c>
      <c r="D15" s="1190">
        <v>372765129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289">
        <f t="shared" si="0"/>
        <v>0</v>
      </c>
      <c r="D16" s="1190"/>
      <c r="E16" s="767"/>
      <c r="F16" s="767"/>
      <c r="G16" s="767"/>
      <c r="H16" s="767"/>
      <c r="I16" s="767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90"/>
      <c r="E17" s="767"/>
      <c r="F17" s="767"/>
      <c r="G17" s="767"/>
      <c r="H17" s="767"/>
      <c r="I17" s="767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90"/>
      <c r="E18" s="767"/>
      <c r="F18" s="767"/>
      <c r="G18" s="767"/>
      <c r="H18" s="767"/>
      <c r="I18" s="767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177131233</v>
      </c>
      <c r="D20" s="266">
        <f t="shared" ref="D20:I20" si="3">+D21+D22+D23+D24+D25</f>
        <v>126028453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1251">
        <f t="shared" si="0"/>
        <v>177131233</v>
      </c>
      <c r="D25" s="1183">
        <v>126028453</v>
      </c>
      <c r="E25" s="767"/>
      <c r="F25" s="767"/>
      <c r="G25" s="1190"/>
      <c r="H25" s="767"/>
      <c r="I25" s="767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0</v>
      </c>
      <c r="D26" s="769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18860990</v>
      </c>
      <c r="D27" s="266">
        <f t="shared" ref="D27:I27" si="4">+D28+D29+D30+D31+D32</f>
        <v>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85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8"/>
      <c r="E29" s="767"/>
      <c r="F29" s="767"/>
      <c r="G29" s="767"/>
      <c r="H29" s="767"/>
      <c r="I29" s="767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8"/>
      <c r="E30" s="767"/>
      <c r="F30" s="767"/>
      <c r="G30" s="767"/>
      <c r="H30" s="767"/>
      <c r="I30" s="767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8"/>
      <c r="E31" s="767"/>
      <c r="F31" s="767"/>
      <c r="G31" s="767"/>
      <c r="H31" s="767"/>
      <c r="I31" s="767"/>
    </row>
    <row r="32" spans="1:9" s="183" customFormat="1" ht="12" customHeight="1" x14ac:dyDescent="0.2">
      <c r="A32" s="11" t="s">
        <v>122</v>
      </c>
      <c r="B32" s="185" t="s">
        <v>192</v>
      </c>
      <c r="C32" s="1251">
        <f t="shared" si="0"/>
        <v>18860990</v>
      </c>
      <c r="D32" s="1183"/>
      <c r="E32" s="767"/>
      <c r="F32" s="767"/>
      <c r="G32" s="767"/>
      <c r="H32" s="767"/>
      <c r="I32" s="767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0</v>
      </c>
      <c r="D33" s="769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9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88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88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8"/>
      <c r="E38" s="767"/>
      <c r="F38" s="767"/>
      <c r="G38" s="767"/>
      <c r="H38" s="767"/>
      <c r="I38" s="767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84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202601750</v>
      </c>
      <c r="D41" s="266">
        <f t="shared" ref="D41:I41" si="7">SUM(D42:D52)</f>
        <v>21820900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286">
        <f t="shared" si="0"/>
        <v>4810537</v>
      </c>
      <c r="D43" s="1183">
        <v>1781102</v>
      </c>
      <c r="E43" s="1190"/>
      <c r="F43" s="1189"/>
      <c r="G43" s="1189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83"/>
      <c r="E44" s="1190"/>
      <c r="F44" s="1189"/>
      <c r="G44" s="1189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83"/>
      <c r="E45" s="767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286">
        <f t="shared" si="0"/>
        <v>163364832</v>
      </c>
      <c r="D46" s="768"/>
      <c r="E46" s="1190"/>
      <c r="F46" s="1189"/>
      <c r="G46" s="1189"/>
      <c r="H46" s="1189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286">
        <f t="shared" si="0"/>
        <v>1655583</v>
      </c>
      <c r="D47" s="1183">
        <v>480898</v>
      </c>
      <c r="E47" s="1190"/>
      <c r="F47" s="1189"/>
      <c r="G47" s="1189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83">
        <v>19458900</v>
      </c>
      <c r="E48" s="1190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3311898</v>
      </c>
      <c r="D52" s="1184">
        <v>100000</v>
      </c>
      <c r="E52" s="1192"/>
      <c r="F52" s="1189"/>
      <c r="G52" s="1189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83"/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200000</v>
      </c>
      <c r="D59" s="266">
        <f t="shared" ref="D59:I59" si="9">SUM(D60:D62)</f>
        <v>200000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91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83">
        <v>200000</v>
      </c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752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756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771559102</v>
      </c>
      <c r="D69" s="269">
        <f t="shared" ref="D69:I69" si="11">+D11+D20+D27+D34+D41+D53+D59+D64</f>
        <v>520814482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83"/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83"/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83"/>
      <c r="E80" s="1190"/>
      <c r="F80" s="1190"/>
      <c r="G80" s="1190"/>
      <c r="H80" s="767"/>
      <c r="I80" s="767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83"/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818740266</v>
      </c>
      <c r="D94" s="269">
        <f t="shared" ref="D94:I94" si="19">+D69+D93</f>
        <v>520814482</v>
      </c>
      <c r="E94" s="1193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396" t="s">
        <v>44</v>
      </c>
      <c r="B95" s="1396"/>
      <c r="C95" s="1396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397" t="s">
        <v>115</v>
      </c>
      <c r="B96" s="1397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999504515</v>
      </c>
      <c r="D99" s="273">
        <f>+D100+D101+D102+D103+D104+D117</f>
        <v>137927423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285">
        <f t="shared" si="21"/>
        <v>549318451</v>
      </c>
      <c r="D100" s="1182">
        <v>3472852</v>
      </c>
      <c r="E100" s="1194"/>
      <c r="F100" s="1194"/>
      <c r="G100" s="1194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1251">
        <f t="shared" si="21"/>
        <v>79247785</v>
      </c>
      <c r="D101" s="1183">
        <v>1482606</v>
      </c>
      <c r="E101" s="1190">
        <f>7314</f>
        <v>7314</v>
      </c>
      <c r="F101" s="1190"/>
      <c r="G101" s="1190">
        <v>66080</v>
      </c>
      <c r="H101" s="767"/>
      <c r="I101" s="767">
        <v>77691785</v>
      </c>
      <c r="K101" s="739"/>
    </row>
    <row r="102" spans="1:11" ht="12" customHeight="1" x14ac:dyDescent="0.25">
      <c r="A102" s="11" t="s">
        <v>87</v>
      </c>
      <c r="B102" s="5" t="s">
        <v>110</v>
      </c>
      <c r="C102" s="1251">
        <f t="shared" si="21"/>
        <v>350440891</v>
      </c>
      <c r="D102" s="1184">
        <v>112474577</v>
      </c>
      <c r="E102" s="1192">
        <f>80000+21600</f>
        <v>101600</v>
      </c>
      <c r="F102" s="1190"/>
      <c r="G102" s="767">
        <v>1197504</v>
      </c>
      <c r="H102" s="767"/>
      <c r="I102" s="767">
        <v>236667210</v>
      </c>
    </row>
    <row r="103" spans="1:11" ht="12" customHeight="1" x14ac:dyDescent="0.25">
      <c r="A103" s="11" t="s">
        <v>88</v>
      </c>
      <c r="B103" s="5" t="s">
        <v>135</v>
      </c>
      <c r="C103" s="286">
        <f t="shared" si="21"/>
        <v>0</v>
      </c>
      <c r="D103" s="1184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289">
        <f t="shared" si="21"/>
        <v>20497388</v>
      </c>
      <c r="D104" s="769">
        <f>SUM(D105:D116)</f>
        <v>20497388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11" ht="12" customHeight="1" x14ac:dyDescent="0.25">
      <c r="A105" s="11" t="s">
        <v>89</v>
      </c>
      <c r="B105" s="5" t="s">
        <v>399</v>
      </c>
      <c r="C105" s="289">
        <f t="shared" si="21"/>
        <v>0</v>
      </c>
      <c r="D105" s="769"/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289">
        <f t="shared" si="21"/>
        <v>0</v>
      </c>
      <c r="D106" s="1184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9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289">
        <f t="shared" si="21"/>
        <v>0</v>
      </c>
      <c r="D111" s="1184"/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286">
        <f t="shared" si="21"/>
        <v>20497388</v>
      </c>
      <c r="D116" s="1183">
        <v>20497388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8">
        <f t="shared" ref="D117:I117" si="22">SUM(D118:D119)</f>
        <v>0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84"/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87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122071295</v>
      </c>
      <c r="D120" s="266">
        <f t="shared" ref="D120:I120" si="23">+D121+D123+D125</f>
        <v>96592654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285">
        <f t="shared" si="21"/>
        <v>72587295</v>
      </c>
      <c r="D121" s="1185">
        <v>47592654</v>
      </c>
      <c r="E121" s="1189"/>
      <c r="F121" s="1189"/>
      <c r="G121" s="222"/>
      <c r="H121" s="1189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51">
        <f t="shared" si="21"/>
        <v>1053800</v>
      </c>
      <c r="D122" s="1186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51">
        <f t="shared" si="21"/>
        <v>49000000</v>
      </c>
      <c r="D123" s="1183">
        <v>49000000</v>
      </c>
      <c r="E123" s="767"/>
      <c r="F123" s="1190"/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752">
        <f t="shared" si="21"/>
        <v>0</v>
      </c>
      <c r="D124" s="768"/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278">
        <f>SUM(C126:C133)</f>
        <v>484000</v>
      </c>
      <c r="D125" s="1183"/>
      <c r="E125" s="768">
        <f>SUM(E126:E133)</f>
        <v>0</v>
      </c>
      <c r="F125" s="768">
        <f>SUM(F126:F133)</f>
        <v>0</v>
      </c>
      <c r="G125" s="768">
        <f>SUM(G126:G133)</f>
        <v>484000</v>
      </c>
      <c r="H125" s="768">
        <f>SUM(H126:H133)</f>
        <v>0</v>
      </c>
      <c r="I125" s="768">
        <f>SUM(I126:I133)</f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290">
        <f t="shared" si="21"/>
        <v>484000</v>
      </c>
      <c r="D133" s="1184"/>
      <c r="E133" s="769"/>
      <c r="F133" s="769"/>
      <c r="G133" s="1184">
        <v>484000</v>
      </c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1121575810</v>
      </c>
      <c r="D134" s="266">
        <f t="shared" ref="D134:I134" si="24">+D99+D120</f>
        <v>234520077</v>
      </c>
      <c r="E134" s="112">
        <f t="shared" si="24"/>
        <v>108914</v>
      </c>
      <c r="F134" s="112">
        <f t="shared" si="24"/>
        <v>0</v>
      </c>
      <c r="G134" s="112">
        <f t="shared" si="24"/>
        <v>1905064</v>
      </c>
      <c r="H134" s="112">
        <f t="shared" si="24"/>
        <v>0</v>
      </c>
      <c r="I134" s="112">
        <f t="shared" si="24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5">+D136+D137+D138</f>
        <v>1668000</v>
      </c>
      <c r="E135" s="112">
        <f t="shared" si="25"/>
        <v>0</v>
      </c>
      <c r="F135" s="112">
        <f t="shared" si="25"/>
        <v>0</v>
      </c>
      <c r="G135" s="112">
        <f t="shared" si="25"/>
        <v>0</v>
      </c>
      <c r="H135" s="112">
        <f t="shared" si="25"/>
        <v>0</v>
      </c>
      <c r="I135" s="112">
        <f t="shared" si="25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83">
        <v>1668000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83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6">+D147+D148+D149+D150</f>
        <v>0</v>
      </c>
      <c r="E146" s="117">
        <f t="shared" si="26"/>
        <v>0</v>
      </c>
      <c r="F146" s="117">
        <f t="shared" si="26"/>
        <v>0</v>
      </c>
      <c r="G146" s="117">
        <f t="shared" si="26"/>
        <v>0</v>
      </c>
      <c r="H146" s="117">
        <f t="shared" si="26"/>
        <v>0</v>
      </c>
      <c r="I146" s="117">
        <f t="shared" si="26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88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7">+D135+D139+D146+D151+D157+D158</f>
        <v>1668000</v>
      </c>
      <c r="E159" s="194">
        <f t="shared" si="27"/>
        <v>0</v>
      </c>
      <c r="F159" s="1010">
        <f t="shared" si="27"/>
        <v>0</v>
      </c>
      <c r="G159" s="1010">
        <f t="shared" si="27"/>
        <v>0</v>
      </c>
      <c r="H159" s="1010">
        <f t="shared" si="27"/>
        <v>0</v>
      </c>
      <c r="I159" s="1010">
        <f t="shared" si="27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1123243810</v>
      </c>
      <c r="D160" s="275">
        <f t="shared" ref="D160:I160" si="28">+D134+D159</f>
        <v>236188077</v>
      </c>
      <c r="E160" s="194">
        <f t="shared" si="28"/>
        <v>108914</v>
      </c>
      <c r="F160" s="1010">
        <f t="shared" si="28"/>
        <v>0</v>
      </c>
      <c r="G160" s="1010">
        <f t="shared" si="28"/>
        <v>1905064</v>
      </c>
      <c r="H160" s="1010">
        <f t="shared" si="28"/>
        <v>0</v>
      </c>
      <c r="I160" s="1010">
        <f t="shared" si="28"/>
        <v>885041755</v>
      </c>
    </row>
    <row r="161" spans="1:4" x14ac:dyDescent="0.25">
      <c r="A161" s="1392" t="s">
        <v>306</v>
      </c>
      <c r="B161" s="1392"/>
      <c r="C161" s="1392"/>
    </row>
    <row r="162" spans="1:4" ht="15" customHeight="1" thickBot="1" x14ac:dyDescent="0.3">
      <c r="A162" s="1395" t="s">
        <v>116</v>
      </c>
      <c r="B162" s="1395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-350016708</v>
      </c>
    </row>
    <row r="164" spans="1:4" ht="21.75" thickBot="1" x14ac:dyDescent="0.3">
      <c r="A164" s="17" t="s">
        <v>17</v>
      </c>
      <c r="B164" s="22" t="s">
        <v>719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4"/>
  <sheetViews>
    <sheetView workbookViewId="0">
      <selection activeCell="H8" sqref="H8"/>
    </sheetView>
  </sheetViews>
  <sheetFormatPr defaultRowHeight="12.75" x14ac:dyDescent="0.2"/>
  <cols>
    <col min="1" max="1" width="5.83203125" style="718" customWidth="1"/>
    <col min="2" max="2" width="54.83203125" style="704" customWidth="1"/>
    <col min="3" max="4" width="17.6640625" style="704" customWidth="1"/>
    <col min="5" max="16384" width="9.33203125" style="704"/>
  </cols>
  <sheetData>
    <row r="1" spans="1:9" ht="12.75" customHeight="1" x14ac:dyDescent="0.2">
      <c r="A1" s="1490" t="str">
        <f>CONCATENATE("38. tájékoztató tábla ",ALAPADATOK!A7," ",ALAPADATOK!B7," ",ALAPADATOK!C7," ",ALAPADATOK!D7," ",ALAPADATOK!E7," ",ALAPADATOK!F7," ",ALAPADATOK!G7," ",ALAPADATOK!H7)</f>
        <v>38. tájékoztató tábla a .. / 2022. ( ……. ) önkormányzati rendelethez</v>
      </c>
      <c r="B1" s="1490"/>
      <c r="C1" s="1490"/>
      <c r="D1" s="1490"/>
      <c r="E1" s="615"/>
      <c r="F1" s="615"/>
      <c r="G1" s="615"/>
      <c r="H1" s="615"/>
      <c r="I1" s="615"/>
    </row>
    <row r="2" spans="1:9" ht="12.75" customHeight="1" x14ac:dyDescent="0.2">
      <c r="A2" s="1499" t="s">
        <v>1040</v>
      </c>
      <c r="B2" s="1499"/>
      <c r="C2" s="1499"/>
      <c r="D2" s="1499"/>
      <c r="E2" s="1260"/>
      <c r="F2" s="1260"/>
      <c r="G2" s="615"/>
      <c r="H2" s="615"/>
      <c r="I2" s="615"/>
    </row>
    <row r="4" spans="1:9" ht="15.75" x14ac:dyDescent="0.25">
      <c r="B4" s="1500" t="s">
        <v>1048</v>
      </c>
      <c r="C4" s="1500"/>
      <c r="D4" s="1500"/>
    </row>
    <row r="5" spans="1:9" s="33" customFormat="1" ht="15.75" thickBot="1" x14ac:dyDescent="0.25">
      <c r="A5" s="442"/>
      <c r="B5" s="1552" t="s">
        <v>589</v>
      </c>
      <c r="D5" s="443" t="s">
        <v>489</v>
      </c>
    </row>
    <row r="6" spans="1:9" s="717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7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9"/>
    </row>
    <row r="10" spans="1:9" ht="18" customHeight="1" x14ac:dyDescent="0.2">
      <c r="A10" s="450" t="s">
        <v>18</v>
      </c>
      <c r="B10" s="451" t="s">
        <v>535</v>
      </c>
      <c r="C10" s="452"/>
      <c r="D10" s="759"/>
    </row>
    <row r="11" spans="1:9" ht="18" customHeight="1" x14ac:dyDescent="0.2">
      <c r="A11" s="450" t="s">
        <v>19</v>
      </c>
      <c r="B11" s="451" t="s">
        <v>536</v>
      </c>
      <c r="C11" s="452"/>
      <c r="D11" s="759"/>
    </row>
    <row r="12" spans="1:9" ht="18" customHeight="1" x14ac:dyDescent="0.2">
      <c r="A12" s="450" t="s">
        <v>20</v>
      </c>
      <c r="B12" s="451" t="s">
        <v>537</v>
      </c>
      <c r="C12" s="453">
        <f>SUM(C13:C18)</f>
        <v>0</v>
      </c>
      <c r="D12" s="454">
        <f>SUM(D13:D18)</f>
        <v>0</v>
      </c>
    </row>
    <row r="13" spans="1:9" ht="18" customHeight="1" x14ac:dyDescent="0.2">
      <c r="A13" s="450" t="s">
        <v>21</v>
      </c>
      <c r="B13" s="451" t="s">
        <v>538</v>
      </c>
      <c r="C13" s="452"/>
      <c r="D13" s="759"/>
    </row>
    <row r="14" spans="1:9" ht="18" customHeight="1" x14ac:dyDescent="0.2">
      <c r="A14" s="450" t="s">
        <v>22</v>
      </c>
      <c r="B14" s="455" t="s">
        <v>539</v>
      </c>
      <c r="C14" s="452"/>
      <c r="D14" s="759"/>
    </row>
    <row r="15" spans="1:9" ht="18" customHeight="1" x14ac:dyDescent="0.2">
      <c r="A15" s="450" t="s">
        <v>24</v>
      </c>
      <c r="B15" s="455" t="s">
        <v>540</v>
      </c>
      <c r="C15" s="452">
        <v>0</v>
      </c>
      <c r="D15" s="456"/>
    </row>
    <row r="16" spans="1:9" ht="18" customHeight="1" x14ac:dyDescent="0.2">
      <c r="A16" s="450" t="s">
        <v>25</v>
      </c>
      <c r="B16" s="455" t="s">
        <v>541</v>
      </c>
      <c r="C16" s="452"/>
      <c r="D16" s="759"/>
    </row>
    <row r="17" spans="1:4" ht="18" customHeight="1" x14ac:dyDescent="0.2">
      <c r="A17" s="450" t="s">
        <v>26</v>
      </c>
      <c r="B17" s="455" t="s">
        <v>542</v>
      </c>
      <c r="C17" s="452"/>
      <c r="D17" s="759"/>
    </row>
    <row r="18" spans="1:4" ht="22.5" customHeight="1" x14ac:dyDescent="0.2">
      <c r="A18" s="450" t="s">
        <v>27</v>
      </c>
      <c r="B18" s="455" t="s">
        <v>543</v>
      </c>
      <c r="C18" s="452"/>
      <c r="D18" s="759"/>
    </row>
    <row r="19" spans="1:4" ht="18" customHeight="1" x14ac:dyDescent="0.2">
      <c r="A19" s="450" t="s">
        <v>28</v>
      </c>
      <c r="B19" s="451" t="s">
        <v>544</v>
      </c>
      <c r="C19" s="452"/>
      <c r="D19" s="759"/>
    </row>
    <row r="20" spans="1:4" ht="18" customHeight="1" x14ac:dyDescent="0.2">
      <c r="A20" s="450" t="s">
        <v>29</v>
      </c>
      <c r="B20" s="451" t="s">
        <v>545</v>
      </c>
      <c r="C20" s="452"/>
      <c r="D20" s="759"/>
    </row>
    <row r="21" spans="1:4" ht="18" customHeight="1" x14ac:dyDescent="0.2">
      <c r="A21" s="450" t="s">
        <v>30</v>
      </c>
      <c r="B21" s="451" t="s">
        <v>546</v>
      </c>
      <c r="C21" s="452"/>
      <c r="D21" s="759"/>
    </row>
    <row r="22" spans="1:4" ht="18" customHeight="1" x14ac:dyDescent="0.2">
      <c r="A22" s="450" t="s">
        <v>31</v>
      </c>
      <c r="B22" s="451" t="s">
        <v>547</v>
      </c>
      <c r="C22" s="452"/>
      <c r="D22" s="759"/>
    </row>
    <row r="23" spans="1:4" ht="18" customHeight="1" x14ac:dyDescent="0.2">
      <c r="A23" s="450" t="s">
        <v>32</v>
      </c>
      <c r="B23" s="451" t="s">
        <v>548</v>
      </c>
      <c r="C23" s="452"/>
      <c r="D23" s="759"/>
    </row>
    <row r="24" spans="1:4" ht="18" customHeight="1" x14ac:dyDescent="0.2">
      <c r="A24" s="450" t="s">
        <v>33</v>
      </c>
      <c r="B24" s="457"/>
      <c r="C24" s="35"/>
      <c r="D24" s="759"/>
    </row>
    <row r="25" spans="1:4" ht="18" customHeight="1" x14ac:dyDescent="0.2">
      <c r="A25" s="450" t="s">
        <v>34</v>
      </c>
      <c r="B25" s="458"/>
      <c r="C25" s="35"/>
      <c r="D25" s="759"/>
    </row>
    <row r="26" spans="1:4" ht="18" customHeight="1" x14ac:dyDescent="0.2">
      <c r="A26" s="450" t="s">
        <v>35</v>
      </c>
      <c r="B26" s="458"/>
      <c r="C26" s="35"/>
      <c r="D26" s="759"/>
    </row>
    <row r="27" spans="1:4" ht="18" customHeight="1" x14ac:dyDescent="0.2">
      <c r="A27" s="450" t="s">
        <v>36</v>
      </c>
      <c r="B27" s="458"/>
      <c r="C27" s="35"/>
      <c r="D27" s="759"/>
    </row>
    <row r="28" spans="1:4" ht="18" customHeight="1" x14ac:dyDescent="0.2">
      <c r="A28" s="450" t="s">
        <v>37</v>
      </c>
      <c r="B28" s="458"/>
      <c r="C28" s="35"/>
      <c r="D28" s="759"/>
    </row>
    <row r="29" spans="1:4" ht="18" customHeight="1" x14ac:dyDescent="0.2">
      <c r="A29" s="450" t="s">
        <v>38</v>
      </c>
      <c r="B29" s="458"/>
      <c r="C29" s="35"/>
      <c r="D29" s="759"/>
    </row>
    <row r="30" spans="1:4" ht="18" customHeight="1" x14ac:dyDescent="0.2">
      <c r="A30" s="450" t="s">
        <v>39</v>
      </c>
      <c r="B30" s="458"/>
      <c r="C30" s="35"/>
      <c r="D30" s="759"/>
    </row>
    <row r="31" spans="1:4" ht="18" customHeight="1" x14ac:dyDescent="0.2">
      <c r="A31" s="450" t="s">
        <v>40</v>
      </c>
      <c r="B31" s="458"/>
      <c r="C31" s="35"/>
      <c r="D31" s="759"/>
    </row>
    <row r="32" spans="1:4" ht="18" customHeight="1" thickBot="1" x14ac:dyDescent="0.25">
      <c r="A32" s="459" t="s">
        <v>41</v>
      </c>
      <c r="B32" s="460"/>
      <c r="C32" s="461"/>
      <c r="D32" s="760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0</v>
      </c>
      <c r="D33" s="465">
        <f>+D8+D9+D10+D11+D12+D19+D20+D21+D22+D23+D24+D25+D26+D27+D28+D29+D30+D31+D32</f>
        <v>0</v>
      </c>
    </row>
    <row r="34" spans="1:4" ht="8.25" customHeight="1" x14ac:dyDescent="0.2">
      <c r="A34" s="777"/>
      <c r="B34" s="1501"/>
      <c r="C34" s="1501"/>
      <c r="D34" s="1501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85" zoomScaleNormal="85" zoomScalePageLayoutView="85" workbookViewId="0">
      <selection activeCell="A4" sqref="A4:O4"/>
    </sheetView>
  </sheetViews>
  <sheetFormatPr defaultRowHeight="15.75" x14ac:dyDescent="0.25"/>
  <cols>
    <col min="1" max="1" width="7.83203125" style="40" customWidth="1"/>
    <col min="2" max="2" width="31.1640625" style="709" customWidth="1"/>
    <col min="3" max="13" width="12.5" style="709" customWidth="1"/>
    <col min="14" max="14" width="13.5" style="709" bestFit="1" customWidth="1"/>
    <col min="15" max="15" width="12.5" style="415" customWidth="1"/>
    <col min="16" max="16" width="14.6640625" style="716" hidden="1" customWidth="1"/>
    <col min="17" max="17" width="16.6640625" style="716" hidden="1" customWidth="1"/>
    <col min="18" max="18" width="9.33203125" style="709" customWidth="1"/>
    <col min="19" max="16384" width="9.33203125" style="709"/>
  </cols>
  <sheetData>
    <row r="1" spans="1:17" x14ac:dyDescent="0.25">
      <c r="A1" s="1502" t="str">
        <f>CONCATENATE("39. melléklet ",ALAPADATOK!A7," ",ALAPADATOK!B7," ",ALAPADATOK!C7," ",ALAPADATOK!D7," ",ALAPADATOK!E7," ",ALAPADATOK!F7," ",ALAPADATOK!G7," ",ALAPADATOK!H7)</f>
        <v>39. melléklet a .. / 2022. ( ……. ) önkormányzati rendelethez</v>
      </c>
      <c r="B1" s="1502"/>
      <c r="C1" s="1502"/>
      <c r="D1" s="1502"/>
      <c r="E1" s="1502"/>
      <c r="F1" s="1502"/>
      <c r="G1" s="1502"/>
      <c r="H1" s="1502"/>
      <c r="I1" s="1502"/>
      <c r="J1" s="1502"/>
      <c r="K1" s="1502"/>
      <c r="L1" s="1502"/>
      <c r="M1" s="1502"/>
      <c r="N1" s="1502"/>
      <c r="O1" s="1502"/>
    </row>
    <row r="2" spans="1:17" x14ac:dyDescent="0.25">
      <c r="A2" s="778"/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1384" t="s">
        <v>1041</v>
      </c>
    </row>
    <row r="3" spans="1:17" ht="18.75" x14ac:dyDescent="0.3">
      <c r="A3" s="1503" t="s">
        <v>1015</v>
      </c>
      <c r="B3" s="1504"/>
      <c r="C3" s="1504"/>
      <c r="D3" s="1504"/>
      <c r="E3" s="1504"/>
      <c r="F3" s="1504"/>
      <c r="G3" s="1504"/>
      <c r="H3" s="1504"/>
      <c r="I3" s="1504"/>
      <c r="J3" s="1504"/>
      <c r="K3" s="1504"/>
      <c r="L3" s="1504"/>
      <c r="M3" s="1504"/>
      <c r="N3" s="1504"/>
      <c r="O3" s="1504"/>
    </row>
    <row r="4" spans="1:17" ht="36" customHeight="1" thickBot="1" x14ac:dyDescent="0.35">
      <c r="A4" s="1503"/>
      <c r="B4" s="1503"/>
      <c r="C4" s="1503"/>
      <c r="D4" s="1503"/>
      <c r="E4" s="1503"/>
      <c r="F4" s="1503"/>
      <c r="G4" s="1503"/>
      <c r="H4" s="1503"/>
      <c r="I4" s="1503"/>
      <c r="J4" s="1503"/>
      <c r="K4" s="1503"/>
      <c r="L4" s="1503"/>
      <c r="M4" s="1503"/>
      <c r="N4" s="1503"/>
      <c r="O4" s="1503"/>
    </row>
    <row r="5" spans="1:17" ht="24.75" thickBot="1" x14ac:dyDescent="0.3">
      <c r="A5" s="318" t="s">
        <v>717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926</v>
      </c>
      <c r="K5" s="319" t="s">
        <v>927</v>
      </c>
      <c r="L5" s="319" t="s">
        <v>928</v>
      </c>
      <c r="M5" s="319" t="s">
        <v>929</v>
      </c>
      <c r="N5" s="319" t="s">
        <v>930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05" t="s">
        <v>931</v>
      </c>
      <c r="C6" s="1506"/>
      <c r="D6" s="1506"/>
      <c r="E6" s="1506"/>
      <c r="F6" s="1506"/>
      <c r="G6" s="1506"/>
      <c r="H6" s="1506"/>
      <c r="I6" s="1506"/>
      <c r="J6" s="1506"/>
      <c r="K6" s="1506"/>
      <c r="L6" s="1506"/>
      <c r="M6" s="1506"/>
      <c r="N6" s="1506"/>
      <c r="O6" s="1507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v>137500000</v>
      </c>
      <c r="D7" s="258">
        <v>137500000</v>
      </c>
      <c r="E7" s="258">
        <v>137500000</v>
      </c>
      <c r="F7" s="258">
        <f>137500000+26223000</f>
        <v>163723000</v>
      </c>
      <c r="G7" s="258">
        <v>137500000</v>
      </c>
      <c r="H7" s="258">
        <f>137500000+50000000</f>
        <v>187500000</v>
      </c>
      <c r="I7" s="258">
        <v>137500000</v>
      </c>
      <c r="J7" s="258">
        <v>137500000</v>
      </c>
      <c r="K7" s="258">
        <v>137500000</v>
      </c>
      <c r="L7" s="258">
        <f>137500000+26223000</f>
        <v>163723000</v>
      </c>
      <c r="M7" s="258">
        <v>137500000</v>
      </c>
      <c r="N7" s="258">
        <f>137500000+232489258</f>
        <v>369989258</v>
      </c>
      <c r="O7" s="357">
        <f t="shared" ref="O7:O15" si="0">SUM(C7:N7)</f>
        <v>1984935258</v>
      </c>
      <c r="P7" s="355">
        <f>'1. sz.mell. '!C11</f>
        <v>1984935258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</f>
        <v>67658088</v>
      </c>
      <c r="F8" s="240">
        <f>1080000+2900000+8562710</f>
        <v>12542710</v>
      </c>
      <c r="G8" s="240">
        <f>126028453+2900000+8562710</f>
        <v>137491163</v>
      </c>
      <c r="H8" s="240">
        <f>2900000+8562710</f>
        <v>11462710</v>
      </c>
      <c r="I8" s="240">
        <f>1080000+2900000</f>
        <v>3980000</v>
      </c>
      <c r="J8" s="240">
        <f>2550000</f>
        <v>2550000</v>
      </c>
      <c r="K8" s="240">
        <f>2550000+8562710</f>
        <v>11112710</v>
      </c>
      <c r="L8" s="240">
        <f>1080000+2550000+8562710</f>
        <v>12192710</v>
      </c>
      <c r="M8" s="240">
        <f>2550000</f>
        <v>2550000</v>
      </c>
      <c r="N8" s="240">
        <v>2550000</v>
      </c>
      <c r="O8" s="357">
        <f t="shared" si="0"/>
        <v>270970091</v>
      </c>
      <c r="P8" s="358">
        <f>'1. sz.mell. '!C20</f>
        <v>270970091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/>
      <c r="H9" s="241"/>
      <c r="I9" s="241"/>
      <c r="J9" s="241"/>
      <c r="K9" s="241">
        <v>57000000</v>
      </c>
      <c r="L9" s="241">
        <v>57000000</v>
      </c>
      <c r="M9" s="241"/>
      <c r="N9" s="241">
        <v>61488871</v>
      </c>
      <c r="O9" s="357">
        <f t="shared" si="0"/>
        <v>289683632</v>
      </c>
      <c r="P9" s="358">
        <f>'1. sz.mell. '!C27</f>
        <v>289683632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v>80000000</v>
      </c>
      <c r="O10" s="357">
        <f t="shared" si="0"/>
        <v>391355000</v>
      </c>
      <c r="P10" s="358">
        <f>'1. sz.mell. '!C34</f>
        <v>391355000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v>28210946</v>
      </c>
      <c r="D11" s="240">
        <v>28210946</v>
      </c>
      <c r="E11" s="240">
        <v>28210946</v>
      </c>
      <c r="F11" s="240">
        <v>28210946</v>
      </c>
      <c r="G11" s="240">
        <v>28210946</v>
      </c>
      <c r="H11" s="240">
        <v>28210946</v>
      </c>
      <c r="I11" s="240">
        <v>28210946</v>
      </c>
      <c r="J11" s="240">
        <v>28210946</v>
      </c>
      <c r="K11" s="240">
        <v>28210946</v>
      </c>
      <c r="L11" s="240">
        <v>28210946</v>
      </c>
      <c r="M11" s="240">
        <v>28210946</v>
      </c>
      <c r="N11" s="240">
        <v>28210945</v>
      </c>
      <c r="O11" s="357">
        <f t="shared" si="0"/>
        <v>338531351</v>
      </c>
      <c r="P11" s="358">
        <f>'1. sz.mell. '!C41</f>
        <v>338531351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v>100000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1200000</v>
      </c>
      <c r="P13" s="358">
        <f>'1. sz.mell. '!C59</f>
        <v>1200000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</f>
        <v>2521354327</v>
      </c>
      <c r="D15" s="45">
        <f t="shared" ref="D15:J15" si="2">83333333</f>
        <v>83333333</v>
      </c>
      <c r="E15" s="45">
        <f>83333333+16700000</f>
        <v>100033333</v>
      </c>
      <c r="F15" s="45">
        <f t="shared" si="2"/>
        <v>83333333</v>
      </c>
      <c r="G15" s="45">
        <f>83333333+22500000</f>
        <v>105833333</v>
      </c>
      <c r="H15" s="45">
        <f t="shared" si="2"/>
        <v>83333333</v>
      </c>
      <c r="I15" s="45">
        <f>83333333+16700000</f>
        <v>100033333</v>
      </c>
      <c r="J15" s="45">
        <f t="shared" si="2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3680830351</v>
      </c>
      <c r="P15" s="360">
        <f>'1. sz.mell. '!C93</f>
        <v>3680830351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3">SUM(C7:C15)</f>
        <v>2693145273</v>
      </c>
      <c r="D16" s="47">
        <f t="shared" si="3"/>
        <v>255044279</v>
      </c>
      <c r="E16" s="47">
        <f t="shared" si="3"/>
        <v>615697128</v>
      </c>
      <c r="F16" s="47">
        <f t="shared" si="3"/>
        <v>289909989</v>
      </c>
      <c r="G16" s="47">
        <f t="shared" si="3"/>
        <v>411635442</v>
      </c>
      <c r="H16" s="47">
        <f t="shared" si="3"/>
        <v>317606989</v>
      </c>
      <c r="I16" s="47">
        <f t="shared" si="3"/>
        <v>271824279</v>
      </c>
      <c r="J16" s="47">
        <f t="shared" si="3"/>
        <v>254694279</v>
      </c>
      <c r="K16" s="47">
        <f t="shared" si="3"/>
        <v>516856989</v>
      </c>
      <c r="L16" s="47">
        <f t="shared" si="3"/>
        <v>348314989</v>
      </c>
      <c r="M16" s="47">
        <f t="shared" si="3"/>
        <v>293194279</v>
      </c>
      <c r="N16" s="47">
        <f t="shared" si="3"/>
        <v>737581768</v>
      </c>
      <c r="O16" s="1036">
        <f>SUM(C16:N16)</f>
        <v>7005505683</v>
      </c>
      <c r="P16" s="362">
        <f>SUM(P7:P15)</f>
        <v>7005505683</v>
      </c>
      <c r="Q16" s="363">
        <f t="shared" si="1"/>
        <v>0</v>
      </c>
    </row>
    <row r="17" spans="1:17" s="42" customFormat="1" ht="15" customHeight="1" thickBot="1" x14ac:dyDescent="0.25">
      <c r="A17" s="41"/>
      <c r="B17" s="1505" t="s">
        <v>932</v>
      </c>
      <c r="C17" s="1506"/>
      <c r="D17" s="1506"/>
      <c r="E17" s="1506"/>
      <c r="F17" s="1506"/>
      <c r="G17" s="1506"/>
      <c r="H17" s="1506"/>
      <c r="I17" s="1506"/>
      <c r="J17" s="1506"/>
      <c r="K17" s="1506"/>
      <c r="L17" s="1506"/>
      <c r="M17" s="1506"/>
      <c r="N17" s="1506"/>
      <c r="O17" s="1507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v>117579391</v>
      </c>
      <c r="D18" s="367">
        <v>117579391</v>
      </c>
      <c r="E18" s="367">
        <v>117579391</v>
      </c>
      <c r="F18" s="367">
        <v>117579391</v>
      </c>
      <c r="G18" s="367">
        <v>117579391</v>
      </c>
      <c r="H18" s="367">
        <v>117579391</v>
      </c>
      <c r="I18" s="367">
        <v>117579391</v>
      </c>
      <c r="J18" s="367">
        <v>117579391</v>
      </c>
      <c r="K18" s="367">
        <v>117579391</v>
      </c>
      <c r="L18" s="367">
        <v>117579391</v>
      </c>
      <c r="M18" s="367">
        <v>117579391</v>
      </c>
      <c r="N18" s="367">
        <v>117579395</v>
      </c>
      <c r="O18" s="357">
        <f t="shared" ref="O18:O28" si="4">SUM(C18:N18)</f>
        <v>1410952696</v>
      </c>
      <c r="P18" s="417">
        <f>'1. sz.mell. '!C100</f>
        <v>1410952696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v>16899326</v>
      </c>
      <c r="D19" s="240">
        <v>16899326</v>
      </c>
      <c r="E19" s="240">
        <v>16899326</v>
      </c>
      <c r="F19" s="240">
        <v>16899326</v>
      </c>
      <c r="G19" s="240">
        <v>16899326</v>
      </c>
      <c r="H19" s="240">
        <v>16899326</v>
      </c>
      <c r="I19" s="240">
        <v>16899326</v>
      </c>
      <c r="J19" s="240">
        <v>16899326</v>
      </c>
      <c r="K19" s="240">
        <v>16899326</v>
      </c>
      <c r="L19" s="240">
        <v>16899326</v>
      </c>
      <c r="M19" s="240">
        <v>16899326</v>
      </c>
      <c r="N19" s="240">
        <v>16899326</v>
      </c>
      <c r="O19" s="357">
        <f t="shared" si="4"/>
        <v>202791912</v>
      </c>
      <c r="P19" s="417">
        <f>'1. sz.mell. '!C101</f>
        <v>202791912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v>105594731</v>
      </c>
      <c r="G20" s="240">
        <v>105594731</v>
      </c>
      <c r="H20" s="240">
        <v>105594731</v>
      </c>
      <c r="I20" s="240">
        <v>105594731</v>
      </c>
      <c r="J20" s="240">
        <v>105594731</v>
      </c>
      <c r="K20" s="240">
        <v>105594731</v>
      </c>
      <c r="L20" s="240">
        <v>105594731</v>
      </c>
      <c r="M20" s="240">
        <v>105594731</v>
      </c>
      <c r="N20" s="240">
        <v>105594736</v>
      </c>
      <c r="O20" s="357">
        <f t="shared" si="4"/>
        <v>1267136777</v>
      </c>
      <c r="P20" s="417">
        <f>'1. sz.mell. '!C102</f>
        <v>1267136777</v>
      </c>
      <c r="Q20" s="359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v>2345454</v>
      </c>
      <c r="J21" s="240">
        <v>2345454</v>
      </c>
      <c r="K21" s="240">
        <v>2345454</v>
      </c>
      <c r="L21" s="240">
        <v>2345454</v>
      </c>
      <c r="M21" s="240">
        <v>2345454</v>
      </c>
      <c r="N21" s="240">
        <f>18000000</f>
        <v>18000000</v>
      </c>
      <c r="O21" s="357">
        <f t="shared" si="4"/>
        <v>43800000</v>
      </c>
      <c r="P21" s="417">
        <f>'1. sz.mell. '!C103</f>
        <v>43800000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v>16360962</v>
      </c>
      <c r="E22" s="240">
        <v>16360962</v>
      </c>
      <c r="F22" s="240">
        <v>16360962</v>
      </c>
      <c r="G22" s="240">
        <v>16360962</v>
      </c>
      <c r="H22" s="240">
        <v>16360962</v>
      </c>
      <c r="I22" s="240">
        <v>16360962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4"/>
        <v>196331548</v>
      </c>
      <c r="P22" s="358">
        <f>'1. sz.mell. '!C104</f>
        <v>196331548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</f>
        <v>36700000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</f>
        <v>36700000</v>
      </c>
      <c r="J23" s="240">
        <v>20000000</v>
      </c>
      <c r="K23" s="240">
        <f>37500000+20000000</f>
        <v>57500000</v>
      </c>
      <c r="L23" s="240">
        <v>20000000</v>
      </c>
      <c r="M23" s="240">
        <f>37500000+20000000</f>
        <v>57500000</v>
      </c>
      <c r="N23" s="240">
        <f>36100004+392545056</f>
        <v>428645060</v>
      </c>
      <c r="O23" s="357">
        <f t="shared" si="4"/>
        <v>739545060</v>
      </c>
      <c r="P23" s="358">
        <f>'1. sz.mell. '!C121</f>
        <v>739545060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v>120000000</v>
      </c>
      <c r="I24" s="240">
        <v>120000000</v>
      </c>
      <c r="J24" s="240">
        <v>120000000</v>
      </c>
      <c r="K24" s="240">
        <v>120000000</v>
      </c>
      <c r="L24" s="240">
        <v>120000000</v>
      </c>
      <c r="M24" s="240">
        <v>120000000</v>
      </c>
      <c r="N24" s="240">
        <v>834815497</v>
      </c>
      <c r="O24" s="357">
        <f t="shared" si="4"/>
        <v>1934815497</v>
      </c>
      <c r="P24" s="358">
        <f>'1. sz.mell. '!C123</f>
        <v>1934815497</v>
      </c>
      <c r="Q24" s="359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/>
      <c r="I25" s="240"/>
      <c r="J25" s="240"/>
      <c r="K25" s="240"/>
      <c r="L25" s="240"/>
      <c r="M25" s="240"/>
      <c r="N25" s="240"/>
      <c r="O25" s="357">
        <f t="shared" si="4"/>
        <v>1907277</v>
      </c>
      <c r="P25" s="358">
        <f>'1. sz.mell. '!C125</f>
        <v>1907277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v>130420513</v>
      </c>
      <c r="O26" s="357">
        <f t="shared" si="4"/>
        <v>130420513</v>
      </c>
      <c r="P26" s="358">
        <f>'1. sz.mell. '!C117</f>
        <v>130420513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4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5">SUM(C18:C27)</f>
        <v>397189305</v>
      </c>
      <c r="D28" s="47">
        <f t="shared" si="5"/>
        <v>362113198</v>
      </c>
      <c r="E28" s="47">
        <f t="shared" si="5"/>
        <v>504495272</v>
      </c>
      <c r="F28" s="47">
        <f t="shared" si="5"/>
        <v>482597198</v>
      </c>
      <c r="G28" s="47">
        <f t="shared" si="5"/>
        <v>506036475</v>
      </c>
      <c r="H28" s="47">
        <f t="shared" si="5"/>
        <v>487795272</v>
      </c>
      <c r="I28" s="47">
        <f t="shared" si="5"/>
        <v>498813197</v>
      </c>
      <c r="J28" s="47">
        <f t="shared" si="5"/>
        <v>482113197</v>
      </c>
      <c r="K28" s="47">
        <f t="shared" si="5"/>
        <v>525295271</v>
      </c>
      <c r="L28" s="47">
        <f t="shared" si="5"/>
        <v>482113197</v>
      </c>
      <c r="M28" s="47">
        <f t="shared" si="5"/>
        <v>519613197</v>
      </c>
      <c r="N28" s="47">
        <f t="shared" si="5"/>
        <v>1757330904</v>
      </c>
      <c r="O28" s="1036">
        <f t="shared" si="4"/>
        <v>7005505683</v>
      </c>
      <c r="P28" s="362">
        <f>SUM(P18:P27)</f>
        <v>7005505683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6">C16-C28</f>
        <v>2295955968</v>
      </c>
      <c r="D29" s="49">
        <f t="shared" si="6"/>
        <v>-107068919</v>
      </c>
      <c r="E29" s="49">
        <f t="shared" si="6"/>
        <v>111201856</v>
      </c>
      <c r="F29" s="49">
        <f t="shared" si="6"/>
        <v>-192687209</v>
      </c>
      <c r="G29" s="49">
        <f t="shared" si="6"/>
        <v>-94401033</v>
      </c>
      <c r="H29" s="49">
        <f t="shared" si="6"/>
        <v>-170188283</v>
      </c>
      <c r="I29" s="49">
        <f t="shared" si="6"/>
        <v>-226988918</v>
      </c>
      <c r="J29" s="49">
        <f t="shared" si="6"/>
        <v>-227418918</v>
      </c>
      <c r="K29" s="49">
        <f t="shared" si="6"/>
        <v>-8438282</v>
      </c>
      <c r="L29" s="49">
        <f t="shared" si="6"/>
        <v>-133798208</v>
      </c>
      <c r="M29" s="49">
        <f t="shared" si="6"/>
        <v>-226418918</v>
      </c>
      <c r="N29" s="49">
        <f t="shared" si="6"/>
        <v>-1019749136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Normal="100" zoomScaleSheetLayoutView="85" workbookViewId="0">
      <selection activeCell="A3" sqref="A3:D3"/>
    </sheetView>
  </sheetViews>
  <sheetFormatPr defaultColWidth="10.6640625" defaultRowHeight="15.75" x14ac:dyDescent="0.25"/>
  <cols>
    <col min="1" max="1" width="10.6640625" style="742"/>
    <col min="2" max="2" width="16" style="742" customWidth="1"/>
    <col min="3" max="3" width="97.33203125" style="742" customWidth="1"/>
    <col min="4" max="4" width="27.5" style="916" customWidth="1"/>
    <col min="5" max="5" width="16.5" style="742" bestFit="1" customWidth="1"/>
    <col min="6" max="6" width="18.6640625" style="742" bestFit="1" customWidth="1"/>
    <col min="7" max="258" width="10.6640625" style="742"/>
    <col min="259" max="259" width="60.1640625" style="742" customWidth="1"/>
    <col min="260" max="260" width="48.83203125" style="742" customWidth="1"/>
    <col min="261" max="261" width="16.5" style="742" bestFit="1" customWidth="1"/>
    <col min="262" max="262" width="15" style="742" customWidth="1"/>
    <col min="263" max="514" width="10.6640625" style="742"/>
    <col min="515" max="515" width="60.1640625" style="742" customWidth="1"/>
    <col min="516" max="516" width="48.83203125" style="742" customWidth="1"/>
    <col min="517" max="517" width="16.5" style="742" bestFit="1" customWidth="1"/>
    <col min="518" max="518" width="15" style="742" customWidth="1"/>
    <col min="519" max="770" width="10.6640625" style="742"/>
    <col min="771" max="771" width="60.1640625" style="742" customWidth="1"/>
    <col min="772" max="772" width="48.83203125" style="742" customWidth="1"/>
    <col min="773" max="773" width="16.5" style="742" bestFit="1" customWidth="1"/>
    <col min="774" max="774" width="15" style="742" customWidth="1"/>
    <col min="775" max="1026" width="10.6640625" style="742"/>
    <col min="1027" max="1027" width="60.1640625" style="742" customWidth="1"/>
    <col min="1028" max="1028" width="48.83203125" style="742" customWidth="1"/>
    <col min="1029" max="1029" width="16.5" style="742" bestFit="1" customWidth="1"/>
    <col min="1030" max="1030" width="15" style="742" customWidth="1"/>
    <col min="1031" max="1282" width="10.6640625" style="742"/>
    <col min="1283" max="1283" width="60.1640625" style="742" customWidth="1"/>
    <col min="1284" max="1284" width="48.83203125" style="742" customWidth="1"/>
    <col min="1285" max="1285" width="16.5" style="742" bestFit="1" customWidth="1"/>
    <col min="1286" max="1286" width="15" style="742" customWidth="1"/>
    <col min="1287" max="1538" width="10.6640625" style="742"/>
    <col min="1539" max="1539" width="60.1640625" style="742" customWidth="1"/>
    <col min="1540" max="1540" width="48.83203125" style="742" customWidth="1"/>
    <col min="1541" max="1541" width="16.5" style="742" bestFit="1" customWidth="1"/>
    <col min="1542" max="1542" width="15" style="742" customWidth="1"/>
    <col min="1543" max="1794" width="10.6640625" style="742"/>
    <col min="1795" max="1795" width="60.1640625" style="742" customWidth="1"/>
    <col min="1796" max="1796" width="48.83203125" style="742" customWidth="1"/>
    <col min="1797" max="1797" width="16.5" style="742" bestFit="1" customWidth="1"/>
    <col min="1798" max="1798" width="15" style="742" customWidth="1"/>
    <col min="1799" max="2050" width="10.6640625" style="742"/>
    <col min="2051" max="2051" width="60.1640625" style="742" customWidth="1"/>
    <col min="2052" max="2052" width="48.83203125" style="742" customWidth="1"/>
    <col min="2053" max="2053" width="16.5" style="742" bestFit="1" customWidth="1"/>
    <col min="2054" max="2054" width="15" style="742" customWidth="1"/>
    <col min="2055" max="2306" width="10.6640625" style="742"/>
    <col min="2307" max="2307" width="60.1640625" style="742" customWidth="1"/>
    <col min="2308" max="2308" width="48.83203125" style="742" customWidth="1"/>
    <col min="2309" max="2309" width="16.5" style="742" bestFit="1" customWidth="1"/>
    <col min="2310" max="2310" width="15" style="742" customWidth="1"/>
    <col min="2311" max="2562" width="10.6640625" style="742"/>
    <col min="2563" max="2563" width="60.1640625" style="742" customWidth="1"/>
    <col min="2564" max="2564" width="48.83203125" style="742" customWidth="1"/>
    <col min="2565" max="2565" width="16.5" style="742" bestFit="1" customWidth="1"/>
    <col min="2566" max="2566" width="15" style="742" customWidth="1"/>
    <col min="2567" max="2818" width="10.6640625" style="742"/>
    <col min="2819" max="2819" width="60.1640625" style="742" customWidth="1"/>
    <col min="2820" max="2820" width="48.83203125" style="742" customWidth="1"/>
    <col min="2821" max="2821" width="16.5" style="742" bestFit="1" customWidth="1"/>
    <col min="2822" max="2822" width="15" style="742" customWidth="1"/>
    <col min="2823" max="3074" width="10.6640625" style="742"/>
    <col min="3075" max="3075" width="60.1640625" style="742" customWidth="1"/>
    <col min="3076" max="3076" width="48.83203125" style="742" customWidth="1"/>
    <col min="3077" max="3077" width="16.5" style="742" bestFit="1" customWidth="1"/>
    <col min="3078" max="3078" width="15" style="742" customWidth="1"/>
    <col min="3079" max="3330" width="10.6640625" style="742"/>
    <col min="3331" max="3331" width="60.1640625" style="742" customWidth="1"/>
    <col min="3332" max="3332" width="48.83203125" style="742" customWidth="1"/>
    <col min="3333" max="3333" width="16.5" style="742" bestFit="1" customWidth="1"/>
    <col min="3334" max="3334" width="15" style="742" customWidth="1"/>
    <col min="3335" max="3586" width="10.6640625" style="742"/>
    <col min="3587" max="3587" width="60.1640625" style="742" customWidth="1"/>
    <col min="3588" max="3588" width="48.83203125" style="742" customWidth="1"/>
    <col min="3589" max="3589" width="16.5" style="742" bestFit="1" customWidth="1"/>
    <col min="3590" max="3590" width="15" style="742" customWidth="1"/>
    <col min="3591" max="3842" width="10.6640625" style="742"/>
    <col min="3843" max="3843" width="60.1640625" style="742" customWidth="1"/>
    <col min="3844" max="3844" width="48.83203125" style="742" customWidth="1"/>
    <col min="3845" max="3845" width="16.5" style="742" bestFit="1" customWidth="1"/>
    <col min="3846" max="3846" width="15" style="742" customWidth="1"/>
    <col min="3847" max="4098" width="10.6640625" style="742"/>
    <col min="4099" max="4099" width="60.1640625" style="742" customWidth="1"/>
    <col min="4100" max="4100" width="48.83203125" style="742" customWidth="1"/>
    <col min="4101" max="4101" width="16.5" style="742" bestFit="1" customWidth="1"/>
    <col min="4102" max="4102" width="15" style="742" customWidth="1"/>
    <col min="4103" max="4354" width="10.6640625" style="742"/>
    <col min="4355" max="4355" width="60.1640625" style="742" customWidth="1"/>
    <col min="4356" max="4356" width="48.83203125" style="742" customWidth="1"/>
    <col min="4357" max="4357" width="16.5" style="742" bestFit="1" customWidth="1"/>
    <col min="4358" max="4358" width="15" style="742" customWidth="1"/>
    <col min="4359" max="4610" width="10.6640625" style="742"/>
    <col min="4611" max="4611" width="60.1640625" style="742" customWidth="1"/>
    <col min="4612" max="4612" width="48.83203125" style="742" customWidth="1"/>
    <col min="4613" max="4613" width="16.5" style="742" bestFit="1" customWidth="1"/>
    <col min="4614" max="4614" width="15" style="742" customWidth="1"/>
    <col min="4615" max="4866" width="10.6640625" style="742"/>
    <col min="4867" max="4867" width="60.1640625" style="742" customWidth="1"/>
    <col min="4868" max="4868" width="48.83203125" style="742" customWidth="1"/>
    <col min="4869" max="4869" width="16.5" style="742" bestFit="1" customWidth="1"/>
    <col min="4870" max="4870" width="15" style="742" customWidth="1"/>
    <col min="4871" max="5122" width="10.6640625" style="742"/>
    <col min="5123" max="5123" width="60.1640625" style="742" customWidth="1"/>
    <col min="5124" max="5124" width="48.83203125" style="742" customWidth="1"/>
    <col min="5125" max="5125" width="16.5" style="742" bestFit="1" customWidth="1"/>
    <col min="5126" max="5126" width="15" style="742" customWidth="1"/>
    <col min="5127" max="5378" width="10.6640625" style="742"/>
    <col min="5379" max="5379" width="60.1640625" style="742" customWidth="1"/>
    <col min="5380" max="5380" width="48.83203125" style="742" customWidth="1"/>
    <col min="5381" max="5381" width="16.5" style="742" bestFit="1" customWidth="1"/>
    <col min="5382" max="5382" width="15" style="742" customWidth="1"/>
    <col min="5383" max="5634" width="10.6640625" style="742"/>
    <col min="5635" max="5635" width="60.1640625" style="742" customWidth="1"/>
    <col min="5636" max="5636" width="48.83203125" style="742" customWidth="1"/>
    <col min="5637" max="5637" width="16.5" style="742" bestFit="1" customWidth="1"/>
    <col min="5638" max="5638" width="15" style="742" customWidth="1"/>
    <col min="5639" max="5890" width="10.6640625" style="742"/>
    <col min="5891" max="5891" width="60.1640625" style="742" customWidth="1"/>
    <col min="5892" max="5892" width="48.83203125" style="742" customWidth="1"/>
    <col min="5893" max="5893" width="16.5" style="742" bestFit="1" customWidth="1"/>
    <col min="5894" max="5894" width="15" style="742" customWidth="1"/>
    <col min="5895" max="6146" width="10.6640625" style="742"/>
    <col min="6147" max="6147" width="60.1640625" style="742" customWidth="1"/>
    <col min="6148" max="6148" width="48.83203125" style="742" customWidth="1"/>
    <col min="6149" max="6149" width="16.5" style="742" bestFit="1" customWidth="1"/>
    <col min="6150" max="6150" width="15" style="742" customWidth="1"/>
    <col min="6151" max="6402" width="10.6640625" style="742"/>
    <col min="6403" max="6403" width="60.1640625" style="742" customWidth="1"/>
    <col min="6404" max="6404" width="48.83203125" style="742" customWidth="1"/>
    <col min="6405" max="6405" width="16.5" style="742" bestFit="1" customWidth="1"/>
    <col min="6406" max="6406" width="15" style="742" customWidth="1"/>
    <col min="6407" max="6658" width="10.6640625" style="742"/>
    <col min="6659" max="6659" width="60.1640625" style="742" customWidth="1"/>
    <col min="6660" max="6660" width="48.83203125" style="742" customWidth="1"/>
    <col min="6661" max="6661" width="16.5" style="742" bestFit="1" customWidth="1"/>
    <col min="6662" max="6662" width="15" style="742" customWidth="1"/>
    <col min="6663" max="6914" width="10.6640625" style="742"/>
    <col min="6915" max="6915" width="60.1640625" style="742" customWidth="1"/>
    <col min="6916" max="6916" width="48.83203125" style="742" customWidth="1"/>
    <col min="6917" max="6917" width="16.5" style="742" bestFit="1" customWidth="1"/>
    <col min="6918" max="6918" width="15" style="742" customWidth="1"/>
    <col min="6919" max="7170" width="10.6640625" style="742"/>
    <col min="7171" max="7171" width="60.1640625" style="742" customWidth="1"/>
    <col min="7172" max="7172" width="48.83203125" style="742" customWidth="1"/>
    <col min="7173" max="7173" width="16.5" style="742" bestFit="1" customWidth="1"/>
    <col min="7174" max="7174" width="15" style="742" customWidth="1"/>
    <col min="7175" max="7426" width="10.6640625" style="742"/>
    <col min="7427" max="7427" width="60.1640625" style="742" customWidth="1"/>
    <col min="7428" max="7428" width="48.83203125" style="742" customWidth="1"/>
    <col min="7429" max="7429" width="16.5" style="742" bestFit="1" customWidth="1"/>
    <col min="7430" max="7430" width="15" style="742" customWidth="1"/>
    <col min="7431" max="7682" width="10.6640625" style="742"/>
    <col min="7683" max="7683" width="60.1640625" style="742" customWidth="1"/>
    <col min="7684" max="7684" width="48.83203125" style="742" customWidth="1"/>
    <col min="7685" max="7685" width="16.5" style="742" bestFit="1" customWidth="1"/>
    <col min="7686" max="7686" width="15" style="742" customWidth="1"/>
    <col min="7687" max="7938" width="10.6640625" style="742"/>
    <col min="7939" max="7939" width="60.1640625" style="742" customWidth="1"/>
    <col min="7940" max="7940" width="48.83203125" style="742" customWidth="1"/>
    <col min="7941" max="7941" width="16.5" style="742" bestFit="1" customWidth="1"/>
    <col min="7942" max="7942" width="15" style="742" customWidth="1"/>
    <col min="7943" max="8194" width="10.6640625" style="742"/>
    <col min="8195" max="8195" width="60.1640625" style="742" customWidth="1"/>
    <col min="8196" max="8196" width="48.83203125" style="742" customWidth="1"/>
    <col min="8197" max="8197" width="16.5" style="742" bestFit="1" customWidth="1"/>
    <col min="8198" max="8198" width="15" style="742" customWidth="1"/>
    <col min="8199" max="8450" width="10.6640625" style="742"/>
    <col min="8451" max="8451" width="60.1640625" style="742" customWidth="1"/>
    <col min="8452" max="8452" width="48.83203125" style="742" customWidth="1"/>
    <col min="8453" max="8453" width="16.5" style="742" bestFit="1" customWidth="1"/>
    <col min="8454" max="8454" width="15" style="742" customWidth="1"/>
    <col min="8455" max="8706" width="10.6640625" style="742"/>
    <col min="8707" max="8707" width="60.1640625" style="742" customWidth="1"/>
    <col min="8708" max="8708" width="48.83203125" style="742" customWidth="1"/>
    <col min="8709" max="8709" width="16.5" style="742" bestFit="1" customWidth="1"/>
    <col min="8710" max="8710" width="15" style="742" customWidth="1"/>
    <col min="8711" max="8962" width="10.6640625" style="742"/>
    <col min="8963" max="8963" width="60.1640625" style="742" customWidth="1"/>
    <col min="8964" max="8964" width="48.83203125" style="742" customWidth="1"/>
    <col min="8965" max="8965" width="16.5" style="742" bestFit="1" customWidth="1"/>
    <col min="8966" max="8966" width="15" style="742" customWidth="1"/>
    <col min="8967" max="9218" width="10.6640625" style="742"/>
    <col min="9219" max="9219" width="60.1640625" style="742" customWidth="1"/>
    <col min="9220" max="9220" width="48.83203125" style="742" customWidth="1"/>
    <col min="9221" max="9221" width="16.5" style="742" bestFit="1" customWidth="1"/>
    <col min="9222" max="9222" width="15" style="742" customWidth="1"/>
    <col min="9223" max="9474" width="10.6640625" style="742"/>
    <col min="9475" max="9475" width="60.1640625" style="742" customWidth="1"/>
    <col min="9476" max="9476" width="48.83203125" style="742" customWidth="1"/>
    <col min="9477" max="9477" width="16.5" style="742" bestFit="1" customWidth="1"/>
    <col min="9478" max="9478" width="15" style="742" customWidth="1"/>
    <col min="9479" max="9730" width="10.6640625" style="742"/>
    <col min="9731" max="9731" width="60.1640625" style="742" customWidth="1"/>
    <col min="9732" max="9732" width="48.83203125" style="742" customWidth="1"/>
    <col min="9733" max="9733" width="16.5" style="742" bestFit="1" customWidth="1"/>
    <col min="9734" max="9734" width="15" style="742" customWidth="1"/>
    <col min="9735" max="9986" width="10.6640625" style="742"/>
    <col min="9987" max="9987" width="60.1640625" style="742" customWidth="1"/>
    <col min="9988" max="9988" width="48.83203125" style="742" customWidth="1"/>
    <col min="9989" max="9989" width="16.5" style="742" bestFit="1" customWidth="1"/>
    <col min="9990" max="9990" width="15" style="742" customWidth="1"/>
    <col min="9991" max="10242" width="10.6640625" style="742"/>
    <col min="10243" max="10243" width="60.1640625" style="742" customWidth="1"/>
    <col min="10244" max="10244" width="48.83203125" style="742" customWidth="1"/>
    <col min="10245" max="10245" width="16.5" style="742" bestFit="1" customWidth="1"/>
    <col min="10246" max="10246" width="15" style="742" customWidth="1"/>
    <col min="10247" max="10498" width="10.6640625" style="742"/>
    <col min="10499" max="10499" width="60.1640625" style="742" customWidth="1"/>
    <col min="10500" max="10500" width="48.83203125" style="742" customWidth="1"/>
    <col min="10501" max="10501" width="16.5" style="742" bestFit="1" customWidth="1"/>
    <col min="10502" max="10502" width="15" style="742" customWidth="1"/>
    <col min="10503" max="10754" width="10.6640625" style="742"/>
    <col min="10755" max="10755" width="60.1640625" style="742" customWidth="1"/>
    <col min="10756" max="10756" width="48.83203125" style="742" customWidth="1"/>
    <col min="10757" max="10757" width="16.5" style="742" bestFit="1" customWidth="1"/>
    <col min="10758" max="10758" width="15" style="742" customWidth="1"/>
    <col min="10759" max="11010" width="10.6640625" style="742"/>
    <col min="11011" max="11011" width="60.1640625" style="742" customWidth="1"/>
    <col min="11012" max="11012" width="48.83203125" style="742" customWidth="1"/>
    <col min="11013" max="11013" width="16.5" style="742" bestFit="1" customWidth="1"/>
    <col min="11014" max="11014" width="15" style="742" customWidth="1"/>
    <col min="11015" max="11266" width="10.6640625" style="742"/>
    <col min="11267" max="11267" width="60.1640625" style="742" customWidth="1"/>
    <col min="11268" max="11268" width="48.83203125" style="742" customWidth="1"/>
    <col min="11269" max="11269" width="16.5" style="742" bestFit="1" customWidth="1"/>
    <col min="11270" max="11270" width="15" style="742" customWidth="1"/>
    <col min="11271" max="11522" width="10.6640625" style="742"/>
    <col min="11523" max="11523" width="60.1640625" style="742" customWidth="1"/>
    <col min="11524" max="11524" width="48.83203125" style="742" customWidth="1"/>
    <col min="11525" max="11525" width="16.5" style="742" bestFit="1" customWidth="1"/>
    <col min="11526" max="11526" width="15" style="742" customWidth="1"/>
    <col min="11527" max="11778" width="10.6640625" style="742"/>
    <col min="11779" max="11779" width="60.1640625" style="742" customWidth="1"/>
    <col min="11780" max="11780" width="48.83203125" style="742" customWidth="1"/>
    <col min="11781" max="11781" width="16.5" style="742" bestFit="1" customWidth="1"/>
    <col min="11782" max="11782" width="15" style="742" customWidth="1"/>
    <col min="11783" max="12034" width="10.6640625" style="742"/>
    <col min="12035" max="12035" width="60.1640625" style="742" customWidth="1"/>
    <col min="12036" max="12036" width="48.83203125" style="742" customWidth="1"/>
    <col min="12037" max="12037" width="16.5" style="742" bestFit="1" customWidth="1"/>
    <col min="12038" max="12038" width="15" style="742" customWidth="1"/>
    <col min="12039" max="12290" width="10.6640625" style="742"/>
    <col min="12291" max="12291" width="60.1640625" style="742" customWidth="1"/>
    <col min="12292" max="12292" width="48.83203125" style="742" customWidth="1"/>
    <col min="12293" max="12293" width="16.5" style="742" bestFit="1" customWidth="1"/>
    <col min="12294" max="12294" width="15" style="742" customWidth="1"/>
    <col min="12295" max="12546" width="10.6640625" style="742"/>
    <col min="12547" max="12547" width="60.1640625" style="742" customWidth="1"/>
    <col min="12548" max="12548" width="48.83203125" style="742" customWidth="1"/>
    <col min="12549" max="12549" width="16.5" style="742" bestFit="1" customWidth="1"/>
    <col min="12550" max="12550" width="15" style="742" customWidth="1"/>
    <col min="12551" max="12802" width="10.6640625" style="742"/>
    <col min="12803" max="12803" width="60.1640625" style="742" customWidth="1"/>
    <col min="12804" max="12804" width="48.83203125" style="742" customWidth="1"/>
    <col min="12805" max="12805" width="16.5" style="742" bestFit="1" customWidth="1"/>
    <col min="12806" max="12806" width="15" style="742" customWidth="1"/>
    <col min="12807" max="13058" width="10.6640625" style="742"/>
    <col min="13059" max="13059" width="60.1640625" style="742" customWidth="1"/>
    <col min="13060" max="13060" width="48.83203125" style="742" customWidth="1"/>
    <col min="13061" max="13061" width="16.5" style="742" bestFit="1" customWidth="1"/>
    <col min="13062" max="13062" width="15" style="742" customWidth="1"/>
    <col min="13063" max="13314" width="10.6640625" style="742"/>
    <col min="13315" max="13315" width="60.1640625" style="742" customWidth="1"/>
    <col min="13316" max="13316" width="48.83203125" style="742" customWidth="1"/>
    <col min="13317" max="13317" width="16.5" style="742" bestFit="1" customWidth="1"/>
    <col min="13318" max="13318" width="15" style="742" customWidth="1"/>
    <col min="13319" max="13570" width="10.6640625" style="742"/>
    <col min="13571" max="13571" width="60.1640625" style="742" customWidth="1"/>
    <col min="13572" max="13572" width="48.83203125" style="742" customWidth="1"/>
    <col min="13573" max="13573" width="16.5" style="742" bestFit="1" customWidth="1"/>
    <col min="13574" max="13574" width="15" style="742" customWidth="1"/>
    <col min="13575" max="13826" width="10.6640625" style="742"/>
    <col min="13827" max="13827" width="60.1640625" style="742" customWidth="1"/>
    <col min="13828" max="13828" width="48.83203125" style="742" customWidth="1"/>
    <col min="13829" max="13829" width="16.5" style="742" bestFit="1" customWidth="1"/>
    <col min="13830" max="13830" width="15" style="742" customWidth="1"/>
    <col min="13831" max="14082" width="10.6640625" style="742"/>
    <col min="14083" max="14083" width="60.1640625" style="742" customWidth="1"/>
    <col min="14084" max="14084" width="48.83203125" style="742" customWidth="1"/>
    <col min="14085" max="14085" width="16.5" style="742" bestFit="1" customWidth="1"/>
    <col min="14086" max="14086" width="15" style="742" customWidth="1"/>
    <col min="14087" max="14338" width="10.6640625" style="742"/>
    <col min="14339" max="14339" width="60.1640625" style="742" customWidth="1"/>
    <col min="14340" max="14340" width="48.83203125" style="742" customWidth="1"/>
    <col min="14341" max="14341" width="16.5" style="742" bestFit="1" customWidth="1"/>
    <col min="14342" max="14342" width="15" style="742" customWidth="1"/>
    <col min="14343" max="14594" width="10.6640625" style="742"/>
    <col min="14595" max="14595" width="60.1640625" style="742" customWidth="1"/>
    <col min="14596" max="14596" width="48.83203125" style="742" customWidth="1"/>
    <col min="14597" max="14597" width="16.5" style="742" bestFit="1" customWidth="1"/>
    <col min="14598" max="14598" width="15" style="742" customWidth="1"/>
    <col min="14599" max="14850" width="10.6640625" style="742"/>
    <col min="14851" max="14851" width="60.1640625" style="742" customWidth="1"/>
    <col min="14852" max="14852" width="48.83203125" style="742" customWidth="1"/>
    <col min="14853" max="14853" width="16.5" style="742" bestFit="1" customWidth="1"/>
    <col min="14854" max="14854" width="15" style="742" customWidth="1"/>
    <col min="14855" max="15106" width="10.6640625" style="742"/>
    <col min="15107" max="15107" width="60.1640625" style="742" customWidth="1"/>
    <col min="15108" max="15108" width="48.83203125" style="742" customWidth="1"/>
    <col min="15109" max="15109" width="16.5" style="742" bestFit="1" customWidth="1"/>
    <col min="15110" max="15110" width="15" style="742" customWidth="1"/>
    <col min="15111" max="15362" width="10.6640625" style="742"/>
    <col min="15363" max="15363" width="60.1640625" style="742" customWidth="1"/>
    <col min="15364" max="15364" width="48.83203125" style="742" customWidth="1"/>
    <col min="15365" max="15365" width="16.5" style="742" bestFit="1" customWidth="1"/>
    <col min="15366" max="15366" width="15" style="742" customWidth="1"/>
    <col min="15367" max="15618" width="10.6640625" style="742"/>
    <col min="15619" max="15619" width="60.1640625" style="742" customWidth="1"/>
    <col min="15620" max="15620" width="48.83203125" style="742" customWidth="1"/>
    <col min="15621" max="15621" width="16.5" style="742" bestFit="1" customWidth="1"/>
    <col min="15622" max="15622" width="15" style="742" customWidth="1"/>
    <col min="15623" max="15874" width="10.6640625" style="742"/>
    <col min="15875" max="15875" width="60.1640625" style="742" customWidth="1"/>
    <col min="15876" max="15876" width="48.83203125" style="742" customWidth="1"/>
    <col min="15877" max="15877" width="16.5" style="742" bestFit="1" customWidth="1"/>
    <col min="15878" max="15878" width="15" style="742" customWidth="1"/>
    <col min="15879" max="16130" width="10.6640625" style="742"/>
    <col min="16131" max="16131" width="60.1640625" style="742" customWidth="1"/>
    <col min="16132" max="16132" width="48.83203125" style="742" customWidth="1"/>
    <col min="16133" max="16133" width="16.5" style="742" bestFit="1" customWidth="1"/>
    <col min="16134" max="16134" width="15" style="742" customWidth="1"/>
    <col min="16135" max="16384" width="10.6640625" style="742"/>
  </cols>
  <sheetData>
    <row r="1" spans="1:4" ht="12.75" x14ac:dyDescent="0.2">
      <c r="A1" s="1510" t="str">
        <f>CONCATENATE("40. melléklet ",ALAPADATOK!A7," ",ALAPADATOK!B7," ",ALAPADATOK!C7," ",ALAPADATOK!D7," ",ALAPADATOK!E7," ",ALAPADATOK!F7," ",ALAPADATOK!G7," ",ALAPADATOK!H7)</f>
        <v>40. melléklet a .. / 2022. ( ……. ) önkormányzati rendelethez</v>
      </c>
      <c r="B1" s="1510"/>
      <c r="C1" s="1510"/>
      <c r="D1" s="1510"/>
    </row>
    <row r="2" spans="1:4" ht="17.25" customHeight="1" x14ac:dyDescent="0.2">
      <c r="C2" s="235"/>
      <c r="D2" s="1384" t="s">
        <v>1042</v>
      </c>
    </row>
    <row r="3" spans="1:4" ht="42" customHeight="1" x14ac:dyDescent="0.2">
      <c r="A3" s="1511" t="s">
        <v>1016</v>
      </c>
      <c r="B3" s="1511"/>
      <c r="C3" s="1511"/>
      <c r="D3" s="1511"/>
    </row>
    <row r="4" spans="1:4" ht="33" customHeight="1" thickBot="1" x14ac:dyDescent="0.3">
      <c r="C4" s="236"/>
      <c r="D4" s="826"/>
    </row>
    <row r="5" spans="1:4" ht="45" customHeight="1" thickBot="1" x14ac:dyDescent="0.25">
      <c r="A5" s="1152" t="s">
        <v>717</v>
      </c>
      <c r="B5" s="1153" t="s">
        <v>754</v>
      </c>
      <c r="C5" s="1154" t="s">
        <v>704</v>
      </c>
      <c r="D5" s="1155" t="s">
        <v>1017</v>
      </c>
    </row>
    <row r="6" spans="1:4" x14ac:dyDescent="0.2">
      <c r="A6" s="861" t="s">
        <v>16</v>
      </c>
      <c r="B6" s="878" t="s">
        <v>755</v>
      </c>
      <c r="C6" s="860" t="s">
        <v>364</v>
      </c>
      <c r="D6" s="1052">
        <f>176680325+1334225</f>
        <v>178014550</v>
      </c>
    </row>
    <row r="7" spans="1:4" x14ac:dyDescent="0.2">
      <c r="A7" s="862" t="s">
        <v>17</v>
      </c>
      <c r="B7" s="879" t="s">
        <v>756</v>
      </c>
      <c r="C7" s="876" t="s">
        <v>757</v>
      </c>
      <c r="D7" s="911">
        <f>19945800+633200</f>
        <v>20579000</v>
      </c>
    </row>
    <row r="8" spans="1:4" x14ac:dyDescent="0.2">
      <c r="A8" s="862" t="s">
        <v>18</v>
      </c>
      <c r="B8" s="879" t="s">
        <v>766</v>
      </c>
      <c r="C8" s="876" t="s">
        <v>758</v>
      </c>
      <c r="D8" s="911">
        <f>35440000+974600</f>
        <v>36414600</v>
      </c>
    </row>
    <row r="9" spans="1:4" ht="15" customHeight="1" x14ac:dyDescent="0.2">
      <c r="A9" s="862" t="s">
        <v>19</v>
      </c>
      <c r="B9" s="879" t="s">
        <v>765</v>
      </c>
      <c r="C9" s="876" t="s">
        <v>759</v>
      </c>
      <c r="D9" s="911">
        <f>7111416+752169</f>
        <v>7863585</v>
      </c>
    </row>
    <row r="10" spans="1:4" x14ac:dyDescent="0.2">
      <c r="A10" s="862" t="s">
        <v>20</v>
      </c>
      <c r="B10" s="879" t="s">
        <v>762</v>
      </c>
      <c r="C10" s="876" t="s">
        <v>760</v>
      </c>
      <c r="D10" s="911">
        <f>21392481+527775</f>
        <v>21920256</v>
      </c>
    </row>
    <row r="11" spans="1:4" x14ac:dyDescent="0.2">
      <c r="A11" s="862" t="s">
        <v>21</v>
      </c>
      <c r="B11" s="879" t="s">
        <v>763</v>
      </c>
      <c r="C11" s="876" t="s">
        <v>761</v>
      </c>
      <c r="D11" s="911">
        <f>35000100+1296300</f>
        <v>36296400</v>
      </c>
    </row>
    <row r="12" spans="1:4" ht="17.25" customHeight="1" x14ac:dyDescent="0.2">
      <c r="A12" s="862" t="s">
        <v>22</v>
      </c>
      <c r="B12" s="879" t="s">
        <v>764</v>
      </c>
      <c r="C12" s="876" t="s">
        <v>365</v>
      </c>
      <c r="D12" s="911">
        <f>140250+8250</f>
        <v>148500</v>
      </c>
    </row>
    <row r="13" spans="1:4" ht="17.25" customHeight="1" thickBot="1" x14ac:dyDescent="0.25">
      <c r="A13" s="870" t="s">
        <v>23</v>
      </c>
      <c r="B13" s="882"/>
      <c r="C13" s="884" t="s">
        <v>834</v>
      </c>
      <c r="D13" s="912"/>
    </row>
    <row r="14" spans="1:4" ht="32.25" thickBot="1" x14ac:dyDescent="0.25">
      <c r="A14" s="863" t="s">
        <v>24</v>
      </c>
      <c r="B14" s="880" t="s">
        <v>85</v>
      </c>
      <c r="C14" s="857" t="s">
        <v>897</v>
      </c>
      <c r="D14" s="873">
        <f>SUM(D6:D13)</f>
        <v>301236891</v>
      </c>
    </row>
    <row r="15" spans="1:4" x14ac:dyDescent="0.2">
      <c r="A15" s="864" t="s">
        <v>25</v>
      </c>
      <c r="B15" s="887" t="s">
        <v>767</v>
      </c>
      <c r="C15" s="887" t="s">
        <v>768</v>
      </c>
      <c r="D15" s="875">
        <f>37257000+6774000</f>
        <v>44031000</v>
      </c>
    </row>
    <row r="16" spans="1:4" x14ac:dyDescent="0.2">
      <c r="A16" s="862" t="s">
        <v>26</v>
      </c>
      <c r="B16" s="888" t="s">
        <v>769</v>
      </c>
      <c r="C16" s="888" t="s">
        <v>770</v>
      </c>
      <c r="D16" s="911">
        <f>142441950+11761020</f>
        <v>154202970</v>
      </c>
    </row>
    <row r="17" spans="1:5" ht="31.5" x14ac:dyDescent="0.2">
      <c r="A17" s="862" t="s">
        <v>27</v>
      </c>
      <c r="B17" s="888" t="s">
        <v>885</v>
      </c>
      <c r="C17" s="1049" t="s">
        <v>771</v>
      </c>
      <c r="D17" s="911">
        <f>7344000+606730</f>
        <v>7950730</v>
      </c>
    </row>
    <row r="18" spans="1:5" ht="31.5" x14ac:dyDescent="0.2">
      <c r="A18" s="862" t="s">
        <v>28</v>
      </c>
      <c r="B18" s="888" t="s">
        <v>886</v>
      </c>
      <c r="C18" s="1049" t="s">
        <v>772</v>
      </c>
      <c r="D18" s="911">
        <f>8055000+664850</f>
        <v>8719850</v>
      </c>
    </row>
    <row r="19" spans="1:5" ht="16.5" thickBot="1" x14ac:dyDescent="0.25">
      <c r="A19" s="865" t="s">
        <v>29</v>
      </c>
      <c r="B19" s="904" t="s">
        <v>774</v>
      </c>
      <c r="C19" s="885" t="s">
        <v>773</v>
      </c>
      <c r="D19" s="911">
        <f>70119000+11319000</f>
        <v>81438000</v>
      </c>
    </row>
    <row r="20" spans="1:5" ht="32.25" thickBot="1" x14ac:dyDescent="0.25">
      <c r="A20" s="863" t="s">
        <v>30</v>
      </c>
      <c r="B20" s="880" t="s">
        <v>86</v>
      </c>
      <c r="C20" s="857" t="s">
        <v>896</v>
      </c>
      <c r="D20" s="873">
        <f>SUM(D15:D19)</f>
        <v>296342550</v>
      </c>
    </row>
    <row r="21" spans="1:5" ht="31.5" customHeight="1" thickBot="1" x14ac:dyDescent="0.25">
      <c r="A21" s="858" t="s">
        <v>31</v>
      </c>
      <c r="B21" s="859" t="s">
        <v>776</v>
      </c>
      <c r="C21" s="886" t="s">
        <v>775</v>
      </c>
      <c r="D21" s="913">
        <v>114133484</v>
      </c>
    </row>
    <row r="22" spans="1:5" x14ac:dyDescent="0.2">
      <c r="A22" s="864" t="s">
        <v>32</v>
      </c>
      <c r="B22" s="909" t="s">
        <v>779</v>
      </c>
      <c r="C22" s="887" t="s">
        <v>777</v>
      </c>
      <c r="D22" s="875">
        <f>6859904+1346400</f>
        <v>8206304</v>
      </c>
    </row>
    <row r="23" spans="1:5" x14ac:dyDescent="0.2">
      <c r="A23" s="862" t="s">
        <v>33</v>
      </c>
      <c r="B23" s="910" t="s">
        <v>780</v>
      </c>
      <c r="C23" s="888" t="s">
        <v>778</v>
      </c>
      <c r="D23" s="911">
        <f>23958474+6074140</f>
        <v>30032614</v>
      </c>
      <c r="E23" s="237"/>
    </row>
    <row r="24" spans="1:5" x14ac:dyDescent="0.2">
      <c r="A24" s="862" t="s">
        <v>34</v>
      </c>
      <c r="B24" s="910" t="s">
        <v>782</v>
      </c>
      <c r="C24" s="888" t="s">
        <v>781</v>
      </c>
      <c r="D24" s="911">
        <f>4068600+360000</f>
        <v>4428600</v>
      </c>
    </row>
    <row r="25" spans="1:5" x14ac:dyDescent="0.2">
      <c r="A25" s="862" t="s">
        <v>35</v>
      </c>
      <c r="B25" s="910" t="s">
        <v>785</v>
      </c>
      <c r="C25" s="888" t="s">
        <v>783</v>
      </c>
      <c r="D25" s="911">
        <v>25000</v>
      </c>
    </row>
    <row r="26" spans="1:5" x14ac:dyDescent="0.2">
      <c r="A26" s="862" t="s">
        <v>36</v>
      </c>
      <c r="B26" s="910" t="s">
        <v>786</v>
      </c>
      <c r="C26" s="888" t="s">
        <v>784</v>
      </c>
      <c r="D26" s="911">
        <f>25535710+5494000</f>
        <v>31029710</v>
      </c>
    </row>
    <row r="27" spans="1:5" x14ac:dyDescent="0.2">
      <c r="A27" s="862" t="s">
        <v>37</v>
      </c>
      <c r="B27" s="910" t="s">
        <v>887</v>
      </c>
      <c r="C27" s="888" t="s">
        <v>888</v>
      </c>
      <c r="D27" s="911">
        <f>4590600+551700</f>
        <v>5142300</v>
      </c>
    </row>
    <row r="28" spans="1:5" x14ac:dyDescent="0.2">
      <c r="A28" s="862" t="s">
        <v>38</v>
      </c>
      <c r="B28" s="910" t="s">
        <v>788</v>
      </c>
      <c r="C28" s="888" t="s">
        <v>787</v>
      </c>
      <c r="D28" s="911">
        <f>3610080+912000</f>
        <v>4522080</v>
      </c>
    </row>
    <row r="29" spans="1:5" x14ac:dyDescent="0.2">
      <c r="A29" s="862" t="s">
        <v>39</v>
      </c>
      <c r="B29" s="910" t="s">
        <v>789</v>
      </c>
      <c r="C29" s="888" t="s">
        <v>799</v>
      </c>
      <c r="D29" s="911">
        <v>3000000</v>
      </c>
    </row>
    <row r="30" spans="1:5" x14ac:dyDescent="0.2">
      <c r="A30" s="862" t="s">
        <v>40</v>
      </c>
      <c r="B30" s="893" t="s">
        <v>790</v>
      </c>
      <c r="C30" s="888" t="s">
        <v>800</v>
      </c>
      <c r="D30" s="911">
        <f>20308890+3489500</f>
        <v>23798390</v>
      </c>
    </row>
    <row r="31" spans="1:5" x14ac:dyDescent="0.2">
      <c r="A31" s="862" t="s">
        <v>41</v>
      </c>
      <c r="B31" s="893" t="s">
        <v>829</v>
      </c>
      <c r="C31" s="888" t="s">
        <v>828</v>
      </c>
      <c r="D31" s="911">
        <v>153930858</v>
      </c>
    </row>
    <row r="32" spans="1:5" ht="16.5" thickBot="1" x14ac:dyDescent="0.25">
      <c r="A32" s="877" t="s">
        <v>42</v>
      </c>
      <c r="B32" s="906" t="s">
        <v>832</v>
      </c>
      <c r="C32" s="900" t="s">
        <v>833</v>
      </c>
      <c r="D32" s="914">
        <v>15968312</v>
      </c>
    </row>
    <row r="33" spans="1:5" ht="32.25" thickBot="1" x14ac:dyDescent="0.25">
      <c r="A33" s="866" t="s">
        <v>43</v>
      </c>
      <c r="B33" s="881" t="s">
        <v>890</v>
      </c>
      <c r="C33" s="857" t="s">
        <v>891</v>
      </c>
      <c r="D33" s="867">
        <f>SUM(D22:D32)</f>
        <v>280084168</v>
      </c>
    </row>
    <row r="34" spans="1:5" x14ac:dyDescent="0.2">
      <c r="A34" s="864" t="s">
        <v>735</v>
      </c>
      <c r="B34" s="894" t="s">
        <v>794</v>
      </c>
      <c r="C34" s="895" t="s">
        <v>791</v>
      </c>
      <c r="D34" s="868">
        <f>35700000+13234900</f>
        <v>48934900</v>
      </c>
    </row>
    <row r="35" spans="1:5" ht="31.5" x14ac:dyDescent="0.2">
      <c r="A35" s="865" t="s">
        <v>808</v>
      </c>
      <c r="B35" s="894" t="s">
        <v>795</v>
      </c>
      <c r="C35" s="895" t="s">
        <v>792</v>
      </c>
      <c r="D35" s="869">
        <f>34080000+9544000</f>
        <v>43624000</v>
      </c>
    </row>
    <row r="36" spans="1:5" ht="16.5" thickBot="1" x14ac:dyDescent="0.25">
      <c r="A36" s="865" t="s">
        <v>809</v>
      </c>
      <c r="B36" s="896" t="s">
        <v>796</v>
      </c>
      <c r="C36" s="897" t="s">
        <v>793</v>
      </c>
      <c r="D36" s="869">
        <f>12275000</f>
        <v>12275000</v>
      </c>
    </row>
    <row r="37" spans="1:5" ht="16.5" thickBot="1" x14ac:dyDescent="0.25">
      <c r="A37" s="866" t="s">
        <v>810</v>
      </c>
      <c r="B37" s="881" t="s">
        <v>797</v>
      </c>
      <c r="C37" s="898" t="s">
        <v>798</v>
      </c>
      <c r="D37" s="867">
        <f>SUM(D34:D36)</f>
        <v>104833900</v>
      </c>
      <c r="E37" s="255"/>
    </row>
    <row r="38" spans="1:5" x14ac:dyDescent="0.2">
      <c r="A38" s="861" t="s">
        <v>817</v>
      </c>
      <c r="B38" s="878" t="s">
        <v>801</v>
      </c>
      <c r="C38" s="899" t="s">
        <v>805</v>
      </c>
      <c r="D38" s="1052">
        <f>157500000+32896500</f>
        <v>190396500</v>
      </c>
    </row>
    <row r="39" spans="1:5" ht="16.5" thickBot="1" x14ac:dyDescent="0.25">
      <c r="A39" s="870" t="s">
        <v>818</v>
      </c>
      <c r="B39" s="882" t="s">
        <v>802</v>
      </c>
      <c r="C39" s="900" t="s">
        <v>804</v>
      </c>
      <c r="D39" s="1358">
        <f>50534000</f>
        <v>50534000</v>
      </c>
    </row>
    <row r="40" spans="1:5" ht="30" customHeight="1" thickBot="1" x14ac:dyDescent="0.25">
      <c r="A40" s="871" t="s">
        <v>819</v>
      </c>
      <c r="B40" s="883" t="s">
        <v>803</v>
      </c>
      <c r="C40" s="901" t="s">
        <v>807</v>
      </c>
      <c r="D40" s="913">
        <f>SUM(D38:D39)</f>
        <v>240930500</v>
      </c>
    </row>
    <row r="41" spans="1:5" ht="32.25" thickBot="1" x14ac:dyDescent="0.25">
      <c r="A41" s="863" t="s">
        <v>820</v>
      </c>
      <c r="B41" s="880" t="s">
        <v>806</v>
      </c>
      <c r="C41" s="872" t="s">
        <v>892</v>
      </c>
      <c r="D41" s="873">
        <f>D21+D33+D37+D40</f>
        <v>739982052</v>
      </c>
    </row>
    <row r="42" spans="1:5" x14ac:dyDescent="0.2">
      <c r="A42" s="864" t="s">
        <v>822</v>
      </c>
      <c r="B42" s="905" t="s">
        <v>811</v>
      </c>
      <c r="C42" s="874" t="s">
        <v>816</v>
      </c>
      <c r="D42" s="875">
        <f>80024340+8464491</f>
        <v>88488831</v>
      </c>
    </row>
    <row r="43" spans="1:5" x14ac:dyDescent="0.2">
      <c r="A43" s="862" t="s">
        <v>823</v>
      </c>
      <c r="B43" s="894" t="s">
        <v>812</v>
      </c>
      <c r="C43" s="895" t="s">
        <v>815</v>
      </c>
      <c r="D43" s="911">
        <f>130235998</f>
        <v>130235998</v>
      </c>
    </row>
    <row r="44" spans="1:5" ht="16.5" thickBot="1" x14ac:dyDescent="0.25">
      <c r="A44" s="865" t="s">
        <v>825</v>
      </c>
      <c r="B44" s="902" t="s">
        <v>813</v>
      </c>
      <c r="C44" s="897" t="s">
        <v>814</v>
      </c>
      <c r="D44" s="1359">
        <f>52279830</f>
        <v>52279830</v>
      </c>
    </row>
    <row r="45" spans="1:5" ht="32.25" thickBot="1" x14ac:dyDescent="0.25">
      <c r="A45" s="863" t="s">
        <v>835</v>
      </c>
      <c r="B45" s="880" t="s">
        <v>88</v>
      </c>
      <c r="C45" s="903" t="s">
        <v>893</v>
      </c>
      <c r="D45" s="873">
        <f>SUM(D42:D44)</f>
        <v>271004659</v>
      </c>
    </row>
    <row r="46" spans="1:5" ht="31.5" x14ac:dyDescent="0.2">
      <c r="A46" s="861" t="s">
        <v>836</v>
      </c>
      <c r="B46" s="878" t="s">
        <v>821</v>
      </c>
      <c r="C46" s="907" t="s">
        <v>824</v>
      </c>
      <c r="D46" s="1053">
        <v>28687119</v>
      </c>
    </row>
    <row r="47" spans="1:5" x14ac:dyDescent="0.2">
      <c r="A47" s="862" t="s">
        <v>895</v>
      </c>
      <c r="B47" s="1045" t="s">
        <v>830</v>
      </c>
      <c r="C47" s="1046" t="s">
        <v>831</v>
      </c>
      <c r="D47" s="1047">
        <v>12600000</v>
      </c>
    </row>
    <row r="48" spans="1:5" ht="16.5" thickBot="1" x14ac:dyDescent="0.25">
      <c r="A48" s="870" t="s">
        <v>837</v>
      </c>
      <c r="B48" s="882" t="s">
        <v>874</v>
      </c>
      <c r="C48" s="1048" t="s">
        <v>875</v>
      </c>
      <c r="D48" s="912">
        <v>0</v>
      </c>
    </row>
    <row r="49" spans="1:6" ht="32.25" thickBot="1" x14ac:dyDescent="0.25">
      <c r="A49" s="863" t="s">
        <v>838</v>
      </c>
      <c r="B49" s="880" t="s">
        <v>111</v>
      </c>
      <c r="C49" s="903" t="s">
        <v>894</v>
      </c>
      <c r="D49" s="873">
        <f>SUM(D46:D48)</f>
        <v>41287119</v>
      </c>
    </row>
    <row r="50" spans="1:6" ht="20.25" customHeight="1" thickBot="1" x14ac:dyDescent="0.25">
      <c r="A50" s="863" t="s">
        <v>873</v>
      </c>
      <c r="B50" s="880" t="s">
        <v>826</v>
      </c>
      <c r="C50" s="908" t="s">
        <v>827</v>
      </c>
      <c r="D50" s="873">
        <v>-5091319</v>
      </c>
    </row>
    <row r="51" spans="1:6" ht="16.5" thickBot="1" x14ac:dyDescent="0.25">
      <c r="A51" s="863" t="s">
        <v>889</v>
      </c>
      <c r="B51" s="1508" t="s">
        <v>933</v>
      </c>
      <c r="C51" s="1509"/>
      <c r="D51" s="915">
        <f>D14+D20+D41+D45+D49+D50</f>
        <v>1644761952</v>
      </c>
      <c r="F51" s="587"/>
    </row>
    <row r="53" spans="1:6" x14ac:dyDescent="0.25">
      <c r="B53" s="890"/>
      <c r="C53" s="889"/>
    </row>
    <row r="54" spans="1:6" x14ac:dyDescent="0.25">
      <c r="B54" s="890"/>
      <c r="C54" s="889"/>
    </row>
    <row r="55" spans="1:6" x14ac:dyDescent="0.25">
      <c r="B55" s="891"/>
      <c r="C55" s="892"/>
    </row>
    <row r="56" spans="1:6" x14ac:dyDescent="0.25">
      <c r="B56" s="890"/>
      <c r="C56" s="889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1"/>
  <sheetViews>
    <sheetView zoomScale="130" zoomScaleNormal="130" zoomScaleSheetLayoutView="130" workbookViewId="0">
      <selection activeCell="A2" sqref="A2"/>
    </sheetView>
  </sheetViews>
  <sheetFormatPr defaultRowHeight="12.75" x14ac:dyDescent="0.2"/>
  <cols>
    <col min="1" max="1" width="6.6640625" style="703" customWidth="1"/>
    <col min="2" max="2" width="43.33203125" style="703" customWidth="1"/>
    <col min="3" max="3" width="31.1640625" style="703" customWidth="1"/>
    <col min="4" max="4" width="17.5" style="722" bestFit="1" customWidth="1"/>
    <col min="5" max="16384" width="9.33203125" style="703"/>
  </cols>
  <sheetData>
    <row r="1" spans="1:6" x14ac:dyDescent="0.2">
      <c r="A1" s="1442" t="str">
        <f>CONCATENATE("41. melléklet ",ALAPADATOK!A7," ",ALAPADATOK!B7," ",ALAPADATOK!C7," ",ALAPADATOK!D7," ",ALAPADATOK!E7," ",ALAPADATOK!F7," ",ALAPADATOK!G7," ",ALAPADATOK!H7)</f>
        <v>41. melléklet a .. / 2022. ( ……. ) önkormányzati rendelethez</v>
      </c>
      <c r="B1" s="1442"/>
      <c r="C1" s="1442"/>
      <c r="D1" s="1442"/>
    </row>
    <row r="2" spans="1:6" x14ac:dyDescent="0.2">
      <c r="D2" s="1384" t="s">
        <v>1043</v>
      </c>
    </row>
    <row r="3" spans="1:6" ht="45" customHeight="1" x14ac:dyDescent="0.25">
      <c r="A3" s="1512" t="s">
        <v>1018</v>
      </c>
      <c r="B3" s="1512"/>
      <c r="C3" s="1512"/>
      <c r="D3" s="1512"/>
    </row>
    <row r="4" spans="1:6" ht="17.25" customHeight="1" x14ac:dyDescent="0.25">
      <c r="A4" s="779"/>
      <c r="B4" s="779"/>
      <c r="C4" s="779"/>
      <c r="D4" s="588"/>
    </row>
    <row r="5" spans="1:6" ht="13.5" thickBot="1" x14ac:dyDescent="0.25">
      <c r="A5" s="75"/>
      <c r="B5" s="75"/>
      <c r="C5" s="1513"/>
      <c r="D5" s="1513"/>
    </row>
    <row r="6" spans="1:6" ht="42.75" customHeight="1" thickBot="1" x14ac:dyDescent="0.25">
      <c r="A6" s="1360" t="s">
        <v>717</v>
      </c>
      <c r="B6" s="589" t="s">
        <v>107</v>
      </c>
      <c r="C6" s="589" t="s">
        <v>108</v>
      </c>
      <c r="D6" s="1156" t="s">
        <v>942</v>
      </c>
    </row>
    <row r="7" spans="1:6" ht="15.95" customHeight="1" x14ac:dyDescent="0.2">
      <c r="A7" s="1363" t="s">
        <v>16</v>
      </c>
      <c r="B7" s="1361" t="s">
        <v>366</v>
      </c>
      <c r="C7" s="1144" t="s">
        <v>367</v>
      </c>
      <c r="D7" s="1145">
        <v>6000000</v>
      </c>
      <c r="E7" s="751"/>
      <c r="F7" s="751"/>
    </row>
    <row r="8" spans="1:6" ht="15.95" customHeight="1" x14ac:dyDescent="0.2">
      <c r="A8" s="1364" t="s">
        <v>17</v>
      </c>
      <c r="B8" s="1362" t="s">
        <v>368</v>
      </c>
      <c r="C8" s="24" t="s">
        <v>367</v>
      </c>
      <c r="D8" s="1056">
        <v>2500000</v>
      </c>
      <c r="E8" s="751"/>
      <c r="F8" s="751"/>
    </row>
    <row r="9" spans="1:6" ht="15.95" customHeight="1" x14ac:dyDescent="0.2">
      <c r="A9" s="1364" t="s">
        <v>18</v>
      </c>
      <c r="B9" s="1362" t="s">
        <v>369</v>
      </c>
      <c r="C9" s="24" t="s">
        <v>367</v>
      </c>
      <c r="D9" s="1056">
        <v>1000000</v>
      </c>
      <c r="E9" s="751"/>
      <c r="F9" s="751"/>
    </row>
    <row r="10" spans="1:6" ht="15.95" customHeight="1" x14ac:dyDescent="0.2">
      <c r="A10" s="1364" t="s">
        <v>19</v>
      </c>
      <c r="B10" s="1362" t="s">
        <v>370</v>
      </c>
      <c r="C10" s="705" t="s">
        <v>367</v>
      </c>
      <c r="D10" s="1056">
        <v>7500000</v>
      </c>
      <c r="E10" s="751"/>
      <c r="F10" s="751"/>
    </row>
    <row r="11" spans="1:6" ht="15.95" customHeight="1" x14ac:dyDescent="0.2">
      <c r="A11" s="1364" t="s">
        <v>20</v>
      </c>
      <c r="B11" s="1362" t="s">
        <v>371</v>
      </c>
      <c r="C11" s="239" t="s">
        <v>367</v>
      </c>
      <c r="D11" s="1056">
        <v>300000</v>
      </c>
      <c r="E11" s="751"/>
      <c r="F11" s="751"/>
    </row>
    <row r="12" spans="1:6" ht="15.95" customHeight="1" x14ac:dyDescent="0.2">
      <c r="A12" s="1364" t="s">
        <v>21</v>
      </c>
      <c r="B12" s="1362" t="s">
        <v>372</v>
      </c>
      <c r="C12" s="705" t="s">
        <v>367</v>
      </c>
      <c r="D12" s="1056">
        <v>1000000</v>
      </c>
      <c r="E12" s="751"/>
      <c r="F12" s="751"/>
    </row>
    <row r="13" spans="1:6" ht="15.95" customHeight="1" x14ac:dyDescent="0.2">
      <c r="A13" s="1364" t="s">
        <v>22</v>
      </c>
      <c r="B13" s="1362" t="s">
        <v>740</v>
      </c>
      <c r="C13" s="238" t="s">
        <v>367</v>
      </c>
      <c r="D13" s="1056">
        <v>1000000</v>
      </c>
      <c r="E13" s="751"/>
      <c r="F13" s="751"/>
    </row>
    <row r="14" spans="1:6" ht="15.95" customHeight="1" x14ac:dyDescent="0.2">
      <c r="A14" s="1364" t="s">
        <v>23</v>
      </c>
      <c r="B14" s="1362" t="s">
        <v>1019</v>
      </c>
      <c r="C14" s="705" t="s">
        <v>367</v>
      </c>
      <c r="D14" s="1056">
        <v>2090159</v>
      </c>
      <c r="E14" s="751"/>
      <c r="F14" s="751"/>
    </row>
    <row r="15" spans="1:6" ht="15.95" customHeight="1" x14ac:dyDescent="0.2">
      <c r="A15" s="1364" t="s">
        <v>24</v>
      </c>
      <c r="B15" s="1362" t="s">
        <v>1019</v>
      </c>
      <c r="C15" s="705" t="s">
        <v>373</v>
      </c>
      <c r="D15" s="1056">
        <v>1423277</v>
      </c>
      <c r="E15" s="751"/>
      <c r="F15" s="751"/>
    </row>
    <row r="16" spans="1:6" ht="15.95" customHeight="1" x14ac:dyDescent="0.2">
      <c r="A16" s="1364" t="s">
        <v>25</v>
      </c>
      <c r="B16" s="1362" t="s">
        <v>490</v>
      </c>
      <c r="C16" s="705" t="s">
        <v>367</v>
      </c>
      <c r="D16" s="1056">
        <v>200000</v>
      </c>
    </row>
    <row r="17" spans="1:4" ht="15.95" customHeight="1" x14ac:dyDescent="0.2">
      <c r="A17" s="1364" t="s">
        <v>26</v>
      </c>
      <c r="B17" s="1362" t="s">
        <v>509</v>
      </c>
      <c r="C17" s="705" t="s">
        <v>367</v>
      </c>
      <c r="D17" s="1056">
        <v>136000000</v>
      </c>
    </row>
    <row r="18" spans="1:4" ht="15.95" customHeight="1" x14ac:dyDescent="0.2">
      <c r="A18" s="1364" t="s">
        <v>27</v>
      </c>
      <c r="B18" s="1362" t="s">
        <v>511</v>
      </c>
      <c r="C18" s="705" t="s">
        <v>367</v>
      </c>
      <c r="D18" s="1056">
        <v>500000</v>
      </c>
    </row>
    <row r="19" spans="1:4" ht="15.95" customHeight="1" x14ac:dyDescent="0.2">
      <c r="A19" s="1364" t="s">
        <v>28</v>
      </c>
      <c r="B19" s="1362" t="s">
        <v>590</v>
      </c>
      <c r="C19" s="705" t="s">
        <v>367</v>
      </c>
      <c r="D19" s="1056">
        <v>31762000</v>
      </c>
    </row>
    <row r="20" spans="1:4" ht="15.95" customHeight="1" thickBot="1" x14ac:dyDescent="0.25">
      <c r="A20" s="1365" t="s">
        <v>29</v>
      </c>
      <c r="B20" s="1362" t="s">
        <v>950</v>
      </c>
      <c r="C20" s="705" t="s">
        <v>367</v>
      </c>
      <c r="D20" s="1056">
        <v>752070</v>
      </c>
    </row>
    <row r="21" spans="1:4" ht="15.95" customHeight="1" thickBot="1" x14ac:dyDescent="0.25">
      <c r="A21" s="1366" t="s">
        <v>30</v>
      </c>
      <c r="B21" s="1514" t="s">
        <v>1020</v>
      </c>
      <c r="C21" s="1515"/>
      <c r="D21" s="1057">
        <f>SUM(D7:D20)</f>
        <v>192027506</v>
      </c>
    </row>
  </sheetData>
  <mergeCells count="4">
    <mergeCell ref="A1:D1"/>
    <mergeCell ref="A3:D3"/>
    <mergeCell ref="C5:D5"/>
    <mergeCell ref="B21:C21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zoomScaleNormal="100" zoomScaleSheetLayoutView="85" zoomScalePageLayoutView="85" workbookViewId="0">
      <selection activeCell="I20" sqref="I20"/>
    </sheetView>
  </sheetViews>
  <sheetFormatPr defaultColWidth="10.6640625" defaultRowHeight="12.75" x14ac:dyDescent="0.2"/>
  <cols>
    <col min="1" max="1" width="8.83203125" style="743" customWidth="1"/>
    <col min="2" max="2" width="42.33203125" style="743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1" bestFit="1" customWidth="1"/>
    <col min="9" max="10" width="15.1640625" style="743" bestFit="1" customWidth="1"/>
    <col min="11" max="11" width="15.33203125" style="743" bestFit="1" customWidth="1"/>
    <col min="12" max="12" width="15.1640625" style="743" bestFit="1" customWidth="1"/>
    <col min="13" max="13" width="13.6640625" style="743" bestFit="1" customWidth="1"/>
    <col min="14" max="14" width="15.6640625" style="300" bestFit="1" customWidth="1"/>
    <col min="15" max="15" width="15.1640625" style="743" customWidth="1"/>
    <col min="16" max="16384" width="10.6640625" style="743"/>
  </cols>
  <sheetData>
    <row r="1" spans="1:193" x14ac:dyDescent="0.2">
      <c r="A1" s="1516" t="str">
        <f>CONCATENATE("42. melléklet ",ALAPADATOK!A7," ",ALAPADATOK!B7," ",ALAPADATOK!C7," ",ALAPADATOK!D7," ",ALAPADATOK!E7," ",ALAPADATOK!F7," ",ALAPADATOK!G7," ",ALAPADATOK!H7)</f>
        <v>42. melléklet a .. / 2022. ( ……. ) önkormányzati rendelethez</v>
      </c>
      <c r="B1" s="1516"/>
      <c r="C1" s="1516"/>
      <c r="D1" s="1516"/>
      <c r="E1" s="1516"/>
      <c r="F1" s="1516"/>
      <c r="G1" s="1516"/>
      <c r="H1" s="1516"/>
      <c r="I1" s="1516"/>
      <c r="J1" s="1516"/>
      <c r="K1" s="1516"/>
      <c r="L1" s="1516"/>
      <c r="M1" s="1516"/>
      <c r="N1" s="1516"/>
    </row>
    <row r="2" spans="1:193" ht="12.75" customHeight="1" x14ac:dyDescent="0.2">
      <c r="B2" s="301"/>
      <c r="F2" s="302"/>
      <c r="I2" s="301"/>
      <c r="J2" s="1517" t="s">
        <v>1044</v>
      </c>
      <c r="K2" s="1518"/>
      <c r="L2" s="1518"/>
      <c r="M2" s="1518"/>
      <c r="N2" s="1518"/>
    </row>
    <row r="3" spans="1:193" ht="17.25" customHeight="1" x14ac:dyDescent="0.35">
      <c r="A3" s="1519" t="s">
        <v>1031</v>
      </c>
      <c r="B3" s="1519"/>
      <c r="C3" s="1519"/>
      <c r="D3" s="1519"/>
      <c r="E3" s="1519"/>
      <c r="F3" s="1519"/>
      <c r="G3" s="1519"/>
      <c r="H3" s="1519"/>
      <c r="I3" s="1519"/>
      <c r="J3" s="1519"/>
      <c r="K3" s="1519"/>
      <c r="L3" s="1519"/>
      <c r="M3" s="1519"/>
      <c r="N3" s="1519"/>
      <c r="O3" s="745"/>
    </row>
    <row r="4" spans="1:193" ht="19.5" x14ac:dyDescent="0.35">
      <c r="A4" s="1520" t="s">
        <v>374</v>
      </c>
      <c r="B4" s="1520"/>
      <c r="C4" s="1520"/>
      <c r="D4" s="1520"/>
      <c r="E4" s="1520"/>
      <c r="F4" s="1520"/>
      <c r="G4" s="1520"/>
      <c r="H4" s="1520"/>
      <c r="I4" s="1520"/>
      <c r="J4" s="1520"/>
      <c r="K4" s="1520"/>
      <c r="L4" s="1520"/>
      <c r="M4" s="1520"/>
      <c r="N4" s="1520"/>
      <c r="O4" s="745"/>
    </row>
    <row r="5" spans="1:193" ht="18" thickBot="1" x14ac:dyDescent="0.35">
      <c r="B5" s="306"/>
      <c r="C5" s="304"/>
      <c r="D5" s="304"/>
      <c r="E5" s="304"/>
      <c r="F5" s="304"/>
      <c r="G5" s="304"/>
      <c r="H5" s="602"/>
      <c r="I5" s="305"/>
      <c r="J5" s="305"/>
      <c r="K5" s="305"/>
      <c r="L5" s="305"/>
      <c r="M5" s="305"/>
      <c r="N5" s="303"/>
      <c r="O5" s="745"/>
    </row>
    <row r="6" spans="1:193" ht="15.75" customHeight="1" x14ac:dyDescent="0.25">
      <c r="A6" s="1524" t="s">
        <v>591</v>
      </c>
      <c r="B6" s="1526" t="s">
        <v>151</v>
      </c>
      <c r="C6" s="1521" t="s">
        <v>375</v>
      </c>
      <c r="D6" s="1522"/>
      <c r="E6" s="1522"/>
      <c r="F6" s="1522"/>
      <c r="G6" s="1522"/>
      <c r="H6" s="1523"/>
      <c r="I6" s="1521" t="s">
        <v>376</v>
      </c>
      <c r="J6" s="1522"/>
      <c r="K6" s="1522"/>
      <c r="L6" s="1522"/>
      <c r="M6" s="1522"/>
      <c r="N6" s="1523"/>
      <c r="O6" s="745"/>
    </row>
    <row r="7" spans="1:193" ht="27" customHeight="1" thickBot="1" x14ac:dyDescent="0.25">
      <c r="A7" s="1525"/>
      <c r="B7" s="1527"/>
      <c r="C7" s="1157" t="s">
        <v>351</v>
      </c>
      <c r="D7" s="1158" t="s">
        <v>9</v>
      </c>
      <c r="E7" s="1158" t="s">
        <v>125</v>
      </c>
      <c r="F7" s="1158" t="s">
        <v>934</v>
      </c>
      <c r="G7" s="1158" t="s">
        <v>475</v>
      </c>
      <c r="H7" s="1159" t="s">
        <v>1033</v>
      </c>
      <c r="I7" s="1157" t="s">
        <v>935</v>
      </c>
      <c r="J7" s="1158" t="s">
        <v>919</v>
      </c>
      <c r="K7" s="1158" t="s">
        <v>936</v>
      </c>
      <c r="L7" s="1158" t="s">
        <v>109</v>
      </c>
      <c r="M7" s="1158" t="s">
        <v>380</v>
      </c>
      <c r="N7" s="1160" t="s">
        <v>1032</v>
      </c>
      <c r="O7" s="745"/>
    </row>
    <row r="8" spans="1:193" ht="14.25" thickBot="1" x14ac:dyDescent="0.3">
      <c r="A8" s="1530" t="s">
        <v>592</v>
      </c>
      <c r="B8" s="1531"/>
      <c r="C8" s="1532"/>
      <c r="D8" s="1532"/>
      <c r="E8" s="1532"/>
      <c r="F8" s="1532"/>
      <c r="G8" s="1532"/>
      <c r="H8" s="1532"/>
      <c r="I8" s="1532"/>
      <c r="J8" s="1532"/>
      <c r="K8" s="1532"/>
      <c r="L8" s="1532"/>
      <c r="M8" s="1532"/>
      <c r="N8" s="1533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6" t="s">
        <v>593</v>
      </c>
      <c r="B9" s="597" t="s">
        <v>599</v>
      </c>
      <c r="C9" s="1058">
        <v>127000</v>
      </c>
      <c r="D9" s="1059"/>
      <c r="E9" s="1059"/>
      <c r="F9" s="1059"/>
      <c r="G9" s="1059"/>
      <c r="H9" s="1060">
        <f t="shared" ref="H9:H15" si="0">SUM(C9:G9)</f>
        <v>127000</v>
      </c>
      <c r="I9" s="1061">
        <f>36568546</f>
        <v>36568546</v>
      </c>
      <c r="J9" s="1062">
        <v>0</v>
      </c>
      <c r="K9" s="1062"/>
      <c r="L9" s="1062"/>
      <c r="M9" s="1062"/>
      <c r="N9" s="1063">
        <f t="shared" ref="N9:N15" si="1">SUM(I9:M9)</f>
        <v>36568546</v>
      </c>
      <c r="O9" s="745"/>
    </row>
    <row r="10" spans="1:193" x14ac:dyDescent="0.2">
      <c r="A10" s="598" t="s">
        <v>594</v>
      </c>
      <c r="B10" s="599" t="s">
        <v>600</v>
      </c>
      <c r="C10" s="1064"/>
      <c r="D10" s="1065"/>
      <c r="E10" s="1065"/>
      <c r="F10" s="1065"/>
      <c r="G10" s="1065"/>
      <c r="H10" s="1063">
        <f t="shared" si="0"/>
        <v>0</v>
      </c>
      <c r="I10" s="1066">
        <v>500000</v>
      </c>
      <c r="J10" s="1065"/>
      <c r="K10" s="1065"/>
      <c r="L10" s="1065"/>
      <c r="M10" s="1065"/>
      <c r="N10" s="1063">
        <f t="shared" si="1"/>
        <v>500000</v>
      </c>
      <c r="O10" s="745"/>
    </row>
    <row r="11" spans="1:193" ht="25.5" x14ac:dyDescent="0.2">
      <c r="A11" s="598" t="s">
        <v>595</v>
      </c>
      <c r="B11" s="599" t="s">
        <v>601</v>
      </c>
      <c r="C11" s="1064">
        <v>34334200</v>
      </c>
      <c r="D11" s="1065">
        <v>48000000</v>
      </c>
      <c r="E11" s="1065"/>
      <c r="F11" s="1065"/>
      <c r="G11" s="1065"/>
      <c r="H11" s="1067">
        <f t="shared" si="0"/>
        <v>82334200</v>
      </c>
      <c r="I11" s="1066">
        <v>23664463</v>
      </c>
      <c r="J11" s="1065">
        <v>6350000</v>
      </c>
      <c r="K11" s="1065"/>
      <c r="L11" s="1065"/>
      <c r="M11" s="1065"/>
      <c r="N11" s="1063">
        <f t="shared" si="1"/>
        <v>30014463</v>
      </c>
      <c r="O11" s="745"/>
    </row>
    <row r="12" spans="1:193" ht="25.5" x14ac:dyDescent="0.2">
      <c r="A12" s="598" t="s">
        <v>596</v>
      </c>
      <c r="B12" s="599" t="s">
        <v>382</v>
      </c>
      <c r="C12" s="1064">
        <v>1500000</v>
      </c>
      <c r="D12" s="1068"/>
      <c r="E12" s="1065"/>
      <c r="F12" s="1065"/>
      <c r="G12" s="1065"/>
      <c r="H12" s="1067">
        <f t="shared" si="0"/>
        <v>1500000</v>
      </c>
      <c r="I12" s="1066">
        <v>11489017</v>
      </c>
      <c r="J12" s="1065"/>
      <c r="K12" s="1065"/>
      <c r="L12" s="1065"/>
      <c r="M12" s="1065"/>
      <c r="N12" s="1063">
        <f t="shared" si="1"/>
        <v>11489017</v>
      </c>
      <c r="O12" s="745"/>
    </row>
    <row r="13" spans="1:193" ht="25.5" x14ac:dyDescent="0.2">
      <c r="A13" s="598" t="s">
        <v>597</v>
      </c>
      <c r="B13" s="599" t="s">
        <v>602</v>
      </c>
      <c r="C13" s="1064">
        <v>2166039818</v>
      </c>
      <c r="D13" s="1065">
        <v>28773000</v>
      </c>
      <c r="E13" s="1065"/>
      <c r="F13" s="1069"/>
      <c r="G13" s="1069"/>
      <c r="H13" s="1067">
        <f t="shared" si="0"/>
        <v>2194812818</v>
      </c>
      <c r="I13" s="1066">
        <v>55076107</v>
      </c>
      <c r="J13" s="1065"/>
      <c r="K13" s="1069"/>
      <c r="L13" s="1069"/>
      <c r="M13" s="1069"/>
      <c r="N13" s="1063">
        <f t="shared" si="1"/>
        <v>55076107</v>
      </c>
      <c r="O13" s="745"/>
    </row>
    <row r="14" spans="1:193" x14ac:dyDescent="0.2">
      <c r="A14" s="598" t="s">
        <v>852</v>
      </c>
      <c r="B14" s="599" t="s">
        <v>853</v>
      </c>
      <c r="C14" s="1064"/>
      <c r="D14" s="1070"/>
      <c r="E14" s="1065"/>
      <c r="F14" s="1065"/>
      <c r="G14" s="1065"/>
      <c r="H14" s="1067">
        <f t="shared" ref="H14" si="2">SUM(C14:G14)</f>
        <v>0</v>
      </c>
      <c r="I14" s="1071">
        <v>5091319</v>
      </c>
      <c r="J14" s="1072"/>
      <c r="K14" s="1072"/>
      <c r="L14" s="1072"/>
      <c r="M14" s="1072"/>
      <c r="N14" s="1063">
        <f t="shared" ref="N14" si="3">SUM(I14:M14)</f>
        <v>5091319</v>
      </c>
      <c r="O14" s="745"/>
    </row>
    <row r="15" spans="1:193" ht="13.5" thickBot="1" x14ac:dyDescent="0.25">
      <c r="A15" s="1006" t="s">
        <v>598</v>
      </c>
      <c r="B15" s="1007" t="s">
        <v>381</v>
      </c>
      <c r="C15" s="1073"/>
      <c r="D15" s="1074"/>
      <c r="E15" s="1074"/>
      <c r="F15" s="1074"/>
      <c r="G15" s="1074">
        <v>2381931880</v>
      </c>
      <c r="H15" s="1075">
        <f t="shared" si="0"/>
        <v>2381931880</v>
      </c>
      <c r="I15" s="1071">
        <v>636000</v>
      </c>
      <c r="J15" s="1072"/>
      <c r="K15" s="1072">
        <v>1866297504</v>
      </c>
      <c r="L15" s="1072"/>
      <c r="M15" s="1072"/>
      <c r="N15" s="1063">
        <f t="shared" si="1"/>
        <v>1866933504</v>
      </c>
      <c r="O15" s="745"/>
    </row>
    <row r="16" spans="1:193" s="745" customFormat="1" ht="14.25" thickBot="1" x14ac:dyDescent="0.3">
      <c r="A16" s="1534" t="s">
        <v>637</v>
      </c>
      <c r="B16" s="1535" t="s">
        <v>637</v>
      </c>
      <c r="C16" s="1531" t="s">
        <v>637</v>
      </c>
      <c r="D16" s="1531" t="s">
        <v>637</v>
      </c>
      <c r="E16" s="1531" t="s">
        <v>637</v>
      </c>
      <c r="F16" s="1531" t="s">
        <v>637</v>
      </c>
      <c r="G16" s="1531" t="s">
        <v>637</v>
      </c>
      <c r="H16" s="1531" t="s">
        <v>637</v>
      </c>
      <c r="I16" s="1531" t="s">
        <v>637</v>
      </c>
      <c r="J16" s="1531" t="s">
        <v>637</v>
      </c>
      <c r="K16" s="1531" t="s">
        <v>637</v>
      </c>
      <c r="L16" s="1531" t="s">
        <v>637</v>
      </c>
      <c r="M16" s="1531" t="s">
        <v>637</v>
      </c>
      <c r="N16" s="1536" t="s">
        <v>637</v>
      </c>
    </row>
    <row r="17" spans="1:15" s="745" customFormat="1" x14ac:dyDescent="0.2">
      <c r="A17" s="590" t="s">
        <v>638</v>
      </c>
      <c r="B17" s="591" t="s">
        <v>639</v>
      </c>
      <c r="C17" s="1058"/>
      <c r="D17" s="1059"/>
      <c r="E17" s="1059"/>
      <c r="F17" s="1059"/>
      <c r="G17" s="1059"/>
      <c r="H17" s="1060">
        <f t="shared" ref="H17:H23" si="4">SUM(C17:G17)</f>
        <v>0</v>
      </c>
      <c r="I17" s="1077">
        <v>37000000</v>
      </c>
      <c r="J17" s="1059">
        <f>5000000-3937008-1062992</f>
        <v>0</v>
      </c>
      <c r="K17" s="1059"/>
      <c r="L17" s="1059"/>
      <c r="M17" s="1059"/>
      <c r="N17" s="1060">
        <f t="shared" ref="N17:N23" si="5">SUM(I17:M17)</f>
        <v>37000000</v>
      </c>
    </row>
    <row r="18" spans="1:15" s="745" customFormat="1" ht="25.5" x14ac:dyDescent="0.2">
      <c r="A18" s="592" t="s">
        <v>640</v>
      </c>
      <c r="B18" s="593" t="s">
        <v>641</v>
      </c>
      <c r="C18" s="1064"/>
      <c r="D18" s="1065"/>
      <c r="E18" s="1065"/>
      <c r="F18" s="1065"/>
      <c r="G18" s="1065"/>
      <c r="H18" s="1067">
        <f t="shared" si="4"/>
        <v>0</v>
      </c>
      <c r="I18" s="1066">
        <v>47000</v>
      </c>
      <c r="J18" s="1065"/>
      <c r="K18" s="1065"/>
      <c r="L18" s="1065"/>
      <c r="M18" s="1065"/>
      <c r="N18" s="1067">
        <f t="shared" si="5"/>
        <v>47000</v>
      </c>
    </row>
    <row r="19" spans="1:15" s="745" customFormat="1" x14ac:dyDescent="0.2">
      <c r="A19" s="592" t="s">
        <v>900</v>
      </c>
      <c r="B19" s="593" t="s">
        <v>901</v>
      </c>
      <c r="C19" s="1064"/>
      <c r="D19" s="1065"/>
      <c r="E19" s="1065"/>
      <c r="F19" s="1065"/>
      <c r="G19" s="1065"/>
      <c r="H19" s="1067">
        <f t="shared" ref="H19" si="6">SUM(C19:G19)</f>
        <v>0</v>
      </c>
      <c r="I19" s="1066">
        <f>10311024-553313</f>
        <v>9757711</v>
      </c>
      <c r="J19" s="1065">
        <v>38642289</v>
      </c>
      <c r="K19" s="1065"/>
      <c r="L19" s="1065"/>
      <c r="M19" s="1065"/>
      <c r="N19" s="1067">
        <f t="shared" ref="N19" si="7">SUM(I19:M19)</f>
        <v>48400000</v>
      </c>
    </row>
    <row r="20" spans="1:15" s="745" customFormat="1" x14ac:dyDescent="0.2">
      <c r="A20" s="592" t="s">
        <v>642</v>
      </c>
      <c r="B20" s="593" t="s">
        <v>643</v>
      </c>
      <c r="C20" s="1064"/>
      <c r="D20" s="1065"/>
      <c r="E20" s="1065"/>
      <c r="F20" s="1065"/>
      <c r="G20" s="1065"/>
      <c r="H20" s="1067">
        <f t="shared" si="4"/>
        <v>0</v>
      </c>
      <c r="I20" s="1066">
        <v>0</v>
      </c>
      <c r="J20" s="1065">
        <v>250000</v>
      </c>
      <c r="K20" s="1065"/>
      <c r="L20" s="1065"/>
      <c r="M20" s="1065"/>
      <c r="N20" s="1067">
        <f t="shared" si="5"/>
        <v>250000</v>
      </c>
    </row>
    <row r="21" spans="1:15" s="745" customFormat="1" ht="25.5" x14ac:dyDescent="0.2">
      <c r="A21" s="592" t="s">
        <v>644</v>
      </c>
      <c r="B21" s="593" t="s">
        <v>645</v>
      </c>
      <c r="C21" s="1064">
        <v>8283554</v>
      </c>
      <c r="D21" s="1065">
        <v>228389521</v>
      </c>
      <c r="E21" s="1065"/>
      <c r="F21" s="1065"/>
      <c r="G21" s="1065"/>
      <c r="H21" s="1067">
        <f t="shared" si="4"/>
        <v>236673075</v>
      </c>
      <c r="I21" s="1066">
        <v>31320966</v>
      </c>
      <c r="J21" s="1065">
        <v>985260286</v>
      </c>
      <c r="K21" s="1065"/>
      <c r="L21" s="1065"/>
      <c r="M21" s="1065"/>
      <c r="N21" s="1067">
        <f t="shared" si="5"/>
        <v>1016581252</v>
      </c>
    </row>
    <row r="22" spans="1:15" s="745" customFormat="1" ht="25.5" x14ac:dyDescent="0.2">
      <c r="A22" s="772" t="s">
        <v>727</v>
      </c>
      <c r="B22" s="773" t="s">
        <v>728</v>
      </c>
      <c r="C22" s="1078"/>
      <c r="D22" s="1065"/>
      <c r="E22" s="1079"/>
      <c r="F22" s="1079"/>
      <c r="G22" s="1080"/>
      <c r="H22" s="1067">
        <f>SUM(C22:G22)</f>
        <v>0</v>
      </c>
      <c r="I22" s="1066">
        <v>274320</v>
      </c>
      <c r="J22" s="1065"/>
      <c r="K22" s="1080"/>
      <c r="L22" s="1080"/>
      <c r="M22" s="1080"/>
      <c r="N22" s="1067">
        <f t="shared" si="5"/>
        <v>274320</v>
      </c>
    </row>
    <row r="23" spans="1:15" s="745" customFormat="1" ht="25.5" x14ac:dyDescent="0.2">
      <c r="A23" s="592" t="s">
        <v>646</v>
      </c>
      <c r="B23" s="593" t="s">
        <v>647</v>
      </c>
      <c r="C23" s="1064">
        <v>19458900</v>
      </c>
      <c r="D23" s="1065">
        <v>0</v>
      </c>
      <c r="E23" s="1065"/>
      <c r="F23" s="1065"/>
      <c r="G23" s="1065"/>
      <c r="H23" s="1067">
        <f t="shared" si="4"/>
        <v>19458900</v>
      </c>
      <c r="I23" s="1066">
        <v>28150100</v>
      </c>
      <c r="J23" s="1065">
        <v>8950365</v>
      </c>
      <c r="K23" s="1065"/>
      <c r="L23" s="1065"/>
      <c r="M23" s="1065"/>
      <c r="N23" s="1067">
        <f t="shared" si="5"/>
        <v>37100465</v>
      </c>
    </row>
    <row r="24" spans="1:15" s="745" customFormat="1" ht="25.5" x14ac:dyDescent="0.2">
      <c r="A24" s="772" t="s">
        <v>648</v>
      </c>
      <c r="B24" s="773" t="s">
        <v>649</v>
      </c>
      <c r="C24" s="1078"/>
      <c r="D24" s="1065"/>
      <c r="E24" s="1079"/>
      <c r="F24" s="1079"/>
      <c r="G24" s="1080"/>
      <c r="H24" s="1067">
        <f t="shared" ref="H24" si="8">SUM(C24:G24)</f>
        <v>0</v>
      </c>
      <c r="I24" s="1066">
        <v>6291127</v>
      </c>
      <c r="J24" s="1065">
        <v>190491997</v>
      </c>
      <c r="K24" s="1080"/>
      <c r="L24" s="1080"/>
      <c r="M24" s="1080"/>
      <c r="N24" s="1067">
        <f t="shared" ref="N24" si="9">SUM(I24:M24)</f>
        <v>196783124</v>
      </c>
    </row>
    <row r="25" spans="1:15" s="745" customFormat="1" ht="26.25" thickBot="1" x14ac:dyDescent="0.25">
      <c r="A25" s="594" t="s">
        <v>947</v>
      </c>
      <c r="B25" s="595" t="s">
        <v>948</v>
      </c>
      <c r="C25" s="1081"/>
      <c r="D25" s="1082"/>
      <c r="E25" s="1082"/>
      <c r="F25" s="1082"/>
      <c r="G25" s="1082"/>
      <c r="H25" s="1083">
        <f t="shared" ref="H25" si="10">SUM(C25:G25)</f>
        <v>0</v>
      </c>
      <c r="I25" s="1084">
        <v>19166098</v>
      </c>
      <c r="J25" s="1082">
        <v>534833902</v>
      </c>
      <c r="K25" s="1082"/>
      <c r="L25" s="1082"/>
      <c r="M25" s="1082"/>
      <c r="N25" s="1083">
        <f t="shared" ref="N25" si="11">SUM(I25:M25)</f>
        <v>554000000</v>
      </c>
    </row>
    <row r="26" spans="1:15" ht="14.25" thickBot="1" x14ac:dyDescent="0.3">
      <c r="A26" s="1534" t="s">
        <v>603</v>
      </c>
      <c r="B26" s="1535"/>
      <c r="C26" s="1535"/>
      <c r="D26" s="1535"/>
      <c r="E26" s="1535"/>
      <c r="F26" s="1535"/>
      <c r="G26" s="1535"/>
      <c r="H26" s="1535"/>
      <c r="I26" s="1535"/>
      <c r="J26" s="1535"/>
      <c r="K26" s="1535"/>
      <c r="L26" s="1535"/>
      <c r="M26" s="1535"/>
      <c r="N26" s="1537"/>
      <c r="O26" s="745"/>
    </row>
    <row r="27" spans="1:15" ht="25.5" x14ac:dyDescent="0.2">
      <c r="A27" s="731" t="s">
        <v>604</v>
      </c>
      <c r="B27" s="732" t="s">
        <v>605</v>
      </c>
      <c r="C27" s="1059">
        <v>507601</v>
      </c>
      <c r="D27" s="1085"/>
      <c r="E27" s="1085"/>
      <c r="F27" s="1085"/>
      <c r="G27" s="1085"/>
      <c r="H27" s="1060">
        <f>SUM(C27:G27)</f>
        <v>507601</v>
      </c>
      <c r="I27" s="1077">
        <v>16190698</v>
      </c>
      <c r="J27" s="1085"/>
      <c r="K27" s="1085"/>
      <c r="L27" s="1085"/>
      <c r="M27" s="1085"/>
      <c r="N27" s="1060">
        <f>SUM(I27:M27)</f>
        <v>16190698</v>
      </c>
      <c r="O27" s="745"/>
    </row>
    <row r="28" spans="1:15" ht="25.5" x14ac:dyDescent="0.2">
      <c r="A28" s="733" t="s">
        <v>606</v>
      </c>
      <c r="B28" s="730" t="s">
        <v>384</v>
      </c>
      <c r="C28" s="1065"/>
      <c r="D28" s="1065"/>
      <c r="E28" s="1065"/>
      <c r="F28" s="1065"/>
      <c r="G28" s="1065"/>
      <c r="H28" s="1067">
        <f>SUM(C28:G28)</f>
        <v>0</v>
      </c>
      <c r="I28" s="1066">
        <v>835000</v>
      </c>
      <c r="J28" s="1069"/>
      <c r="K28" s="1069"/>
      <c r="L28" s="1069"/>
      <c r="M28" s="1069"/>
      <c r="N28" s="1067">
        <f>SUM(I28:M28)</f>
        <v>835000</v>
      </c>
      <c r="O28" s="745"/>
    </row>
    <row r="29" spans="1:15" ht="25.5" x14ac:dyDescent="0.2">
      <c r="A29" s="733" t="s">
        <v>607</v>
      </c>
      <c r="B29" s="730" t="s">
        <v>608</v>
      </c>
      <c r="C29" s="1065">
        <v>1000000</v>
      </c>
      <c r="D29" s="1069"/>
      <c r="E29" s="1080"/>
      <c r="F29" s="1069"/>
      <c r="G29" s="1069"/>
      <c r="H29" s="1067">
        <f>SUM(C29:G29)</f>
        <v>1000000</v>
      </c>
      <c r="I29" s="1086"/>
      <c r="J29" s="1065"/>
      <c r="K29" s="1069"/>
      <c r="L29" s="1069"/>
      <c r="M29" s="1069"/>
      <c r="N29" s="1067">
        <f>SUM(I29:M29)</f>
        <v>0</v>
      </c>
      <c r="O29" s="745"/>
    </row>
    <row r="30" spans="1:15" ht="26.25" thickBot="1" x14ac:dyDescent="0.25">
      <c r="A30" s="734" t="s">
        <v>712</v>
      </c>
      <c r="B30" s="735" t="s">
        <v>711</v>
      </c>
      <c r="C30" s="1082"/>
      <c r="D30" s="1087"/>
      <c r="E30" s="1088"/>
      <c r="F30" s="1087"/>
      <c r="G30" s="1087"/>
      <c r="H30" s="1067">
        <f>SUM(C30:G30)</f>
        <v>0</v>
      </c>
      <c r="I30" s="1084"/>
      <c r="J30" s="1082"/>
      <c r="K30" s="1087"/>
      <c r="L30" s="1087"/>
      <c r="M30" s="1087"/>
      <c r="N30" s="1067">
        <f>SUM(I30:M30)</f>
        <v>0</v>
      </c>
      <c r="O30" s="745"/>
    </row>
    <row r="31" spans="1:15" ht="14.25" thickBot="1" x14ac:dyDescent="0.3">
      <c r="A31" s="1538" t="s">
        <v>614</v>
      </c>
      <c r="B31" s="1539"/>
      <c r="C31" s="1540"/>
      <c r="D31" s="1540"/>
      <c r="E31" s="1540"/>
      <c r="F31" s="1540"/>
      <c r="G31" s="1540"/>
      <c r="H31" s="1540"/>
      <c r="I31" s="1540"/>
      <c r="J31" s="1540"/>
      <c r="K31" s="1540"/>
      <c r="L31" s="1540"/>
      <c r="M31" s="1540"/>
      <c r="N31" s="1541"/>
      <c r="O31" s="745"/>
    </row>
    <row r="32" spans="1:15" ht="25.5" x14ac:dyDescent="0.2">
      <c r="A32" s="731" t="s">
        <v>713</v>
      </c>
      <c r="B32" s="736" t="s">
        <v>714</v>
      </c>
      <c r="C32" s="1077">
        <v>17143608</v>
      </c>
      <c r="D32" s="1059">
        <v>12853698</v>
      </c>
      <c r="E32" s="1058"/>
      <c r="F32" s="1059"/>
      <c r="G32" s="1059"/>
      <c r="H32" s="1060">
        <f>SUM(C32:G32)</f>
        <v>29997306</v>
      </c>
      <c r="I32" s="1077">
        <v>86158879</v>
      </c>
      <c r="J32" s="1059">
        <v>384419465</v>
      </c>
      <c r="K32" s="1059"/>
      <c r="L32" s="1059"/>
      <c r="M32" s="1059"/>
      <c r="N32" s="1060">
        <f>SUM(I32:M32)</f>
        <v>470578344</v>
      </c>
      <c r="O32" s="745"/>
    </row>
    <row r="33" spans="1:15" x14ac:dyDescent="0.2">
      <c r="A33" s="733" t="s">
        <v>609</v>
      </c>
      <c r="B33" s="737" t="s">
        <v>377</v>
      </c>
      <c r="C33" s="1061"/>
      <c r="D33" s="1062"/>
      <c r="E33" s="1089"/>
      <c r="F33" s="1062"/>
      <c r="G33" s="1062"/>
      <c r="H33" s="1063">
        <f>SUM(C33:G33)</f>
        <v>0</v>
      </c>
      <c r="I33" s="1061">
        <v>45114638</v>
      </c>
      <c r="J33" s="1062">
        <v>165127000</v>
      </c>
      <c r="K33" s="1062"/>
      <c r="L33" s="1062"/>
      <c r="M33" s="1062"/>
      <c r="N33" s="1063">
        <f>SUM(I33:M33)</f>
        <v>210241638</v>
      </c>
      <c r="O33" s="745"/>
    </row>
    <row r="34" spans="1:15" x14ac:dyDescent="0.2">
      <c r="A34" s="733" t="s">
        <v>610</v>
      </c>
      <c r="B34" s="737" t="s">
        <v>611</v>
      </c>
      <c r="C34" s="1090"/>
      <c r="D34" s="1065"/>
      <c r="E34" s="1065"/>
      <c r="F34" s="1065"/>
      <c r="G34" s="1065"/>
      <c r="H34" s="1067">
        <f>SUM(C34:G34)</f>
        <v>0</v>
      </c>
      <c r="I34" s="1066">
        <v>19634950</v>
      </c>
      <c r="J34" s="1065">
        <v>0</v>
      </c>
      <c r="K34" s="1065"/>
      <c r="L34" s="1065"/>
      <c r="M34" s="1065"/>
      <c r="N34" s="1063">
        <f>SUM(I34:M34)</f>
        <v>19634950</v>
      </c>
      <c r="O34" s="745"/>
    </row>
    <row r="35" spans="1:15" ht="26.25" thickBot="1" x14ac:dyDescent="0.25">
      <c r="A35" s="734" t="s">
        <v>612</v>
      </c>
      <c r="B35" s="738" t="s">
        <v>613</v>
      </c>
      <c r="C35" s="1084">
        <v>5890000</v>
      </c>
      <c r="D35" s="1082"/>
      <c r="E35" s="1082">
        <v>8000000</v>
      </c>
      <c r="F35" s="1082"/>
      <c r="G35" s="1082"/>
      <c r="H35" s="1083">
        <f>SUM(C35:G35)</f>
        <v>13890000</v>
      </c>
      <c r="I35" s="1084">
        <v>59730440</v>
      </c>
      <c r="J35" s="1082">
        <v>5844800</v>
      </c>
      <c r="K35" s="1082"/>
      <c r="L35" s="1082"/>
      <c r="M35" s="1082"/>
      <c r="N35" s="1075">
        <f>SUM(I35:M35)</f>
        <v>65575240</v>
      </c>
      <c r="O35" s="745"/>
    </row>
    <row r="36" spans="1:15" ht="15.75" thickBot="1" x14ac:dyDescent="0.3">
      <c r="A36" s="1542" t="s">
        <v>615</v>
      </c>
      <c r="B36" s="1543"/>
      <c r="C36" s="1543"/>
      <c r="D36" s="1543"/>
      <c r="E36" s="1543"/>
      <c r="F36" s="1543"/>
      <c r="G36" s="1543"/>
      <c r="H36" s="1543"/>
      <c r="I36" s="1543"/>
      <c r="J36" s="1543"/>
      <c r="K36" s="1543"/>
      <c r="L36" s="1543"/>
      <c r="M36" s="1543"/>
      <c r="N36" s="1544"/>
      <c r="O36" s="745"/>
    </row>
    <row r="37" spans="1:15" x14ac:dyDescent="0.2">
      <c r="A37" s="1004" t="s">
        <v>743</v>
      </c>
      <c r="B37" s="1005" t="s">
        <v>744</v>
      </c>
      <c r="C37" s="1058">
        <v>34290896</v>
      </c>
      <c r="D37" s="1091"/>
      <c r="E37" s="1091"/>
      <c r="F37" s="1091"/>
      <c r="G37" s="1091"/>
      <c r="H37" s="1060">
        <f t="shared" ref="H37:H43" si="12">SUM(C37:G37)</f>
        <v>34290896</v>
      </c>
      <c r="I37" s="1171">
        <v>87552185</v>
      </c>
      <c r="J37" s="1059">
        <v>157075866</v>
      </c>
      <c r="K37" s="1092"/>
      <c r="L37" s="1092"/>
      <c r="M37" s="1092"/>
      <c r="N37" s="1060">
        <f t="shared" ref="N37:N43" si="13">SUM(I37:M37)</f>
        <v>244628051</v>
      </c>
      <c r="O37" s="745"/>
    </row>
    <row r="38" spans="1:15" x14ac:dyDescent="0.2">
      <c r="A38" s="846" t="s">
        <v>729</v>
      </c>
      <c r="B38" s="847" t="s">
        <v>730</v>
      </c>
      <c r="C38" s="1089">
        <v>2313672</v>
      </c>
      <c r="D38" s="1093"/>
      <c r="E38" s="1093"/>
      <c r="F38" s="1093"/>
      <c r="G38" s="1093"/>
      <c r="H38" s="1063">
        <f t="shared" ref="H38" si="14">SUM(C38:G38)</f>
        <v>2313672</v>
      </c>
      <c r="I38" s="1094">
        <v>32365956</v>
      </c>
      <c r="J38" s="1062"/>
      <c r="K38" s="1095"/>
      <c r="L38" s="1095"/>
      <c r="M38" s="1095"/>
      <c r="N38" s="1063">
        <f t="shared" ref="N38" si="15">SUM(I38:M38)</f>
        <v>32365956</v>
      </c>
      <c r="O38" s="745"/>
    </row>
    <row r="39" spans="1:15" x14ac:dyDescent="0.2">
      <c r="A39" s="774" t="s">
        <v>616</v>
      </c>
      <c r="B39" s="775" t="s">
        <v>1</v>
      </c>
      <c r="C39" s="1064"/>
      <c r="D39" s="1064"/>
      <c r="E39" s="1064"/>
      <c r="F39" s="1064"/>
      <c r="G39" s="1064"/>
      <c r="H39" s="1067">
        <f>SUM(C39:G39)</f>
        <v>0</v>
      </c>
      <c r="I39" s="1096">
        <v>47104800</v>
      </c>
      <c r="J39" s="1065">
        <v>49000000</v>
      </c>
      <c r="K39" s="1065"/>
      <c r="L39" s="1065"/>
      <c r="M39" s="1065"/>
      <c r="N39" s="1063">
        <f>SUM(I39:M39)</f>
        <v>96104800</v>
      </c>
      <c r="O39" s="745"/>
    </row>
    <row r="40" spans="1:15" x14ac:dyDescent="0.2">
      <c r="A40" s="774" t="s">
        <v>617</v>
      </c>
      <c r="B40" s="775" t="s">
        <v>3</v>
      </c>
      <c r="C40" s="1064"/>
      <c r="D40" s="1065"/>
      <c r="E40" s="1065"/>
      <c r="F40" s="1065"/>
      <c r="G40" s="1065"/>
      <c r="H40" s="1067">
        <f t="shared" si="12"/>
        <v>0</v>
      </c>
      <c r="I40" s="1066">
        <v>7910800</v>
      </c>
      <c r="J40" s="1065"/>
      <c r="K40" s="1065"/>
      <c r="L40" s="1065"/>
      <c r="M40" s="1065"/>
      <c r="N40" s="1063">
        <f t="shared" si="13"/>
        <v>7910800</v>
      </c>
      <c r="O40" s="745"/>
    </row>
    <row r="41" spans="1:15" x14ac:dyDescent="0.2">
      <c r="A41" s="774" t="s">
        <v>716</v>
      </c>
      <c r="B41" s="775" t="s">
        <v>715</v>
      </c>
      <c r="C41" s="1064"/>
      <c r="D41" s="1065"/>
      <c r="E41" s="1065"/>
      <c r="F41" s="1065"/>
      <c r="G41" s="1065"/>
      <c r="H41" s="1067">
        <f>SUM(C41:G41)</f>
        <v>0</v>
      </c>
      <c r="I41" s="1066">
        <v>14000000</v>
      </c>
      <c r="J41" s="1065"/>
      <c r="K41" s="1065"/>
      <c r="L41" s="1065"/>
      <c r="M41" s="1065"/>
      <c r="N41" s="1063">
        <f>SUM(I41:M41)</f>
        <v>14000000</v>
      </c>
      <c r="O41" s="745"/>
    </row>
    <row r="42" spans="1:15" x14ac:dyDescent="0.2">
      <c r="A42" s="774" t="s">
        <v>731</v>
      </c>
      <c r="B42" s="775" t="s">
        <v>732</v>
      </c>
      <c r="C42" s="1064"/>
      <c r="D42" s="1080"/>
      <c r="E42" s="1080"/>
      <c r="F42" s="1080"/>
      <c r="G42" s="1080"/>
      <c r="H42" s="1067">
        <f>SUM(C42:G42)</f>
        <v>0</v>
      </c>
      <c r="I42" s="1066">
        <v>7239000</v>
      </c>
      <c r="J42" s="1065">
        <v>127000</v>
      </c>
      <c r="K42" s="1080"/>
      <c r="L42" s="1080"/>
      <c r="M42" s="1080"/>
      <c r="N42" s="1063">
        <f>SUM(I42:M42)</f>
        <v>7366000</v>
      </c>
      <c r="O42" s="745"/>
    </row>
    <row r="43" spans="1:15" ht="26.25" thickBot="1" x14ac:dyDescent="0.25">
      <c r="A43" s="750" t="s">
        <v>618</v>
      </c>
      <c r="B43" s="748" t="s">
        <v>619</v>
      </c>
      <c r="C43" s="1081"/>
      <c r="D43" s="1082"/>
      <c r="E43" s="1082"/>
      <c r="F43" s="1082"/>
      <c r="G43" s="1082"/>
      <c r="H43" s="1083">
        <f t="shared" si="12"/>
        <v>0</v>
      </c>
      <c r="I43" s="1084">
        <v>300000</v>
      </c>
      <c r="J43" s="1082">
        <v>0</v>
      </c>
      <c r="K43" s="1082"/>
      <c r="L43" s="1082"/>
      <c r="M43" s="1082"/>
      <c r="N43" s="1075">
        <f t="shared" si="13"/>
        <v>300000</v>
      </c>
      <c r="O43" s="745"/>
    </row>
    <row r="44" spans="1:15" ht="14.25" thickBot="1" x14ac:dyDescent="0.3">
      <c r="A44" s="1534" t="s">
        <v>620</v>
      </c>
      <c r="B44" s="1535"/>
      <c r="C44" s="1532"/>
      <c r="D44" s="1532"/>
      <c r="E44" s="1532"/>
      <c r="F44" s="1532"/>
      <c r="G44" s="1532"/>
      <c r="H44" s="1532"/>
      <c r="I44" s="1532"/>
      <c r="J44" s="1532"/>
      <c r="K44" s="1532"/>
      <c r="L44" s="1532"/>
      <c r="M44" s="1532"/>
      <c r="N44" s="1533"/>
      <c r="O44" s="745"/>
    </row>
    <row r="45" spans="1:15" ht="25.5" x14ac:dyDescent="0.2">
      <c r="A45" s="1026" t="s">
        <v>745</v>
      </c>
      <c r="B45" s="1027" t="s">
        <v>746</v>
      </c>
      <c r="C45" s="1097"/>
      <c r="D45" s="1098"/>
      <c r="E45" s="1098"/>
      <c r="F45" s="1098"/>
      <c r="G45" s="1098"/>
      <c r="H45" s="1099">
        <f t="shared" ref="H45:H50" si="16">SUM(C45:G45)</f>
        <v>0</v>
      </c>
      <c r="I45" s="1175">
        <v>24613222</v>
      </c>
      <c r="J45" s="1098">
        <v>49789531</v>
      </c>
      <c r="K45" s="1098"/>
      <c r="L45" s="1098"/>
      <c r="M45" s="1098"/>
      <c r="N45" s="1099">
        <f t="shared" ref="N45:N50" si="17">SUM(I45:M45)</f>
        <v>74402753</v>
      </c>
      <c r="O45" s="745"/>
    </row>
    <row r="46" spans="1:15" x14ac:dyDescent="0.2">
      <c r="A46" s="774" t="s">
        <v>898</v>
      </c>
      <c r="B46" s="775" t="s">
        <v>899</v>
      </c>
      <c r="C46" s="1064"/>
      <c r="D46" s="1080"/>
      <c r="E46" s="1080"/>
      <c r="F46" s="1080"/>
      <c r="G46" s="1080"/>
      <c r="H46" s="1166">
        <f t="shared" si="16"/>
        <v>0</v>
      </c>
      <c r="I46" s="1066">
        <v>5770566</v>
      </c>
      <c r="J46" s="1065"/>
      <c r="K46" s="1065"/>
      <c r="L46" s="1065"/>
      <c r="M46" s="1065"/>
      <c r="N46" s="1166">
        <f t="shared" si="17"/>
        <v>5770566</v>
      </c>
      <c r="O46" s="745"/>
    </row>
    <row r="47" spans="1:15" ht="25.5" x14ac:dyDescent="0.2">
      <c r="A47" s="749" t="s">
        <v>866</v>
      </c>
      <c r="B47" s="599" t="s">
        <v>867</v>
      </c>
      <c r="C47" s="1064"/>
      <c r="D47" s="1065"/>
      <c r="E47" s="1065"/>
      <c r="F47" s="1065"/>
      <c r="G47" s="1065"/>
      <c r="H47" s="1067">
        <f t="shared" si="16"/>
        <v>0</v>
      </c>
      <c r="I47" s="1066">
        <v>2263891</v>
      </c>
      <c r="J47" s="1065"/>
      <c r="K47" s="1065"/>
      <c r="L47" s="1065"/>
      <c r="M47" s="1065"/>
      <c r="N47" s="1067">
        <f t="shared" si="17"/>
        <v>2263891</v>
      </c>
      <c r="O47" s="745"/>
    </row>
    <row r="48" spans="1:15" x14ac:dyDescent="0.2">
      <c r="A48" s="848" t="s">
        <v>621</v>
      </c>
      <c r="B48" s="849" t="s">
        <v>560</v>
      </c>
      <c r="C48" s="1100">
        <v>762000</v>
      </c>
      <c r="D48" s="1101"/>
      <c r="E48" s="1101"/>
      <c r="F48" s="1101"/>
      <c r="G48" s="1101"/>
      <c r="H48" s="1063">
        <f t="shared" si="16"/>
        <v>762000</v>
      </c>
      <c r="I48" s="1102">
        <v>6627276</v>
      </c>
      <c r="J48" s="1101"/>
      <c r="K48" s="1101"/>
      <c r="L48" s="1101"/>
      <c r="M48" s="1101"/>
      <c r="N48" s="1063">
        <f t="shared" si="17"/>
        <v>6627276</v>
      </c>
      <c r="O48" s="745"/>
    </row>
    <row r="49" spans="1:15" s="408" customFormat="1" x14ac:dyDescent="0.2">
      <c r="A49" s="749" t="s">
        <v>622</v>
      </c>
      <c r="B49" s="599" t="s">
        <v>378</v>
      </c>
      <c r="C49" s="1103">
        <v>0</v>
      </c>
      <c r="D49" s="1104"/>
      <c r="E49" s="1104"/>
      <c r="F49" s="1104"/>
      <c r="G49" s="1104"/>
      <c r="H49" s="1067">
        <f t="shared" si="16"/>
        <v>0</v>
      </c>
      <c r="I49" s="1071">
        <v>22342229</v>
      </c>
      <c r="J49" s="1072">
        <v>1423277</v>
      </c>
      <c r="K49" s="1072"/>
      <c r="L49" s="1072"/>
      <c r="M49" s="1072"/>
      <c r="N49" s="1063">
        <f t="shared" si="17"/>
        <v>23765506</v>
      </c>
    </row>
    <row r="50" spans="1:15" s="408" customFormat="1" ht="39" thickBot="1" x14ac:dyDescent="0.25">
      <c r="A50" s="750" t="s">
        <v>623</v>
      </c>
      <c r="B50" s="748" t="s">
        <v>624</v>
      </c>
      <c r="C50" s="1103">
        <v>30768216</v>
      </c>
      <c r="D50" s="1072">
        <v>806423</v>
      </c>
      <c r="E50" s="1104"/>
      <c r="F50" s="1104"/>
      <c r="G50" s="1104"/>
      <c r="H50" s="1105">
        <f t="shared" si="16"/>
        <v>31574639</v>
      </c>
      <c r="I50" s="1071">
        <v>32569630</v>
      </c>
      <c r="J50" s="1072">
        <v>1050</v>
      </c>
      <c r="K50" s="1072"/>
      <c r="L50" s="1072"/>
      <c r="M50" s="1072"/>
      <c r="N50" s="1063">
        <f t="shared" si="17"/>
        <v>32570680</v>
      </c>
    </row>
    <row r="51" spans="1:15" s="408" customFormat="1" ht="14.25" thickBot="1" x14ac:dyDescent="0.3">
      <c r="A51" s="1534" t="s">
        <v>737</v>
      </c>
      <c r="B51" s="1535"/>
      <c r="C51" s="1532"/>
      <c r="D51" s="1532"/>
      <c r="E51" s="1532"/>
      <c r="F51" s="1532"/>
      <c r="G51" s="1532"/>
      <c r="H51" s="1532"/>
      <c r="I51" s="1532"/>
      <c r="J51" s="1532"/>
      <c r="K51" s="1532"/>
      <c r="L51" s="1532"/>
      <c r="M51" s="1532"/>
      <c r="N51" s="1533"/>
    </row>
    <row r="52" spans="1:15" s="408" customFormat="1" ht="13.5" thickBot="1" x14ac:dyDescent="0.25">
      <c r="A52" s="600" t="s">
        <v>738</v>
      </c>
      <c r="B52" s="597" t="s">
        <v>739</v>
      </c>
      <c r="C52" s="1100"/>
      <c r="D52" s="1101"/>
      <c r="E52" s="1101"/>
      <c r="F52" s="1101"/>
      <c r="G52" s="1101"/>
      <c r="H52" s="1063">
        <f>SUM(C52:G52)</f>
        <v>0</v>
      </c>
      <c r="I52" s="1102">
        <v>4621230</v>
      </c>
      <c r="J52" s="1101">
        <v>46591747</v>
      </c>
      <c r="K52" s="1101"/>
      <c r="L52" s="1101"/>
      <c r="M52" s="1101"/>
      <c r="N52" s="1063">
        <f>SUM(I52:M52)</f>
        <v>51212977</v>
      </c>
    </row>
    <row r="53" spans="1:15" ht="14.25" thickBot="1" x14ac:dyDescent="0.3">
      <c r="A53" s="1534" t="s">
        <v>625</v>
      </c>
      <c r="B53" s="1535"/>
      <c r="C53" s="1531"/>
      <c r="D53" s="1531"/>
      <c r="E53" s="1531"/>
      <c r="F53" s="1531"/>
      <c r="G53" s="1531"/>
      <c r="H53" s="1531"/>
      <c r="I53" s="1531"/>
      <c r="J53" s="1531"/>
      <c r="K53" s="1531"/>
      <c r="L53" s="1531"/>
      <c r="M53" s="1531"/>
      <c r="N53" s="1536"/>
      <c r="O53" s="745"/>
    </row>
    <row r="54" spans="1:15" ht="25.5" x14ac:dyDescent="0.2">
      <c r="A54" s="1030">
        <v>101211</v>
      </c>
      <c r="B54" s="1027" t="s">
        <v>868</v>
      </c>
      <c r="C54" s="1097"/>
      <c r="D54" s="1098"/>
      <c r="E54" s="1098"/>
      <c r="F54" s="1098"/>
      <c r="G54" s="1098"/>
      <c r="H54" s="1099">
        <f t="shared" ref="H54:H60" si="18">SUM(C54:G54)</f>
        <v>0</v>
      </c>
      <c r="I54" s="1059">
        <v>4226616</v>
      </c>
      <c r="J54" s="1059"/>
      <c r="K54" s="1059"/>
      <c r="L54" s="1059"/>
      <c r="M54" s="1059"/>
      <c r="N54" s="1060">
        <f t="shared" ref="N54:N63" si="19">SUM(I54:M54)</f>
        <v>4226616</v>
      </c>
      <c r="O54" s="745"/>
    </row>
    <row r="55" spans="1:15" ht="25.5" x14ac:dyDescent="0.2">
      <c r="A55" s="1031">
        <v>101222</v>
      </c>
      <c r="B55" s="599" t="s">
        <v>872</v>
      </c>
      <c r="C55" s="1064"/>
      <c r="D55" s="1065"/>
      <c r="E55" s="1065"/>
      <c r="F55" s="1065"/>
      <c r="G55" s="1065"/>
      <c r="H55" s="1067">
        <f t="shared" si="18"/>
        <v>0</v>
      </c>
      <c r="I55" s="1065"/>
      <c r="J55" s="1065"/>
      <c r="K55" s="1065"/>
      <c r="L55" s="1065"/>
      <c r="M55" s="1065"/>
      <c r="N55" s="1067">
        <f t="shared" ref="N55" si="20">SUM(I55:M55)</f>
        <v>0</v>
      </c>
      <c r="O55" s="745"/>
    </row>
    <row r="56" spans="1:15" x14ac:dyDescent="0.2">
      <c r="A56" s="1031">
        <v>102023</v>
      </c>
      <c r="B56" s="599" t="s">
        <v>869</v>
      </c>
      <c r="C56" s="1064"/>
      <c r="D56" s="1065"/>
      <c r="E56" s="1065"/>
      <c r="F56" s="1065"/>
      <c r="G56" s="1065"/>
      <c r="H56" s="1067">
        <f t="shared" si="18"/>
        <v>0</v>
      </c>
      <c r="I56" s="1065">
        <v>6799828</v>
      </c>
      <c r="J56" s="1065"/>
      <c r="K56" s="1065"/>
      <c r="L56" s="1065"/>
      <c r="M56" s="1065"/>
      <c r="N56" s="1067">
        <f t="shared" si="19"/>
        <v>6799828</v>
      </c>
      <c r="O56" s="745"/>
    </row>
    <row r="57" spans="1:15" x14ac:dyDescent="0.2">
      <c r="A57" s="1028">
        <v>102024</v>
      </c>
      <c r="B57" s="849" t="s">
        <v>870</v>
      </c>
      <c r="C57" s="1100"/>
      <c r="D57" s="1101"/>
      <c r="E57" s="1101"/>
      <c r="F57" s="1101"/>
      <c r="G57" s="1101"/>
      <c r="H57" s="1067">
        <f t="shared" si="18"/>
        <v>0</v>
      </c>
      <c r="I57" s="1065">
        <v>1470944</v>
      </c>
      <c r="J57" s="1065"/>
      <c r="K57" s="1065"/>
      <c r="L57" s="1065"/>
      <c r="M57" s="1065"/>
      <c r="N57" s="1067">
        <f t="shared" si="19"/>
        <v>1470944</v>
      </c>
      <c r="O57" s="745"/>
    </row>
    <row r="58" spans="1:15" x14ac:dyDescent="0.2">
      <c r="A58" s="1031" t="s">
        <v>626</v>
      </c>
      <c r="B58" s="599" t="s">
        <v>491</v>
      </c>
      <c r="C58" s="1103"/>
      <c r="D58" s="1104"/>
      <c r="E58" s="1104"/>
      <c r="F58" s="1104"/>
      <c r="G58" s="1104"/>
      <c r="H58" s="1067">
        <f t="shared" si="18"/>
        <v>0</v>
      </c>
      <c r="I58" s="1065">
        <v>300000</v>
      </c>
      <c r="J58" s="1065"/>
      <c r="K58" s="1065"/>
      <c r="L58" s="1065"/>
      <c r="M58" s="1065"/>
      <c r="N58" s="1067">
        <f t="shared" si="19"/>
        <v>300000</v>
      </c>
      <c r="O58" s="745"/>
    </row>
    <row r="59" spans="1:15" ht="25.5" x14ac:dyDescent="0.2">
      <c r="A59" s="1031">
        <v>104031</v>
      </c>
      <c r="B59" s="599" t="s">
        <v>871</v>
      </c>
      <c r="C59" s="1064"/>
      <c r="D59" s="1065"/>
      <c r="E59" s="1070"/>
      <c r="F59" s="1070"/>
      <c r="G59" s="1070"/>
      <c r="H59" s="1067">
        <f t="shared" si="18"/>
        <v>0</v>
      </c>
      <c r="I59" s="1065">
        <v>501816</v>
      </c>
      <c r="J59" s="1065"/>
      <c r="K59" s="1065"/>
      <c r="L59" s="1065"/>
      <c r="M59" s="1065"/>
      <c r="N59" s="1067">
        <f t="shared" si="19"/>
        <v>501816</v>
      </c>
      <c r="O59" s="745"/>
    </row>
    <row r="60" spans="1:15" x14ac:dyDescent="0.2">
      <c r="A60" s="1032" t="s">
        <v>627</v>
      </c>
      <c r="B60" s="1029" t="s">
        <v>476</v>
      </c>
      <c r="C60" s="1100"/>
      <c r="D60" s="1101"/>
      <c r="E60" s="1101"/>
      <c r="F60" s="1101"/>
      <c r="G60" s="1101"/>
      <c r="H60" s="1067">
        <f t="shared" si="18"/>
        <v>0</v>
      </c>
      <c r="I60" s="1102">
        <v>51507949</v>
      </c>
      <c r="J60" s="1101"/>
      <c r="K60" s="1101"/>
      <c r="L60" s="1101"/>
      <c r="M60" s="1101"/>
      <c r="N60" s="1063">
        <f t="shared" si="19"/>
        <v>51507949</v>
      </c>
      <c r="O60" s="745"/>
    </row>
    <row r="61" spans="1:15" ht="25.5" x14ac:dyDescent="0.2">
      <c r="A61" s="1031">
        <v>104060</v>
      </c>
      <c r="B61" s="599" t="s">
        <v>951</v>
      </c>
      <c r="C61" s="1064"/>
      <c r="D61" s="1065"/>
      <c r="E61" s="1070"/>
      <c r="F61" s="1070"/>
      <c r="G61" s="1070"/>
      <c r="H61" s="1067">
        <f t="shared" ref="H61" si="21">SUM(C61:G61)</f>
        <v>0</v>
      </c>
      <c r="I61" s="1065">
        <f>1110961+154979+20824835+5622704</f>
        <v>27713479</v>
      </c>
      <c r="J61" s="1065">
        <v>8786521</v>
      </c>
      <c r="K61" s="1065"/>
      <c r="L61" s="1065"/>
      <c r="M61" s="1065"/>
      <c r="N61" s="1067">
        <f t="shared" ref="N61" si="22">SUM(I61:M61)</f>
        <v>36500000</v>
      </c>
      <c r="O61" s="745"/>
    </row>
    <row r="62" spans="1:15" ht="25.5" x14ac:dyDescent="0.2">
      <c r="A62" s="749" t="s">
        <v>628</v>
      </c>
      <c r="B62" s="599" t="s">
        <v>629</v>
      </c>
      <c r="C62" s="1064">
        <v>3094000</v>
      </c>
      <c r="D62" s="1065"/>
      <c r="E62" s="1065"/>
      <c r="F62" s="1065"/>
      <c r="G62" s="1065"/>
      <c r="H62" s="1067">
        <f t="shared" ref="H62:H63" si="23">SUM(C62:G62)</f>
        <v>3094000</v>
      </c>
      <c r="I62" s="1071">
        <v>5509100</v>
      </c>
      <c r="J62" s="1072">
        <v>2794000</v>
      </c>
      <c r="K62" s="1072"/>
      <c r="L62" s="1072"/>
      <c r="M62" s="1072"/>
      <c r="N62" s="1063">
        <f t="shared" si="19"/>
        <v>8303100</v>
      </c>
      <c r="O62" s="745"/>
    </row>
    <row r="63" spans="1:15" ht="26.25" thickBot="1" x14ac:dyDescent="0.25">
      <c r="A63" s="1033" t="s">
        <v>630</v>
      </c>
      <c r="B63" s="1007" t="s">
        <v>631</v>
      </c>
      <c r="C63" s="1073">
        <v>500000</v>
      </c>
      <c r="D63" s="1074"/>
      <c r="E63" s="1074"/>
      <c r="F63" s="1074"/>
      <c r="G63" s="1074"/>
      <c r="H63" s="1075">
        <f t="shared" si="23"/>
        <v>500000</v>
      </c>
      <c r="I63" s="1084">
        <v>43800000</v>
      </c>
      <c r="J63" s="1082"/>
      <c r="K63" s="1082"/>
      <c r="L63" s="1082"/>
      <c r="M63" s="1082"/>
      <c r="N63" s="1075">
        <f t="shared" si="19"/>
        <v>43800000</v>
      </c>
      <c r="O63" s="745"/>
    </row>
    <row r="64" spans="1:15" ht="14.25" thickBot="1" x14ac:dyDescent="0.3">
      <c r="A64" s="1534" t="s">
        <v>632</v>
      </c>
      <c r="B64" s="1535"/>
      <c r="C64" s="1545"/>
      <c r="D64" s="1545"/>
      <c r="E64" s="1545"/>
      <c r="F64" s="1545"/>
      <c r="G64" s="1545"/>
      <c r="H64" s="1545"/>
      <c r="I64" s="1545"/>
      <c r="J64" s="1545"/>
      <c r="K64" s="1545"/>
      <c r="L64" s="1545"/>
      <c r="M64" s="1545"/>
      <c r="N64" s="1546"/>
      <c r="O64" s="745"/>
    </row>
    <row r="65" spans="1:15" ht="25.5" x14ac:dyDescent="0.2">
      <c r="A65" s="600" t="s">
        <v>633</v>
      </c>
      <c r="B65" s="597" t="s">
        <v>634</v>
      </c>
      <c r="C65" s="1172"/>
      <c r="D65" s="1101"/>
      <c r="E65" s="1101">
        <v>383355000</v>
      </c>
      <c r="F65" s="1101"/>
      <c r="G65" s="1101"/>
      <c r="H65" s="1063">
        <f>SUM(C65:G65)</f>
        <v>383355000</v>
      </c>
      <c r="I65" s="1102"/>
      <c r="J65" s="1101"/>
      <c r="K65" s="1106"/>
      <c r="L65" s="1101"/>
      <c r="M65" s="1101"/>
      <c r="N65" s="1063">
        <f>SUM(I65:M65)</f>
        <v>0</v>
      </c>
      <c r="O65" s="745"/>
    </row>
    <row r="66" spans="1:15" ht="26.25" thickBot="1" x14ac:dyDescent="0.25">
      <c r="A66" s="750" t="s">
        <v>635</v>
      </c>
      <c r="B66" s="748" t="s">
        <v>636</v>
      </c>
      <c r="C66" s="1107"/>
      <c r="D66" s="1072"/>
      <c r="E66" s="1072"/>
      <c r="F66" s="1072">
        <v>1187733250</v>
      </c>
      <c r="G66" s="1072"/>
      <c r="H66" s="1067">
        <f>SUM(C66:G66)</f>
        <v>1187733250</v>
      </c>
      <c r="I66" s="1071">
        <v>20842932</v>
      </c>
      <c r="J66" s="1076"/>
      <c r="K66" s="1072"/>
      <c r="L66" s="1072">
        <v>1022728296</v>
      </c>
      <c r="M66" s="1072">
        <f>10000000+120420513</f>
        <v>130420513</v>
      </c>
      <c r="N66" s="1067">
        <f>SUM(I66:M66)</f>
        <v>1173991741</v>
      </c>
      <c r="O66" s="745"/>
    </row>
    <row r="67" spans="1:15" ht="13.5" thickBot="1" x14ac:dyDescent="0.25">
      <c r="A67" s="1528" t="s">
        <v>49</v>
      </c>
      <c r="B67" s="1529"/>
      <c r="C67" s="1108">
        <f t="shared" ref="C67:N67" si="24">SUM(C9:C66)</f>
        <v>2326013465</v>
      </c>
      <c r="D67" s="1108">
        <f t="shared" si="24"/>
        <v>318822642</v>
      </c>
      <c r="E67" s="1108">
        <f t="shared" si="24"/>
        <v>391355000</v>
      </c>
      <c r="F67" s="1108">
        <f t="shared" si="24"/>
        <v>1187733250</v>
      </c>
      <c r="G67" s="1108">
        <f t="shared" si="24"/>
        <v>2381931880</v>
      </c>
      <c r="H67" s="1109">
        <f t="shared" si="24"/>
        <v>6605856237</v>
      </c>
      <c r="I67" s="1108">
        <f t="shared" si="24"/>
        <v>950650828</v>
      </c>
      <c r="J67" s="1108">
        <f t="shared" si="24"/>
        <v>2635759096</v>
      </c>
      <c r="K67" s="1108">
        <f t="shared" si="24"/>
        <v>1866297504</v>
      </c>
      <c r="L67" s="1108">
        <f t="shared" si="24"/>
        <v>1022728296</v>
      </c>
      <c r="M67" s="1108">
        <f t="shared" si="24"/>
        <v>130420513</v>
      </c>
      <c r="N67" s="1108">
        <f t="shared" si="24"/>
        <v>6605856237</v>
      </c>
      <c r="O67" s="409">
        <f>N67-H67</f>
        <v>0</v>
      </c>
    </row>
    <row r="68" spans="1:15" ht="13.5" thickBot="1" x14ac:dyDescent="0.25">
      <c r="A68" s="1547" t="s">
        <v>379</v>
      </c>
      <c r="B68" s="1548"/>
      <c r="C68" s="1110"/>
      <c r="D68" s="1111"/>
      <c r="E68" s="1111"/>
      <c r="F68" s="1111"/>
      <c r="G68" s="1111"/>
      <c r="H68" s="1067"/>
      <c r="I68" s="1112"/>
      <c r="J68" s="1065"/>
      <c r="K68" s="1065">
        <f>SUM(K65:K66,K58:K63,K45:K50,K37:K43,K33:K35,K27:K29,K9:K15)</f>
        <v>1866297504</v>
      </c>
      <c r="L68" s="1111"/>
      <c r="M68" s="1111"/>
      <c r="N68" s="1113">
        <f>SUM(I68:M68)</f>
        <v>1866297504</v>
      </c>
      <c r="O68" s="409"/>
    </row>
    <row r="69" spans="1:15" ht="13.5" thickBot="1" x14ac:dyDescent="0.25">
      <c r="A69" s="1528" t="s">
        <v>59</v>
      </c>
      <c r="B69" s="1529"/>
      <c r="C69" s="1114">
        <f>C67-C68</f>
        <v>2326013465</v>
      </c>
      <c r="D69" s="1115">
        <f t="shared" ref="D69:M69" si="25">D67-D68</f>
        <v>318822642</v>
      </c>
      <c r="E69" s="1115">
        <f t="shared" si="25"/>
        <v>391355000</v>
      </c>
      <c r="F69" s="1115">
        <f t="shared" si="25"/>
        <v>1187733250</v>
      </c>
      <c r="G69" s="1115">
        <f t="shared" si="25"/>
        <v>2381931880</v>
      </c>
      <c r="H69" s="1116">
        <f t="shared" si="25"/>
        <v>6605856237</v>
      </c>
      <c r="I69" s="1114">
        <f t="shared" si="25"/>
        <v>950650828</v>
      </c>
      <c r="J69" s="1115">
        <f t="shared" si="25"/>
        <v>2635759096</v>
      </c>
      <c r="K69" s="1115">
        <f t="shared" si="25"/>
        <v>0</v>
      </c>
      <c r="L69" s="1115">
        <f t="shared" si="25"/>
        <v>1022728296</v>
      </c>
      <c r="M69" s="1115">
        <f t="shared" si="25"/>
        <v>130420513</v>
      </c>
      <c r="N69" s="1117">
        <f>N67-N68</f>
        <v>4739558733</v>
      </c>
      <c r="O69" s="409"/>
    </row>
    <row r="70" spans="1:15" x14ac:dyDescent="0.2">
      <c r="B70" s="308"/>
      <c r="C70" s="744">
        <f>C69-C71</f>
        <v>0</v>
      </c>
      <c r="D70" s="744">
        <f t="shared" ref="D70:M70" si="26">D69-D71</f>
        <v>0</v>
      </c>
      <c r="E70" s="744">
        <f t="shared" si="26"/>
        <v>0</v>
      </c>
      <c r="F70" s="744">
        <f t="shared" si="26"/>
        <v>0</v>
      </c>
      <c r="G70" s="744">
        <f t="shared" si="26"/>
        <v>0</v>
      </c>
      <c r="H70" s="744">
        <f t="shared" si="26"/>
        <v>0</v>
      </c>
      <c r="I70" s="744">
        <f t="shared" si="26"/>
        <v>0</v>
      </c>
      <c r="J70" s="744">
        <f t="shared" si="26"/>
        <v>0</v>
      </c>
      <c r="K70" s="744">
        <f>K68-K71</f>
        <v>0</v>
      </c>
      <c r="L70" s="744">
        <f t="shared" si="26"/>
        <v>0</v>
      </c>
      <c r="M70" s="744">
        <f t="shared" si="26"/>
        <v>0</v>
      </c>
      <c r="N70" s="744">
        <f>N67-N71</f>
        <v>0</v>
      </c>
    </row>
    <row r="71" spans="1:15" x14ac:dyDescent="0.2">
      <c r="B71" s="308"/>
      <c r="C71" s="744">
        <f>'14. sz. mell. Önk.'!C7+'14. sz. mell. Önk.'!C16+'14. sz. mell. Önk.'!C37+'14. sz. mell. Önk.'!C55+'14. sz. mell. Önk.'!C78</f>
        <v>2326013465</v>
      </c>
      <c r="D71" s="744">
        <f>'14. sz. mell. Önk.'!C23+'14. sz. mell. Önk.'!C49+'14. sz. mell. Önk.'!C60</f>
        <v>318822642</v>
      </c>
      <c r="E71" s="744">
        <f>'14. sz. mell. Önk.'!C30</f>
        <v>391355000</v>
      </c>
      <c r="F71" s="744">
        <f>'14. sz. mell. Önk.'!C66</f>
        <v>1187733250</v>
      </c>
      <c r="G71" s="744">
        <f>'14. sz. mell. Önk.'!C75</f>
        <v>2381931880</v>
      </c>
      <c r="H71" s="603">
        <f>SUM(C71:G71)</f>
        <v>6605856237</v>
      </c>
      <c r="I71" s="744">
        <f>'14. sz. mell. Önk.'!C92-'14. sz. mell. Önk.'!C110+'14. sz. mell. Önk.'!C139</f>
        <v>950650828</v>
      </c>
      <c r="J71" s="744">
        <f>'14. sz. mell. Önk.'!C113</f>
        <v>2635759096</v>
      </c>
      <c r="K71" s="311">
        <f>'34.sz.m. int.összesítő'!C16</f>
        <v>1866297504</v>
      </c>
      <c r="L71" s="310">
        <f>'14. sz. mell. Önk.'!C128</f>
        <v>1022728296</v>
      </c>
      <c r="M71" s="310">
        <f>'14. sz. mell. Önk.'!C110</f>
        <v>130420513</v>
      </c>
      <c r="N71" s="309">
        <f>SUM(I71:M71)</f>
        <v>6605856237</v>
      </c>
    </row>
    <row r="72" spans="1:15" x14ac:dyDescent="0.2">
      <c r="B72" s="308"/>
      <c r="C72" s="744"/>
      <c r="D72" s="744"/>
      <c r="E72" s="744"/>
      <c r="F72" s="744"/>
      <c r="G72" s="744"/>
      <c r="H72" s="603"/>
      <c r="I72" s="313"/>
      <c r="J72" s="744"/>
      <c r="K72" s="312"/>
      <c r="L72" s="744"/>
      <c r="M72" s="744"/>
      <c r="N72" s="309"/>
    </row>
    <row r="73" spans="1:15" x14ac:dyDescent="0.2">
      <c r="B73" s="308"/>
      <c r="C73" s="744"/>
      <c r="D73" s="744"/>
      <c r="E73" s="744"/>
      <c r="F73" s="744"/>
      <c r="G73" s="744"/>
      <c r="H73" s="603"/>
      <c r="I73" s="744"/>
      <c r="J73" s="744"/>
      <c r="K73" s="312"/>
      <c r="L73" s="744"/>
      <c r="M73" s="744"/>
      <c r="N73" s="309"/>
    </row>
    <row r="74" spans="1:15" x14ac:dyDescent="0.2">
      <c r="B74" s="308"/>
      <c r="C74" s="744"/>
      <c r="D74" s="744"/>
      <c r="E74" s="744"/>
      <c r="F74" s="744"/>
      <c r="G74" s="744"/>
      <c r="H74" s="603"/>
      <c r="I74" s="744"/>
      <c r="J74" s="744"/>
      <c r="K74" s="312"/>
      <c r="L74" s="744"/>
      <c r="M74" s="744"/>
      <c r="N74" s="309"/>
    </row>
    <row r="75" spans="1:15" x14ac:dyDescent="0.2">
      <c r="B75" s="308"/>
      <c r="C75" s="744"/>
      <c r="D75" s="744"/>
      <c r="E75" s="744"/>
      <c r="F75" s="744"/>
      <c r="G75" s="744"/>
      <c r="H75" s="603"/>
      <c r="I75" s="744"/>
      <c r="J75" s="744"/>
      <c r="K75" s="312"/>
      <c r="L75" s="744"/>
      <c r="M75" s="744"/>
      <c r="N75" s="309"/>
    </row>
    <row r="76" spans="1:15" x14ac:dyDescent="0.2">
      <c r="B76" s="308"/>
      <c r="C76" s="744"/>
      <c r="D76" s="744"/>
      <c r="E76" s="744"/>
      <c r="F76" s="744"/>
      <c r="G76" s="744"/>
      <c r="H76" s="603"/>
      <c r="I76" s="744"/>
      <c r="J76" s="744"/>
      <c r="K76" s="312"/>
      <c r="L76" s="744"/>
      <c r="M76" s="744"/>
      <c r="N76" s="309"/>
    </row>
  </sheetData>
  <mergeCells count="20"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8" orientation="landscape" r:id="rId1"/>
  <headerFooter alignWithMargins="0"/>
  <rowBreaks count="1" manualBreakCount="1">
    <brk id="35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A2" sqref="A2:F2"/>
    </sheetView>
  </sheetViews>
  <sheetFormatPr defaultRowHeight="15.75" x14ac:dyDescent="0.25"/>
  <cols>
    <col min="1" max="1" width="9" style="739" customWidth="1"/>
    <col min="2" max="2" width="66.33203125" style="739" bestFit="1" customWidth="1"/>
    <col min="3" max="3" width="15.5" style="740" hidden="1" customWidth="1"/>
    <col min="4" max="6" width="15.5" style="739" customWidth="1"/>
    <col min="7" max="16384" width="9.33203125" style="741"/>
  </cols>
  <sheetData>
    <row r="1" spans="1:10" x14ac:dyDescent="0.25">
      <c r="A1" s="1394" t="str">
        <f>CONCATENATE("43. tájékoztató tábla ",ALAPADATOK!A7," ",ALAPADATOK!B7," ",ALAPADATOK!C7," ",ALAPADATOK!D7," ",ALAPADATOK!E7," ",ALAPADATOK!F7," ",ALAPADATOK!G7," ",ALAPADATOK!H7)</f>
        <v>43. tájékoztató tábla a .. / 2022. ( ……. ) önkormányzati rendelethez</v>
      </c>
      <c r="B1" s="1394"/>
      <c r="C1" s="1394"/>
      <c r="D1" s="1394"/>
      <c r="E1" s="1394"/>
      <c r="F1" s="1394"/>
    </row>
    <row r="2" spans="1:10" x14ac:dyDescent="0.25">
      <c r="A2" s="1517" t="s">
        <v>1045</v>
      </c>
      <c r="B2" s="1517"/>
      <c r="C2" s="1517"/>
      <c r="D2" s="1517"/>
      <c r="E2" s="1517"/>
      <c r="F2" s="1517"/>
      <c r="G2" s="1386"/>
      <c r="H2" s="1386"/>
      <c r="I2" s="1386"/>
      <c r="J2" s="1386"/>
    </row>
    <row r="3" spans="1:10" ht="35.25" customHeight="1" x14ac:dyDescent="0.25">
      <c r="A3" s="1549" t="s">
        <v>1022</v>
      </c>
      <c r="B3" s="1549"/>
      <c r="C3" s="1549"/>
      <c r="D3" s="1549"/>
      <c r="E3" s="1549"/>
      <c r="F3" s="1549"/>
    </row>
    <row r="5" spans="1:10" ht="15.95" customHeight="1" x14ac:dyDescent="0.25">
      <c r="A5" s="1396" t="s">
        <v>13</v>
      </c>
      <c r="B5" s="1396"/>
      <c r="C5" s="1396"/>
      <c r="D5" s="1396"/>
      <c r="E5" s="1396"/>
      <c r="F5" s="741"/>
    </row>
    <row r="6" spans="1:10" ht="15.95" customHeight="1" thickBot="1" x14ac:dyDescent="0.3">
      <c r="A6" s="1395" t="s">
        <v>114</v>
      </c>
      <c r="B6" s="1395"/>
      <c r="D6" s="776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657</v>
      </c>
      <c r="E7" s="466" t="s">
        <v>862</v>
      </c>
      <c r="F7" s="466" t="s">
        <v>1021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651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650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4"/>
      <c r="I24" s="604"/>
      <c r="J24" s="604"/>
      <c r="K24" s="604"/>
    </row>
    <row r="25" spans="1:11" s="183" customFormat="1" ht="12" customHeight="1" thickBot="1" x14ac:dyDescent="0.25">
      <c r="A25" s="17" t="s">
        <v>25</v>
      </c>
      <c r="B25" s="378" t="s">
        <v>554</v>
      </c>
      <c r="C25" s="746">
        <v>400000000</v>
      </c>
      <c r="D25" s="746">
        <v>1800000000</v>
      </c>
      <c r="E25" s="746">
        <v>1800000000</v>
      </c>
      <c r="F25" s="746">
        <v>1800000000</v>
      </c>
      <c r="H25" s="604"/>
      <c r="I25" s="604"/>
      <c r="J25" s="604"/>
      <c r="K25" s="604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4"/>
      <c r="I26" s="604"/>
      <c r="J26" s="604"/>
      <c r="K26" s="604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4"/>
      <c r="I27" s="604"/>
      <c r="J27" s="605"/>
      <c r="K27" s="604"/>
    </row>
    <row r="28" spans="1:11" s="183" customFormat="1" ht="12" customHeight="1" x14ac:dyDescent="0.2">
      <c r="A28" s="1396" t="s">
        <v>44</v>
      </c>
      <c r="B28" s="1396"/>
      <c r="C28" s="1396"/>
      <c r="D28" s="1396"/>
      <c r="E28" s="1396"/>
      <c r="H28" s="604"/>
      <c r="I28" s="604"/>
      <c r="J28" s="604"/>
      <c r="K28" s="604"/>
    </row>
    <row r="29" spans="1:11" s="183" customFormat="1" ht="12" customHeight="1" thickBot="1" x14ac:dyDescent="0.25">
      <c r="A29" s="1397" t="s">
        <v>115</v>
      </c>
      <c r="B29" s="1397"/>
      <c r="C29" s="740"/>
      <c r="D29" s="776"/>
      <c r="E29" s="121"/>
      <c r="F29" s="121" t="str">
        <f>F6</f>
        <v>Forintban!</v>
      </c>
      <c r="H29" s="604"/>
      <c r="I29" s="604"/>
      <c r="J29" s="604"/>
      <c r="K29" s="604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4"/>
      <c r="I30" s="604"/>
      <c r="J30" s="604"/>
      <c r="K30" s="604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7">
        <v>155000000</v>
      </c>
      <c r="D38" s="747">
        <v>1000000000</v>
      </c>
      <c r="E38" s="747">
        <v>1100000000</v>
      </c>
      <c r="F38" s="747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9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9"/>
    </row>
    <row r="42" spans="1:7" x14ac:dyDescent="0.25">
      <c r="C42" s="739"/>
    </row>
    <row r="43" spans="1:7" ht="16.5" customHeight="1" x14ac:dyDescent="0.25">
      <c r="C43" s="739"/>
    </row>
    <row r="44" spans="1:7" x14ac:dyDescent="0.25">
      <c r="C44" s="739"/>
    </row>
    <row r="45" spans="1:7" x14ac:dyDescent="0.25">
      <c r="C45" s="739"/>
    </row>
    <row r="46" spans="1:7" s="739" customFormat="1" x14ac:dyDescent="0.25">
      <c r="G46" s="741"/>
    </row>
    <row r="47" spans="1:7" s="739" customFormat="1" x14ac:dyDescent="0.25">
      <c r="G47" s="741"/>
    </row>
    <row r="48" spans="1:7" s="739" customFormat="1" x14ac:dyDescent="0.25">
      <c r="G48" s="741"/>
    </row>
    <row r="49" spans="7:7" s="739" customFormat="1" x14ac:dyDescent="0.25">
      <c r="G49" s="741"/>
    </row>
    <row r="50" spans="7:7" s="739" customFormat="1" x14ac:dyDescent="0.25">
      <c r="G50" s="741"/>
    </row>
    <row r="51" spans="7:7" s="739" customFormat="1" x14ac:dyDescent="0.25">
      <c r="G51" s="741"/>
    </row>
    <row r="52" spans="7:7" s="739" customFormat="1" x14ac:dyDescent="0.25">
      <c r="G52" s="741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I20"/>
  <sheetViews>
    <sheetView topLeftCell="D1" zoomScale="130" zoomScaleNormal="130" zoomScaleSheetLayoutView="100" workbookViewId="0">
      <selection activeCell="D19" sqref="D19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550" t="str">
        <f>CONCATENATE("44. melléklet ",ALAPADATOK!A7," ",ALAPADATOK!B7," ",ALAPADATOK!C7," ",ALAPADATOK!D7," ",ALAPADATOK!E7," ",ALAPADATOK!F7," ",ALAPADATOK!G7," ",ALAPADATOK!H7)</f>
        <v>44. melléklet a .. / 2022. ( ……. ) önkormányzati rendelethez</v>
      </c>
      <c r="E1" s="1550"/>
      <c r="F1" s="294"/>
      <c r="G1" s="294"/>
    </row>
    <row r="2" spans="4:9" x14ac:dyDescent="0.2">
      <c r="D2" s="1517" t="s">
        <v>1046</v>
      </c>
      <c r="E2" s="1517"/>
      <c r="F2" s="1385"/>
      <c r="G2" s="1385"/>
      <c r="H2" s="1385"/>
      <c r="I2" s="1385"/>
    </row>
    <row r="3" spans="4:9" x14ac:dyDescent="0.2">
      <c r="D3" s="294"/>
      <c r="E3" s="294"/>
      <c r="F3" s="294"/>
      <c r="G3" s="294"/>
    </row>
    <row r="4" spans="4:9" ht="19.5" x14ac:dyDescent="0.35">
      <c r="D4" s="1551" t="s">
        <v>570</v>
      </c>
      <c r="E4" s="1551"/>
      <c r="F4" s="295"/>
      <c r="G4" s="295"/>
    </row>
    <row r="5" spans="4:9" ht="19.5" x14ac:dyDescent="0.35">
      <c r="D5" s="1551"/>
      <c r="E5" s="1551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61" customFormat="1" ht="21.75" thickBot="1" x14ac:dyDescent="0.25">
      <c r="D9" s="1162" t="s">
        <v>2</v>
      </c>
      <c r="E9" s="1163" t="s">
        <v>659</v>
      </c>
    </row>
    <row r="10" spans="4:9" x14ac:dyDescent="0.2">
      <c r="D10" s="1040" t="s">
        <v>1025</v>
      </c>
      <c r="E10" s="1041">
        <v>53</v>
      </c>
    </row>
    <row r="11" spans="4:9" s="296" customFormat="1" x14ac:dyDescent="0.2">
      <c r="D11" s="1149" t="s">
        <v>1024</v>
      </c>
      <c r="E11" s="1041">
        <v>19.75</v>
      </c>
    </row>
    <row r="12" spans="4:9" s="296" customFormat="1" x14ac:dyDescent="0.2">
      <c r="D12" s="1040" t="s">
        <v>567</v>
      </c>
      <c r="E12" s="727">
        <v>21</v>
      </c>
    </row>
    <row r="13" spans="4:9" s="296" customFormat="1" x14ac:dyDescent="0.2">
      <c r="D13" s="1040" t="s">
        <v>1023</v>
      </c>
      <c r="E13" s="727">
        <v>150</v>
      </c>
    </row>
    <row r="14" spans="4:9" s="296" customFormat="1" x14ac:dyDescent="0.2">
      <c r="D14" s="630" t="s">
        <v>860</v>
      </c>
      <c r="E14" s="727">
        <v>50</v>
      </c>
    </row>
    <row r="15" spans="4:9" s="631" customFormat="1" x14ac:dyDescent="0.2">
      <c r="D15" s="1146" t="s">
        <v>1026</v>
      </c>
      <c r="E15" s="1147">
        <v>2</v>
      </c>
    </row>
    <row r="16" spans="4:9" s="631" customFormat="1" ht="13.5" thickBot="1" x14ac:dyDescent="0.25">
      <c r="D16" s="1148" t="s">
        <v>482</v>
      </c>
      <c r="E16" s="1147">
        <v>50.38</v>
      </c>
    </row>
    <row r="17" spans="4:5" ht="13.5" thickBot="1" x14ac:dyDescent="0.25">
      <c r="D17" s="577" t="s">
        <v>568</v>
      </c>
      <c r="E17" s="1020">
        <f>SUM(E10:E16)</f>
        <v>346.13</v>
      </c>
    </row>
    <row r="18" spans="4:5" ht="13.5" thickBot="1" x14ac:dyDescent="0.25">
      <c r="D18" s="1021" t="s">
        <v>569</v>
      </c>
      <c r="E18" s="1020">
        <f>E17-E14-E15</f>
        <v>294.13</v>
      </c>
    </row>
    <row r="19" spans="4:5" ht="13.5" thickBot="1" x14ac:dyDescent="0.25">
      <c r="D19" s="1388" t="s">
        <v>1047</v>
      </c>
      <c r="E19" s="1387">
        <v>6</v>
      </c>
    </row>
    <row r="20" spans="4:5" ht="13.5" thickBot="1" x14ac:dyDescent="0.25">
      <c r="D20" s="577" t="s">
        <v>658</v>
      </c>
      <c r="E20" s="1020">
        <f>E18+E19</f>
        <v>300.13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6"/>
  <sheetViews>
    <sheetView zoomScale="115" zoomScaleNormal="115" zoomScaleSheetLayoutView="100" workbookViewId="0">
      <selection activeCell="E169" sqref="E16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52" customFormat="1" x14ac:dyDescent="0.25">
      <c r="A1" s="1394" t="str">
        <f>CONCATENATE("4. melléklet"," ",ALAPADATOK!A7," ",ALAPADATOK!B7," ",ALAPADATOK!C7," ",ALAPADATOK!D7," ",ALAPADATOK!E7," ",ALAPADATOK!F7," ",ALAPADATOK!G7," ",ALAPADATOK!H7)</f>
        <v>4. melléklet a .. / 2022. ( ……. ) önkormányzati rendelethez</v>
      </c>
      <c r="B1" s="1394"/>
      <c r="C1" s="1394"/>
    </row>
    <row r="2" spans="1:3" s="741" customFormat="1" x14ac:dyDescent="0.25">
      <c r="A2" s="666"/>
      <c r="B2" s="666"/>
      <c r="C2" s="666"/>
    </row>
    <row r="3" spans="1:3" s="652" customFormat="1" x14ac:dyDescent="0.25">
      <c r="A3" s="1393" t="str">
        <f>CONCATENATE(ALAPADATOK!A3)</f>
        <v>Tiszavasvári Város Önkormányzat</v>
      </c>
      <c r="B3" s="1393"/>
      <c r="C3" s="1393"/>
    </row>
    <row r="4" spans="1:3" s="652" customFormat="1" x14ac:dyDescent="0.25">
      <c r="A4" s="1392" t="str">
        <f>CONCATENATE(ALAPADATOK!D7," ÉVI KÖLTSÉGVETÉS")</f>
        <v>2022. ÉVI KÖLTSÉGVETÉS</v>
      </c>
      <c r="B4" s="1392"/>
      <c r="C4" s="1392"/>
    </row>
    <row r="5" spans="1:3" s="652" customFormat="1" x14ac:dyDescent="0.25">
      <c r="A5" s="1392" t="s">
        <v>682</v>
      </c>
      <c r="B5" s="1392"/>
      <c r="C5" s="1392"/>
    </row>
    <row r="6" spans="1:3" s="652" customFormat="1" x14ac:dyDescent="0.25">
      <c r="A6" s="651"/>
      <c r="B6" s="651"/>
      <c r="C6" s="171"/>
    </row>
    <row r="7" spans="1:3" ht="15.95" customHeight="1" x14ac:dyDescent="0.25">
      <c r="A7" s="1396" t="s">
        <v>13</v>
      </c>
      <c r="B7" s="1396"/>
      <c r="C7" s="1396"/>
    </row>
    <row r="8" spans="1:3" ht="15.95" customHeight="1" thickBot="1" x14ac:dyDescent="0.3">
      <c r="A8" s="1395" t="s">
        <v>114</v>
      </c>
      <c r="B8" s="1395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959</v>
      </c>
    </row>
    <row r="10" spans="1:3" s="182" customFormat="1" ht="12" customHeight="1" thickBot="1" x14ac:dyDescent="0.25">
      <c r="A10" s="176" t="s">
        <v>385</v>
      </c>
      <c r="B10" s="780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7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90"/>
    </row>
    <row r="46" spans="1:3" s="183" customFormat="1" ht="12" customHeight="1" x14ac:dyDescent="0.2">
      <c r="A46" s="11" t="s">
        <v>127</v>
      </c>
      <c r="B46" s="185" t="s">
        <v>211</v>
      </c>
      <c r="C46" s="1190"/>
    </row>
    <row r="47" spans="1:3" s="183" customFormat="1" ht="12" customHeight="1" x14ac:dyDescent="0.2">
      <c r="A47" s="11" t="s">
        <v>128</v>
      </c>
      <c r="B47" s="185" t="s">
        <v>212</v>
      </c>
      <c r="C47" s="767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90"/>
    </row>
    <row r="49" spans="1:3" s="183" customFormat="1" ht="12" customHeight="1" x14ac:dyDescent="0.2">
      <c r="A49" s="11" t="s">
        <v>130</v>
      </c>
      <c r="B49" s="185" t="s">
        <v>477</v>
      </c>
      <c r="C49" s="1190"/>
    </row>
    <row r="50" spans="1:3" s="183" customFormat="1" ht="12" customHeight="1" x14ac:dyDescent="0.2">
      <c r="A50" s="11" t="s">
        <v>205</v>
      </c>
      <c r="B50" s="185" t="s">
        <v>215</v>
      </c>
      <c r="C50" s="1190"/>
    </row>
    <row r="51" spans="1:3" s="183" customFormat="1" ht="12" customHeight="1" x14ac:dyDescent="0.2">
      <c r="A51" s="13" t="s">
        <v>206</v>
      </c>
      <c r="B51" s="186" t="s">
        <v>391</v>
      </c>
      <c r="C51" s="1192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396" t="s">
        <v>44</v>
      </c>
      <c r="B96" s="1396"/>
      <c r="C96" s="1396"/>
    </row>
    <row r="97" spans="1:3" s="193" customFormat="1" ht="16.5" customHeight="1" thickBot="1" x14ac:dyDescent="0.3">
      <c r="A97" s="1397" t="s">
        <v>115</v>
      </c>
      <c r="B97" s="1397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257736697</v>
      </c>
    </row>
    <row r="101" spans="1:3" ht="12" customHeight="1" x14ac:dyDescent="0.25">
      <c r="A101" s="14" t="s">
        <v>85</v>
      </c>
      <c r="B101" s="7" t="s">
        <v>46</v>
      </c>
      <c r="C101" s="261">
        <f>190390633+1506000</f>
        <v>191896633</v>
      </c>
    </row>
    <row r="102" spans="1:3" ht="12" customHeight="1" x14ac:dyDescent="0.25">
      <c r="A102" s="11" t="s">
        <v>86</v>
      </c>
      <c r="B102" s="5" t="s">
        <v>134</v>
      </c>
      <c r="C102" s="767">
        <v>32762395</v>
      </c>
    </row>
    <row r="103" spans="1:3" ht="12" customHeight="1" x14ac:dyDescent="0.25">
      <c r="A103" s="11" t="s">
        <v>87</v>
      </c>
      <c r="B103" s="5" t="s">
        <v>110</v>
      </c>
      <c r="C103" s="173">
        <v>33077669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7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9"/>
    </row>
    <row r="107" spans="1:3" ht="12" customHeight="1" x14ac:dyDescent="0.25">
      <c r="A107" s="11" t="s">
        <v>90</v>
      </c>
      <c r="B107" s="60" t="s">
        <v>400</v>
      </c>
      <c r="C107" s="769"/>
    </row>
    <row r="108" spans="1:3" ht="12" customHeight="1" x14ac:dyDescent="0.25">
      <c r="A108" s="11" t="s">
        <v>100</v>
      </c>
      <c r="B108" s="60" t="s">
        <v>401</v>
      </c>
      <c r="C108" s="769"/>
    </row>
    <row r="109" spans="1:3" ht="12" customHeight="1" x14ac:dyDescent="0.25">
      <c r="A109" s="11" t="s">
        <v>101</v>
      </c>
      <c r="B109" s="58" t="s">
        <v>284</v>
      </c>
      <c r="C109" s="769"/>
    </row>
    <row r="110" spans="1:3" ht="12" customHeight="1" x14ac:dyDescent="0.25">
      <c r="A110" s="11" t="s">
        <v>102</v>
      </c>
      <c r="B110" s="59" t="s">
        <v>285</v>
      </c>
      <c r="C110" s="769"/>
    </row>
    <row r="111" spans="1:3" ht="12" customHeight="1" x14ac:dyDescent="0.25">
      <c r="A111" s="11" t="s">
        <v>103</v>
      </c>
      <c r="B111" s="59" t="s">
        <v>286</v>
      </c>
      <c r="C111" s="769"/>
    </row>
    <row r="112" spans="1:3" ht="12" customHeight="1" x14ac:dyDescent="0.25">
      <c r="A112" s="11" t="s">
        <v>105</v>
      </c>
      <c r="B112" s="58" t="s">
        <v>287</v>
      </c>
      <c r="C112" s="769"/>
    </row>
    <row r="113" spans="1:3" ht="12" customHeight="1" x14ac:dyDescent="0.25">
      <c r="A113" s="11" t="s">
        <v>137</v>
      </c>
      <c r="B113" s="58" t="s">
        <v>288</v>
      </c>
      <c r="C113" s="769"/>
    </row>
    <row r="114" spans="1:3" ht="12" customHeight="1" x14ac:dyDescent="0.25">
      <c r="A114" s="11" t="s">
        <v>282</v>
      </c>
      <c r="B114" s="59" t="s">
        <v>289</v>
      </c>
      <c r="C114" s="769"/>
    </row>
    <row r="115" spans="1:3" ht="12" customHeight="1" x14ac:dyDescent="0.25">
      <c r="A115" s="10" t="s">
        <v>283</v>
      </c>
      <c r="B115" s="60" t="s">
        <v>290</v>
      </c>
      <c r="C115" s="769"/>
    </row>
    <row r="116" spans="1:3" ht="12" customHeight="1" x14ac:dyDescent="0.25">
      <c r="A116" s="11" t="s">
        <v>402</v>
      </c>
      <c r="B116" s="60" t="s">
        <v>291</v>
      </c>
      <c r="C116" s="769"/>
    </row>
    <row r="117" spans="1:3" ht="12" customHeight="1" x14ac:dyDescent="0.25">
      <c r="A117" s="13" t="s">
        <v>403</v>
      </c>
      <c r="B117" s="60" t="s">
        <v>292</v>
      </c>
      <c r="C117" s="768"/>
    </row>
    <row r="118" spans="1:3" ht="12" customHeight="1" x14ac:dyDescent="0.25">
      <c r="A118" s="11" t="s">
        <v>404</v>
      </c>
      <c r="B118" s="8" t="s">
        <v>47</v>
      </c>
      <c r="C118" s="767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7"/>
    </row>
    <row r="125" spans="1:3" ht="12" customHeight="1" x14ac:dyDescent="0.25">
      <c r="A125" s="12" t="s">
        <v>94</v>
      </c>
      <c r="B125" s="9" t="s">
        <v>298</v>
      </c>
      <c r="C125" s="768"/>
    </row>
    <row r="126" spans="1:3" ht="12" customHeight="1" x14ac:dyDescent="0.25">
      <c r="A126" s="12" t="s">
        <v>95</v>
      </c>
      <c r="B126" s="109" t="s">
        <v>159</v>
      </c>
      <c r="C126" s="768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8"/>
    </row>
    <row r="128" spans="1:3" ht="12" customHeight="1" x14ac:dyDescent="0.25">
      <c r="A128" s="12" t="s">
        <v>106</v>
      </c>
      <c r="B128" s="180" t="s">
        <v>303</v>
      </c>
      <c r="C128" s="768"/>
    </row>
    <row r="129" spans="1:3" x14ac:dyDescent="0.25">
      <c r="A129" s="12" t="s">
        <v>139</v>
      </c>
      <c r="B129" s="59" t="s">
        <v>286</v>
      </c>
      <c r="C129" s="768"/>
    </row>
    <row r="130" spans="1:3" ht="12" customHeight="1" x14ac:dyDescent="0.25">
      <c r="A130" s="12" t="s">
        <v>140</v>
      </c>
      <c r="B130" s="59" t="s">
        <v>302</v>
      </c>
      <c r="C130" s="768"/>
    </row>
    <row r="131" spans="1:3" ht="12" customHeight="1" x14ac:dyDescent="0.25">
      <c r="A131" s="12" t="s">
        <v>141</v>
      </c>
      <c r="B131" s="59" t="s">
        <v>301</v>
      </c>
      <c r="C131" s="768"/>
    </row>
    <row r="132" spans="1:3" ht="12" customHeight="1" x14ac:dyDescent="0.25">
      <c r="A132" s="12" t="s">
        <v>294</v>
      </c>
      <c r="B132" s="59" t="s">
        <v>289</v>
      </c>
      <c r="C132" s="768"/>
    </row>
    <row r="133" spans="1:3" ht="12" customHeight="1" x14ac:dyDescent="0.25">
      <c r="A133" s="12" t="s">
        <v>295</v>
      </c>
      <c r="B133" s="59" t="s">
        <v>300</v>
      </c>
      <c r="C133" s="768"/>
    </row>
    <row r="134" spans="1:3" ht="16.5" thickBot="1" x14ac:dyDescent="0.3">
      <c r="A134" s="10" t="s">
        <v>296</v>
      </c>
      <c r="B134" s="59" t="s">
        <v>299</v>
      </c>
      <c r="C134" s="76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262751707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262751707</v>
      </c>
    </row>
    <row r="162" spans="1:3" ht="7.5" customHeight="1" x14ac:dyDescent="0.25"/>
    <row r="163" spans="1:3" x14ac:dyDescent="0.25">
      <c r="A163" s="1392" t="s">
        <v>306</v>
      </c>
      <c r="B163" s="1392"/>
      <c r="C163" s="1392"/>
    </row>
    <row r="164" spans="1:3" ht="15" customHeight="1" thickBot="1" x14ac:dyDescent="0.3">
      <c r="A164" s="1395" t="s">
        <v>116</v>
      </c>
      <c r="B164" s="1395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-262270707</v>
      </c>
    </row>
    <row r="166" spans="1:3" ht="21.75" thickBot="1" x14ac:dyDescent="0.3">
      <c r="A166" s="17" t="s">
        <v>17</v>
      </c>
      <c r="B166" s="22" t="s">
        <v>718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52" customFormat="1" x14ac:dyDescent="0.25">
      <c r="A1" s="1394" t="str">
        <f>CONCATENATE("5. melléklet"," ",ALAPADATOK!A7," ",ALAPADATOK!B7," ",ALAPADATOK!C7," ",ALAPADATOK!D7," ",ALAPADATOK!E7," ",ALAPADATOK!F7," ",ALAPADATOK!G7," ",ALAPADATOK!H7)</f>
        <v>5. melléklet a .. / 2022. ( ……. ) önkormányzati rendelethez</v>
      </c>
      <c r="B1" s="1394"/>
      <c r="C1" s="1394"/>
    </row>
    <row r="2" spans="1:3" s="741" customFormat="1" x14ac:dyDescent="0.25">
      <c r="A2" s="666"/>
      <c r="B2" s="666"/>
      <c r="C2" s="666"/>
    </row>
    <row r="3" spans="1:3" s="652" customFormat="1" x14ac:dyDescent="0.25">
      <c r="A3" s="1393" t="str">
        <f>CONCATENATE(ALAPADATOK!A3)</f>
        <v>Tiszavasvári Város Önkormányzat</v>
      </c>
      <c r="B3" s="1393"/>
      <c r="C3" s="1393"/>
    </row>
    <row r="4" spans="1:3" s="652" customFormat="1" x14ac:dyDescent="0.25">
      <c r="A4" s="1392" t="str">
        <f>CONCATENATE(ALAPADATOK!D7," ÉVI KÖLTSÉGVETÉS")</f>
        <v>2022. ÉVI KÖLTSÉGVETÉS</v>
      </c>
      <c r="B4" s="1392"/>
      <c r="C4" s="1392"/>
    </row>
    <row r="5" spans="1:3" s="652" customFormat="1" x14ac:dyDescent="0.25">
      <c r="A5" s="1392" t="s">
        <v>681</v>
      </c>
      <c r="B5" s="1392"/>
      <c r="C5" s="1392"/>
    </row>
    <row r="6" spans="1:3" s="652" customFormat="1" x14ac:dyDescent="0.25">
      <c r="A6" s="651"/>
      <c r="B6" s="651"/>
      <c r="C6" s="171" t="s">
        <v>861</v>
      </c>
    </row>
    <row r="7" spans="1:3" ht="15.95" customHeight="1" x14ac:dyDescent="0.25">
      <c r="A7" s="1396" t="s">
        <v>13</v>
      </c>
      <c r="B7" s="1396"/>
      <c r="C7" s="1396"/>
    </row>
    <row r="8" spans="1:3" ht="15.95" customHeight="1" thickBot="1" x14ac:dyDescent="0.3">
      <c r="A8" s="1395" t="s">
        <v>114</v>
      </c>
      <c r="B8" s="1395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959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396" t="s">
        <v>44</v>
      </c>
      <c r="B96" s="1396"/>
      <c r="C96" s="1396"/>
    </row>
    <row r="97" spans="1:3" s="193" customFormat="1" ht="16.5" customHeight="1" thickBot="1" x14ac:dyDescent="0.3">
      <c r="A97" s="1397" t="s">
        <v>115</v>
      </c>
      <c r="B97" s="1397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392" t="s">
        <v>306</v>
      </c>
      <c r="B163" s="1392"/>
      <c r="C163" s="1392"/>
    </row>
    <row r="164" spans="1:3" ht="15" customHeight="1" thickBot="1" x14ac:dyDescent="0.3">
      <c r="A164" s="1395" t="s">
        <v>116</v>
      </c>
      <c r="B164" s="1395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zoomScale="115" zoomScaleNormal="115" zoomScaleSheetLayoutView="100" workbookViewId="0">
      <selection activeCell="E32" sqref="E32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03" t="s">
        <v>119</v>
      </c>
      <c r="B1" s="1403"/>
      <c r="C1" s="1403"/>
      <c r="D1" s="1403"/>
      <c r="E1" s="1403"/>
      <c r="F1" s="1399" t="str">
        <f>CONCATENATE("6. melléklet ",ALAPADATOK!A7," ",ALAPADATOK!B7," ",ALAPADATOK!C7," ",ALAPADATOK!D7," ",ALAPADATOK!E7," ",ALAPADATOK!F7," ",ALAPADATOK!G7," ",ALAPADATOK!H7)</f>
        <v>6. melléklet a .. / 2022. ( ……. ) önkormányzati rendelethez</v>
      </c>
    </row>
    <row r="2" spans="1:6" s="657" customFormat="1" ht="39.75" hidden="1" customHeight="1" thickBot="1" x14ac:dyDescent="0.25">
      <c r="A2" s="1123"/>
      <c r="B2" s="1118"/>
      <c r="C2" s="1118"/>
      <c r="D2" s="1118"/>
      <c r="E2" s="1118"/>
      <c r="F2" s="1399"/>
    </row>
    <row r="3" spans="1:6" ht="18" customHeight="1" thickBot="1" x14ac:dyDescent="0.25">
      <c r="A3" s="1400" t="s">
        <v>63</v>
      </c>
      <c r="B3" s="499" t="s">
        <v>52</v>
      </c>
      <c r="C3" s="500"/>
      <c r="D3" s="499" t="s">
        <v>53</v>
      </c>
      <c r="E3" s="501"/>
      <c r="F3" s="1399"/>
    </row>
    <row r="4" spans="1:6" s="128" customFormat="1" ht="35.25" customHeight="1" thickBot="1" x14ac:dyDescent="0.25">
      <c r="A4" s="1401"/>
      <c r="B4" s="502" t="s">
        <v>57</v>
      </c>
      <c r="C4" s="503" t="s">
        <v>960</v>
      </c>
      <c r="D4" s="502" t="s">
        <v>57</v>
      </c>
      <c r="E4" s="504" t="str">
        <f>+C4</f>
        <v>2022.évi előirányzat</v>
      </c>
      <c r="F4" s="1399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399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1984935258</v>
      </c>
      <c r="D6" s="150" t="s">
        <v>58</v>
      </c>
      <c r="E6" s="34">
        <f>'1. sz.mell. '!C100</f>
        <v>1410952696</v>
      </c>
      <c r="F6" s="1399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270970091</v>
      </c>
      <c r="D7" s="140" t="s">
        <v>134</v>
      </c>
      <c r="E7" s="34">
        <f>'1. sz.mell. '!C101</f>
        <v>202791912</v>
      </c>
      <c r="F7" s="1399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56195378</v>
      </c>
      <c r="D8" s="140" t="s">
        <v>162</v>
      </c>
      <c r="E8" s="34">
        <f>'1. sz.mell. '!C102</f>
        <v>1267136777</v>
      </c>
      <c r="F8" s="1399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391355000</v>
      </c>
      <c r="D9" s="140" t="s">
        <v>135</v>
      </c>
      <c r="E9" s="36">
        <f>'1. sz.mell. '!C103</f>
        <v>43800000</v>
      </c>
      <c r="F9" s="1399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338531351</v>
      </c>
      <c r="D10" s="140" t="s">
        <v>136</v>
      </c>
      <c r="E10" s="36">
        <f>'1. sz.mell. '!C104</f>
        <v>196331548</v>
      </c>
      <c r="F10" s="1399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1200000</v>
      </c>
      <c r="D11" s="140" t="s">
        <v>47</v>
      </c>
      <c r="E11" s="759">
        <f>'1. sz.mell. '!C117-'7. sz.mell .'!E17</f>
        <v>26758027</v>
      </c>
      <c r="F11" s="1399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399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399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399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399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399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399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2986991700</v>
      </c>
      <c r="D18" s="55" t="s">
        <v>314</v>
      </c>
      <c r="E18" s="126">
        <f>SUM(E6:E17)</f>
        <v>3147770960</v>
      </c>
      <c r="F18" s="1399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191773600</v>
      </c>
      <c r="D19" s="140" t="s">
        <v>142</v>
      </c>
      <c r="E19" s="127"/>
      <c r="F19" s="1399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191773600</v>
      </c>
      <c r="D20" s="140" t="s">
        <v>313</v>
      </c>
      <c r="E20" s="36">
        <f>'1. sz.mell. '!C137</f>
        <v>1000000000</v>
      </c>
      <c r="F20" s="1399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399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399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399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399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399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399"/>
    </row>
    <row r="27" spans="1:6" ht="12.95" customHeight="1" x14ac:dyDescent="0.2">
      <c r="A27" s="506" t="s">
        <v>37</v>
      </c>
      <c r="B27" s="754" t="s">
        <v>255</v>
      </c>
      <c r="C27" s="35">
        <f>'1. sz.mell. '!C83</f>
        <v>55076107</v>
      </c>
      <c r="D27" s="140" t="s">
        <v>431</v>
      </c>
      <c r="E27" s="36"/>
      <c r="F27" s="1399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399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1246849707</v>
      </c>
      <c r="D29" s="55" t="s">
        <v>443</v>
      </c>
      <c r="E29" s="126">
        <f>SUM(E19:E28)</f>
        <v>1055076107</v>
      </c>
      <c r="F29" s="1399"/>
    </row>
    <row r="30" spans="1:6" ht="13.5" thickBot="1" x14ac:dyDescent="0.25">
      <c r="A30" s="138" t="s">
        <v>40</v>
      </c>
      <c r="B30" s="142" t="s">
        <v>444</v>
      </c>
      <c r="C30" s="288">
        <f>+C18+C29</f>
        <v>4233841407</v>
      </c>
      <c r="D30" s="142" t="s">
        <v>445</v>
      </c>
      <c r="E30" s="288">
        <f>E29+E18</f>
        <v>4202847067</v>
      </c>
      <c r="F30" s="1399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160779260</v>
      </c>
      <c r="D31" s="142" t="s">
        <v>121</v>
      </c>
      <c r="E31" s="288" t="str">
        <f>IF(C18-E18&gt;0,C18-E18,"-")</f>
        <v>-</v>
      </c>
      <c r="F31" s="1399"/>
    </row>
    <row r="32" spans="1:6" s="657" customFormat="1" ht="13.5" thickBot="1" x14ac:dyDescent="0.25">
      <c r="A32" s="138" t="s">
        <v>42</v>
      </c>
      <c r="B32" s="142" t="s">
        <v>733</v>
      </c>
      <c r="C32" s="288" t="str">
        <f>IF(C29-E29&lt;0,E29-C29,"-")</f>
        <v>-</v>
      </c>
      <c r="D32" s="142" t="s">
        <v>734</v>
      </c>
      <c r="E32" s="288">
        <f>IF(C29-E29&gt;0,C29-E29,"-")</f>
        <v>191773600</v>
      </c>
      <c r="F32" s="1399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30994340</v>
      </c>
      <c r="F33" s="1399"/>
    </row>
    <row r="34" spans="1:6" ht="18.75" x14ac:dyDescent="0.2">
      <c r="B34" s="1402"/>
      <c r="C34" s="1402"/>
      <c r="D34" s="1402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zoomScaleSheetLayoutView="115" workbookViewId="0">
      <selection activeCell="C20" sqref="C20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7" customFormat="1" x14ac:dyDescent="0.2">
      <c r="B1" s="69"/>
    </row>
    <row r="2" spans="1:6" ht="37.5" customHeight="1" thickBot="1" x14ac:dyDescent="0.25">
      <c r="A2" s="1404" t="s">
        <v>500</v>
      </c>
      <c r="B2" s="1404"/>
      <c r="C2" s="1404"/>
      <c r="D2" s="1404"/>
      <c r="E2" s="1404"/>
      <c r="F2" s="1399" t="str">
        <f>CONCATENATE("7. melléklet ",ALAPADATOK!A7," ",ALAPADATOK!B7," ",ALAPADATOK!C7," ",ALAPADATOK!D7," ",ALAPADATOK!E7," ",ALAPADATOK!F7," ",ALAPADATOK!G7," ",ALAPADATOK!H7)</f>
        <v>7. melléklet a .. / 2022. ( ……. ) önkormányzati rendelethez</v>
      </c>
    </row>
    <row r="3" spans="1:6" s="657" customFormat="1" ht="37.5" hidden="1" customHeight="1" thickBot="1" x14ac:dyDescent="0.25">
      <c r="A3" s="1150"/>
      <c r="B3" s="1126"/>
      <c r="C3" s="1126"/>
      <c r="D3" s="1126"/>
      <c r="E3" s="1126"/>
      <c r="F3" s="1399"/>
    </row>
    <row r="4" spans="1:6" ht="13.5" customHeight="1" thickBot="1" x14ac:dyDescent="0.25">
      <c r="A4" s="1400" t="s">
        <v>63</v>
      </c>
      <c r="B4" s="70" t="s">
        <v>52</v>
      </c>
      <c r="C4" s="1129"/>
      <c r="D4" s="70" t="s">
        <v>53</v>
      </c>
      <c r="E4" s="1130"/>
      <c r="F4" s="1399"/>
    </row>
    <row r="5" spans="1:6" s="128" customFormat="1" ht="24.75" thickBot="1" x14ac:dyDescent="0.25">
      <c r="A5" s="1401"/>
      <c r="B5" s="70" t="s">
        <v>57</v>
      </c>
      <c r="C5" s="29" t="s">
        <v>959</v>
      </c>
      <c r="D5" s="70" t="s">
        <v>57</v>
      </c>
      <c r="E5" s="29" t="str">
        <f>C5</f>
        <v>2022. évi előirányzat</v>
      </c>
      <c r="F5" s="1399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399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289683632</v>
      </c>
      <c r="D7" s="150" t="s">
        <v>157</v>
      </c>
      <c r="E7" s="758">
        <f>'1. sz.mell. '!C121</f>
        <v>739545060</v>
      </c>
      <c r="F7" s="1399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242049642</v>
      </c>
      <c r="D8" s="754" t="s">
        <v>321</v>
      </c>
      <c r="E8" s="770">
        <f>'1. sz.mell. '!C122</f>
        <v>225178725</v>
      </c>
      <c r="F8" s="1399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54" t="s">
        <v>138</v>
      </c>
      <c r="E9" s="770">
        <f>'1. sz.mell. '!C123</f>
        <v>1934815497</v>
      </c>
      <c r="F9" s="1399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54" t="s">
        <v>322</v>
      </c>
      <c r="E10" s="770">
        <f>'1. sz.mell. '!C124</f>
        <v>399460471</v>
      </c>
      <c r="F10" s="1399"/>
    </row>
    <row r="11" spans="1:6" ht="12.75" customHeight="1" x14ac:dyDescent="0.2">
      <c r="A11" s="136" t="s">
        <v>20</v>
      </c>
      <c r="B11" s="137" t="s">
        <v>318</v>
      </c>
      <c r="C11" s="35"/>
      <c r="D11" s="754" t="s">
        <v>159</v>
      </c>
      <c r="E11" s="759">
        <f>'1. sz.mell. '!C125</f>
        <v>1907277</v>
      </c>
      <c r="F11" s="1399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9"/>
      <c r="F12" s="1399"/>
    </row>
    <row r="13" spans="1:6" ht="12.95" customHeight="1" x14ac:dyDescent="0.2">
      <c r="A13" s="136" t="s">
        <v>22</v>
      </c>
      <c r="B13" s="30"/>
      <c r="C13" s="35"/>
      <c r="D13" s="252"/>
      <c r="E13" s="759"/>
      <c r="F13" s="1399"/>
    </row>
    <row r="14" spans="1:6" ht="12.95" customHeight="1" x14ac:dyDescent="0.2">
      <c r="A14" s="136" t="s">
        <v>23</v>
      </c>
      <c r="B14" s="30"/>
      <c r="C14" s="35"/>
      <c r="D14" s="252"/>
      <c r="E14" s="759"/>
      <c r="F14" s="1399"/>
    </row>
    <row r="15" spans="1:6" ht="12.95" customHeight="1" x14ac:dyDescent="0.2">
      <c r="A15" s="136" t="s">
        <v>24</v>
      </c>
      <c r="B15" s="253"/>
      <c r="C15" s="262"/>
      <c r="D15" s="252"/>
      <c r="E15" s="759"/>
      <c r="F15" s="1399"/>
    </row>
    <row r="16" spans="1:6" x14ac:dyDescent="0.2">
      <c r="A16" s="136" t="s">
        <v>25</v>
      </c>
      <c r="B16" s="30"/>
      <c r="C16" s="262"/>
      <c r="D16" s="252"/>
      <c r="E16" s="759"/>
      <c r="F16" s="1399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103662486</v>
      </c>
      <c r="F17" s="1399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337683632</v>
      </c>
      <c r="D18" s="55" t="s">
        <v>330</v>
      </c>
      <c r="E18" s="761">
        <f>+E7+E9+E11+E12+E13+E14+E15+E16+E17</f>
        <v>2779930320</v>
      </c>
      <c r="F18" s="1399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54" t="s">
        <v>142</v>
      </c>
      <c r="E19" s="758"/>
      <c r="F19" s="1399"/>
    </row>
    <row r="20" spans="1:6" ht="22.5" customHeight="1" x14ac:dyDescent="0.2">
      <c r="A20" s="136" t="s">
        <v>29</v>
      </c>
      <c r="B20" s="147" t="s">
        <v>1035</v>
      </c>
      <c r="C20" s="35">
        <f>2169276510+76970884</f>
        <v>2246247394</v>
      </c>
      <c r="D20" s="754" t="s">
        <v>145</v>
      </c>
      <c r="E20" s="759">
        <f>SUM(E21:E22)</f>
        <v>22728296</v>
      </c>
      <c r="F20" s="1399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9"/>
      <c r="F21" s="1399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9">
        <f>'1. sz.mell. '!C136</f>
        <v>22728296</v>
      </c>
      <c r="F22" s="1399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9"/>
      <c r="F23" s="1399"/>
    </row>
    <row r="24" spans="1:6" ht="12.95" customHeight="1" x14ac:dyDescent="0.2">
      <c r="A24" s="136" t="s">
        <v>33</v>
      </c>
      <c r="B24" s="148" t="s">
        <v>170</v>
      </c>
      <c r="C24" s="35"/>
      <c r="D24" s="754" t="s">
        <v>146</v>
      </c>
      <c r="E24" s="759"/>
      <c r="F24" s="1399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9"/>
      <c r="F25" s="1399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9"/>
      <c r="F26" s="1399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9"/>
      <c r="F27" s="1399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9"/>
      <c r="F28" s="1399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9"/>
      <c r="F29" s="1399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9"/>
      <c r="F30" s="1399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61">
        <f>SUM(E19:E30)-E21-E22</f>
        <v>22728296</v>
      </c>
      <c r="F31" s="1399"/>
    </row>
    <row r="32" spans="1:6" ht="13.5" thickBot="1" x14ac:dyDescent="0.25">
      <c r="A32" s="138" t="s">
        <v>41</v>
      </c>
      <c r="B32" s="142" t="s">
        <v>325</v>
      </c>
      <c r="C32" s="143">
        <f>+C18+C31</f>
        <v>2771664276</v>
      </c>
      <c r="D32" s="142" t="s">
        <v>326</v>
      </c>
      <c r="E32" s="143">
        <f>+E18+E31</f>
        <v>2802658616</v>
      </c>
      <c r="F32" s="1399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2442246688</v>
      </c>
      <c r="D33" s="142" t="s">
        <v>121</v>
      </c>
      <c r="E33" s="143" t="str">
        <f>IF(C18-E18&gt;0,C18-E18,"-")</f>
        <v>-</v>
      </c>
      <c r="F33" s="1399"/>
    </row>
    <row r="34" spans="1:6" s="657" customFormat="1" ht="13.5" thickBot="1" x14ac:dyDescent="0.25">
      <c r="A34" s="138" t="s">
        <v>43</v>
      </c>
      <c r="B34" s="142" t="s">
        <v>733</v>
      </c>
      <c r="C34" s="288" t="str">
        <f>IF(C31-E31&lt;0,E31-C31,"-")</f>
        <v>-</v>
      </c>
      <c r="D34" s="142" t="s">
        <v>734</v>
      </c>
      <c r="E34" s="288">
        <f>IF(C31-E31&gt;0,C31-E31,"-")</f>
        <v>2411252348</v>
      </c>
      <c r="F34" s="1399"/>
    </row>
    <row r="35" spans="1:6" ht="13.5" thickBot="1" x14ac:dyDescent="0.25">
      <c r="A35" s="138" t="s">
        <v>735</v>
      </c>
      <c r="B35" s="142" t="s">
        <v>164</v>
      </c>
      <c r="C35" s="143">
        <f>IF(C32-E32&lt;0,E32-C32,"-")</f>
        <v>30994340</v>
      </c>
      <c r="D35" s="142" t="s">
        <v>165</v>
      </c>
      <c r="E35" s="143" t="str">
        <f>IF(C32-E32&gt;0,C32-E32,"-")</f>
        <v>-</v>
      </c>
      <c r="F35" s="1399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6" customWidth="1"/>
    <col min="2" max="2" width="16.83203125" style="656" customWidth="1"/>
    <col min="3" max="3" width="66.1640625" style="656" customWidth="1"/>
    <col min="4" max="4" width="13.83203125" style="656" customWidth="1"/>
    <col min="5" max="5" width="17.6640625" style="656" customWidth="1"/>
    <col min="6" max="16384" width="9.33203125" style="656"/>
  </cols>
  <sheetData>
    <row r="1" spans="1:5" ht="18.75" x14ac:dyDescent="0.3">
      <c r="A1" s="653" t="s">
        <v>683</v>
      </c>
      <c r="E1" s="654" t="s">
        <v>684</v>
      </c>
    </row>
    <row r="3" spans="1:5" x14ac:dyDescent="0.2">
      <c r="A3" s="655"/>
      <c r="B3" s="658"/>
      <c r="C3" s="655"/>
      <c r="D3" s="659"/>
      <c r="E3" s="658"/>
    </row>
    <row r="4" spans="1:5" ht="15.75" x14ac:dyDescent="0.25">
      <c r="A4" s="660" t="s">
        <v>1027</v>
      </c>
      <c r="B4" s="661"/>
      <c r="C4" s="662"/>
      <c r="D4" s="659"/>
      <c r="E4" s="658"/>
    </row>
    <row r="5" spans="1:5" x14ac:dyDescent="0.2">
      <c r="A5" s="655"/>
      <c r="B5" s="658"/>
      <c r="C5" s="655"/>
      <c r="D5" s="659"/>
      <c r="E5" s="658"/>
    </row>
    <row r="6" spans="1:5" x14ac:dyDescent="0.2">
      <c r="A6" s="655" t="s">
        <v>685</v>
      </c>
      <c r="B6" s="658">
        <f>'1. sz.mell. '!C69</f>
        <v>3324675332</v>
      </c>
      <c r="C6" s="655" t="s">
        <v>686</v>
      </c>
      <c r="D6" s="659">
        <f>'6. sz.mell '!C18+'7. sz.mell .'!C18</f>
        <v>3324675332</v>
      </c>
      <c r="E6" s="658">
        <f t="shared" ref="E6:E15" si="0">+B6-D6</f>
        <v>0</v>
      </c>
    </row>
    <row r="7" spans="1:5" x14ac:dyDescent="0.2">
      <c r="A7" s="655" t="s">
        <v>687</v>
      </c>
      <c r="B7" s="658">
        <f>'1. sz.mell. '!C93</f>
        <v>3680830351</v>
      </c>
      <c r="C7" s="655" t="s">
        <v>688</v>
      </c>
      <c r="D7" s="659">
        <f>'6. sz.mell '!C29+'7. sz.mell .'!C31</f>
        <v>3680830351</v>
      </c>
      <c r="E7" s="658">
        <f t="shared" si="0"/>
        <v>0</v>
      </c>
    </row>
    <row r="8" spans="1:5" x14ac:dyDescent="0.2">
      <c r="A8" s="655" t="s">
        <v>689</v>
      </c>
      <c r="B8" s="658">
        <f>'1. sz.mell. '!C94</f>
        <v>7005505683</v>
      </c>
      <c r="C8" s="655" t="s">
        <v>690</v>
      </c>
      <c r="D8" s="659">
        <f>'6. sz.mell '!C30+'7. sz.mell .'!C32</f>
        <v>7005505683</v>
      </c>
      <c r="E8" s="658">
        <f t="shared" si="0"/>
        <v>0</v>
      </c>
    </row>
    <row r="9" spans="1:5" x14ac:dyDescent="0.2">
      <c r="A9" s="655"/>
      <c r="B9" s="658"/>
      <c r="C9" s="655"/>
      <c r="D9" s="659"/>
      <c r="E9" s="658"/>
    </row>
    <row r="10" spans="1:5" x14ac:dyDescent="0.2">
      <c r="A10" s="655"/>
      <c r="B10" s="658"/>
      <c r="C10" s="655"/>
      <c r="D10" s="659"/>
      <c r="E10" s="658"/>
    </row>
    <row r="11" spans="1:5" ht="15.75" x14ac:dyDescent="0.25">
      <c r="A11" s="660" t="s">
        <v>1028</v>
      </c>
      <c r="B11" s="661"/>
      <c r="C11" s="662"/>
      <c r="D11" s="659"/>
      <c r="E11" s="658"/>
    </row>
    <row r="12" spans="1:5" x14ac:dyDescent="0.2">
      <c r="A12" s="655"/>
      <c r="B12" s="658"/>
      <c r="C12" s="655"/>
      <c r="D12" s="659"/>
      <c r="E12" s="658"/>
    </row>
    <row r="13" spans="1:5" x14ac:dyDescent="0.2">
      <c r="A13" s="655" t="s">
        <v>691</v>
      </c>
      <c r="B13" s="658">
        <f>'1. sz.mell. '!C134</f>
        <v>5927701280</v>
      </c>
      <c r="C13" s="655" t="s">
        <v>692</v>
      </c>
      <c r="D13" s="659">
        <f>'6. sz.mell '!E18+'7. sz.mell .'!E18</f>
        <v>5927701280</v>
      </c>
      <c r="E13" s="658">
        <f t="shared" si="0"/>
        <v>0</v>
      </c>
    </row>
    <row r="14" spans="1:5" x14ac:dyDescent="0.2">
      <c r="A14" s="655" t="s">
        <v>693</v>
      </c>
      <c r="B14" s="658">
        <f>'1. sz.mell. '!C159</f>
        <v>1077804403</v>
      </c>
      <c r="C14" s="655" t="s">
        <v>694</v>
      </c>
      <c r="D14" s="659">
        <f>'6. sz.mell '!E29+'7. sz.mell .'!E31</f>
        <v>1077804403</v>
      </c>
      <c r="E14" s="658">
        <f t="shared" si="0"/>
        <v>0</v>
      </c>
    </row>
    <row r="15" spans="1:5" x14ac:dyDescent="0.2">
      <c r="A15" s="655" t="s">
        <v>695</v>
      </c>
      <c r="B15" s="658">
        <f>'1. sz.mell. '!C160</f>
        <v>7005505683</v>
      </c>
      <c r="C15" s="655" t="s">
        <v>696</v>
      </c>
      <c r="D15" s="659">
        <f>'6. sz.mell '!E30+'7. sz.mell .'!E32</f>
        <v>7005505683</v>
      </c>
      <c r="E15" s="658">
        <f t="shared" si="0"/>
        <v>0</v>
      </c>
    </row>
    <row r="16" spans="1:5" x14ac:dyDescent="0.2">
      <c r="A16" s="663"/>
      <c r="B16" s="663"/>
      <c r="C16" s="655"/>
      <c r="D16" s="659"/>
      <c r="E16" s="664"/>
    </row>
    <row r="17" spans="1:5" x14ac:dyDescent="0.2">
      <c r="A17" s="663"/>
      <c r="B17" s="663"/>
      <c r="C17" s="663"/>
      <c r="D17" s="663"/>
      <c r="E17" s="663"/>
    </row>
    <row r="18" spans="1:5" x14ac:dyDescent="0.2">
      <c r="A18" s="663"/>
      <c r="B18" s="663"/>
      <c r="C18" s="663"/>
      <c r="D18" s="663"/>
      <c r="E18" s="663"/>
    </row>
    <row r="19" spans="1:5" x14ac:dyDescent="0.2">
      <c r="A19" s="663"/>
      <c r="B19" s="663"/>
      <c r="C19" s="663"/>
      <c r="D19" s="663"/>
      <c r="E19" s="663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34</vt:i4>
      </vt:variant>
    </vt:vector>
  </HeadingPairs>
  <TitlesOfParts>
    <vt:vector size="80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OVI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OVI'!Print_Titles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2022-02-10T14:00:12Z</cp:lastPrinted>
  <dcterms:created xsi:type="dcterms:W3CDTF">1999-10-30T10:30:45Z</dcterms:created>
  <dcterms:modified xsi:type="dcterms:W3CDTF">2022-02-11T08:04:44Z</dcterms:modified>
</cp:coreProperties>
</file>