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activeTab="2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364" r:id="rId11"/>
    <sheet name="7.sz.mell." sheetId="1365" state="hidden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r:id="rId17"/>
    <sheet name="9.1. sz. mell." sheetId="1366" r:id="rId18"/>
    <sheet name="9.1.1. sz. mell. " sheetId="1367" r:id="rId19"/>
    <sheet name="9.1.2. sz. mell." sheetId="1368" r:id="rId20"/>
    <sheet name="9.2. sz. mell. " sheetId="1369" r:id="rId21"/>
    <sheet name="9.2.1. sz. mell" sheetId="1370" r:id="rId22"/>
    <sheet name="9.2.2. sz.  mell" sheetId="1371" state="hidden" r:id="rId23"/>
    <sheet name="9.2.3. sz. mell." sheetId="1372" r:id="rId24"/>
    <sheet name="9.3. sz. mell" sheetId="1408" r:id="rId25"/>
    <sheet name="9.3.1. sz. mell EOI" sheetId="1409" r:id="rId26"/>
    <sheet name="9.3.2.sz.mell EOI" sheetId="1410" r:id="rId27"/>
    <sheet name="9.4. sz. mell EKIK" sheetId="1411" state="hidden" r:id="rId28"/>
    <sheet name="9.4.1. sz. mell EKIK" sheetId="1412" state="hidden" r:id="rId29"/>
    <sheet name="9.4.2. sz. mell EKIK" sheetId="1413" state="hidden" r:id="rId30"/>
    <sheet name="9.5. sz. mell VK" sheetId="1414" r:id="rId31"/>
    <sheet name="9.5.1. sz. mell VK " sheetId="1415" r:id="rId32"/>
    <sheet name="9.5.2. sz. mell VK" sheetId="1416" state="hidden" r:id="rId33"/>
    <sheet name="9.6. sz. mell Kornisné Kp." sheetId="1417" r:id="rId34"/>
    <sheet name="9.6.1. sz. mell Kornisné Kp. " sheetId="1418" r:id="rId35"/>
    <sheet name="9.6.2. sz. mell Kornisné Kp." sheetId="1419" r:id="rId36"/>
    <sheet name="9.6.3. sz. mell Kornisné Kp " sheetId="1420" state="hidden" r:id="rId37"/>
    <sheet name="9.7. sz. mell TIB  " sheetId="1421" r:id="rId38"/>
    <sheet name="9.7.1. sz. mell TIB  " sheetId="1422" r:id="rId39"/>
    <sheet name="9.7.2. sz. mell TIB" sheetId="1423" state="hidden" r:id="rId40"/>
    <sheet name="int.összesítő" sheetId="1424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r:id="rId49"/>
    <sheet name="feladatos Önk. " sheetId="1381" r:id="rId50"/>
    <sheet name="8.sz tájéloztató" sheetId="1355" state="hidden" r:id="rId51"/>
    <sheet name="9.sz tájékoztató " sheetId="1398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'!$A$3:$O$53</definedName>
  </definedNames>
  <calcPr calcId="145621"/>
</workbook>
</file>

<file path=xl/calcChain.xml><?xml version="1.0" encoding="utf-8"?>
<calcChain xmlns="http://schemas.openxmlformats.org/spreadsheetml/2006/main">
  <c r="F27" i="1398" l="1"/>
  <c r="D12" i="1381"/>
  <c r="C12" i="1381"/>
  <c r="J12" i="1381"/>
  <c r="K12" i="1381"/>
  <c r="J45" i="1381"/>
  <c r="J40" i="1381"/>
  <c r="C13" i="1381"/>
  <c r="J13" i="1381"/>
  <c r="J10" i="1381"/>
  <c r="C40" i="1381"/>
  <c r="J19" i="1381"/>
  <c r="D31" i="1321"/>
  <c r="F24" i="1379"/>
  <c r="G24" i="1379"/>
  <c r="E24" i="1379"/>
  <c r="N21" i="1379"/>
  <c r="K21" i="1379"/>
  <c r="G21" i="1379"/>
  <c r="E20" i="1379"/>
  <c r="G20" i="1379"/>
  <c r="F18" i="1379"/>
  <c r="E18" i="1379"/>
  <c r="H18" i="1379"/>
  <c r="N17" i="1379"/>
  <c r="M17" i="1379"/>
  <c r="L17" i="1379"/>
  <c r="K17" i="1379"/>
  <c r="J17" i="1379"/>
  <c r="I17" i="1379"/>
  <c r="H17" i="1379"/>
  <c r="G17" i="1379"/>
  <c r="F17" i="1379"/>
  <c r="E17" i="1379"/>
  <c r="N16" i="1379"/>
  <c r="M16" i="1379"/>
  <c r="L16" i="1379"/>
  <c r="K16" i="1379"/>
  <c r="J16" i="1379"/>
  <c r="I16" i="1379"/>
  <c r="H16" i="1379"/>
  <c r="G16" i="1379"/>
  <c r="F16" i="1379"/>
  <c r="E16" i="1379"/>
  <c r="E11" i="1379"/>
  <c r="F9" i="1379"/>
  <c r="E9" i="1379"/>
  <c r="N7" i="1379"/>
  <c r="K7" i="1379"/>
  <c r="G6" i="1379"/>
  <c r="F6" i="1379"/>
  <c r="P24" i="1379"/>
  <c r="H154" i="1378"/>
  <c r="H153" i="1378"/>
  <c r="H152" i="1378"/>
  <c r="H151" i="1378"/>
  <c r="H150" i="1378"/>
  <c r="H149" i="1378"/>
  <c r="H148" i="1378"/>
  <c r="K147" i="1378"/>
  <c r="J147" i="1378"/>
  <c r="I147" i="1378"/>
  <c r="H147" i="1378" s="1"/>
  <c r="H146" i="1378"/>
  <c r="H145" i="1378"/>
  <c r="I144" i="1378"/>
  <c r="H144" i="1378" s="1"/>
  <c r="H143" i="1378"/>
  <c r="K142" i="1378"/>
  <c r="J142" i="1378"/>
  <c r="I142" i="1378"/>
  <c r="H142" i="1378" s="1"/>
  <c r="H141" i="1378"/>
  <c r="H140" i="1378"/>
  <c r="H139" i="1378"/>
  <c r="H138" i="1378"/>
  <c r="H137" i="1378"/>
  <c r="H136" i="1378"/>
  <c r="K135" i="1378"/>
  <c r="J135" i="1378"/>
  <c r="I135" i="1378"/>
  <c r="H135" i="1378" s="1"/>
  <c r="H134" i="1378"/>
  <c r="H133" i="1378"/>
  <c r="I132" i="1378"/>
  <c r="H132" i="1378" s="1"/>
  <c r="K131" i="1378"/>
  <c r="K155" i="1378" s="1"/>
  <c r="J131" i="1378"/>
  <c r="J155" i="1378" s="1"/>
  <c r="I131" i="1378"/>
  <c r="I155" i="1378" s="1"/>
  <c r="H155" i="1378" s="1"/>
  <c r="I129" i="1378"/>
  <c r="H129" i="1378" s="1"/>
  <c r="H128" i="1378"/>
  <c r="H127" i="1378"/>
  <c r="H126" i="1378"/>
  <c r="H125" i="1378"/>
  <c r="H124" i="1378"/>
  <c r="H123" i="1378"/>
  <c r="H122" i="1378"/>
  <c r="J121" i="1378"/>
  <c r="I121" i="1378"/>
  <c r="H121" i="1378" s="1"/>
  <c r="I120" i="1378"/>
  <c r="H120" i="1378" s="1"/>
  <c r="I119" i="1378"/>
  <c r="H119" i="1378" s="1"/>
  <c r="I118" i="1378"/>
  <c r="H118" i="1378" s="1"/>
  <c r="K117" i="1378"/>
  <c r="J117" i="1378"/>
  <c r="I117" i="1378"/>
  <c r="H117" i="1378" s="1"/>
  <c r="K116" i="1378"/>
  <c r="J116" i="1378"/>
  <c r="I116" i="1378"/>
  <c r="H116" i="1378" s="1"/>
  <c r="I115" i="1378"/>
  <c r="H115" i="1378" s="1"/>
  <c r="I114" i="1378"/>
  <c r="H114" i="1378" s="1"/>
  <c r="J113" i="1378"/>
  <c r="I112" i="1378"/>
  <c r="H112" i="1378"/>
  <c r="H111" i="1378"/>
  <c r="H110" i="1378"/>
  <c r="H109" i="1378"/>
  <c r="H108" i="1378"/>
  <c r="I107" i="1378"/>
  <c r="H107" i="1378"/>
  <c r="H106" i="1378"/>
  <c r="H105" i="1378"/>
  <c r="H104" i="1378"/>
  <c r="H103" i="1378"/>
  <c r="H102" i="1378"/>
  <c r="H101" i="1378"/>
  <c r="J100" i="1378"/>
  <c r="I100" i="1378"/>
  <c r="H100" i="1378" s="1"/>
  <c r="I99" i="1378"/>
  <c r="H99" i="1378" s="1"/>
  <c r="K98" i="1378"/>
  <c r="J98" i="1378"/>
  <c r="I98" i="1378"/>
  <c r="H98" i="1378" s="1"/>
  <c r="K97" i="1378"/>
  <c r="J97" i="1378"/>
  <c r="I97" i="1378"/>
  <c r="H97" i="1378" s="1"/>
  <c r="K96" i="1378"/>
  <c r="J96" i="1378"/>
  <c r="I96" i="1378"/>
  <c r="H96" i="1378" s="1"/>
  <c r="K95" i="1378"/>
  <c r="K130" i="1378" s="1"/>
  <c r="J95" i="1378"/>
  <c r="J130" i="1378" s="1"/>
  <c r="J156" i="1378" s="1"/>
  <c r="H87" i="1378"/>
  <c r="H86" i="1378"/>
  <c r="H85" i="1378"/>
  <c r="H84" i="1378"/>
  <c r="H83" i="1378"/>
  <c r="H82" i="1378"/>
  <c r="K81" i="1378"/>
  <c r="J81" i="1378"/>
  <c r="I81" i="1378"/>
  <c r="H81" i="1378" s="1"/>
  <c r="H80" i="1378"/>
  <c r="H79" i="1378"/>
  <c r="H78" i="1378"/>
  <c r="K77" i="1378"/>
  <c r="J77" i="1378"/>
  <c r="I77" i="1378"/>
  <c r="H77" i="1378"/>
  <c r="H76" i="1378"/>
  <c r="K75" i="1378"/>
  <c r="J75" i="1378"/>
  <c r="I75" i="1378"/>
  <c r="H75" i="1378" s="1"/>
  <c r="K74" i="1378"/>
  <c r="J74" i="1378"/>
  <c r="I74" i="1378"/>
  <c r="H74" i="1378" s="1"/>
  <c r="H73" i="1378"/>
  <c r="H72" i="1378"/>
  <c r="H71" i="1378"/>
  <c r="H70" i="1378"/>
  <c r="K69" i="1378"/>
  <c r="J69" i="1378"/>
  <c r="I69" i="1378"/>
  <c r="H69" i="1378" s="1"/>
  <c r="H68" i="1378"/>
  <c r="H67" i="1378"/>
  <c r="I66" i="1378"/>
  <c r="H66" i="1378" s="1"/>
  <c r="K65" i="1378"/>
  <c r="K88" i="1378" s="1"/>
  <c r="J65" i="1378"/>
  <c r="J88" i="1378" s="1"/>
  <c r="I65" i="1378"/>
  <c r="I88" i="1378" s="1"/>
  <c r="H63" i="1378"/>
  <c r="H62" i="1378"/>
  <c r="H61" i="1378"/>
  <c r="H60" i="1378"/>
  <c r="K59" i="1378"/>
  <c r="J59" i="1378"/>
  <c r="I59" i="1378"/>
  <c r="H59" i="1378" s="1"/>
  <c r="H58" i="1378"/>
  <c r="I57" i="1378"/>
  <c r="H57" i="1378"/>
  <c r="I56" i="1378"/>
  <c r="H56" i="1378"/>
  <c r="H55" i="1378"/>
  <c r="K54" i="1378"/>
  <c r="J54" i="1378"/>
  <c r="I54" i="1378"/>
  <c r="H54" i="1378" s="1"/>
  <c r="H53" i="1378"/>
  <c r="H52" i="1378"/>
  <c r="J51" i="1378"/>
  <c r="H51" i="1378" s="1"/>
  <c r="I50" i="1378"/>
  <c r="H50" i="1378" s="1"/>
  <c r="H49" i="1378"/>
  <c r="K48" i="1378"/>
  <c r="J48" i="1378"/>
  <c r="J47" i="1378"/>
  <c r="I47" i="1378"/>
  <c r="H47" i="1378" s="1"/>
  <c r="I46" i="1378"/>
  <c r="H46" i="1378" s="1"/>
  <c r="H45" i="1378"/>
  <c r="H44" i="1378"/>
  <c r="K43" i="1378"/>
  <c r="H43" i="1378" s="1"/>
  <c r="K42" i="1378"/>
  <c r="J42" i="1378"/>
  <c r="I42" i="1378"/>
  <c r="H42" i="1378" s="1"/>
  <c r="K41" i="1378"/>
  <c r="H41" i="1378" s="1"/>
  <c r="I40" i="1378"/>
  <c r="H40" i="1378" s="1"/>
  <c r="K39" i="1378"/>
  <c r="J39" i="1378"/>
  <c r="I39" i="1378"/>
  <c r="H39" i="1378" s="1"/>
  <c r="K38" i="1378"/>
  <c r="J38" i="1378"/>
  <c r="I38" i="1378"/>
  <c r="H38" i="1378" s="1"/>
  <c r="I37" i="1378"/>
  <c r="H37" i="1378" s="1"/>
  <c r="K36" i="1378"/>
  <c r="J36" i="1378"/>
  <c r="I36" i="1378"/>
  <c r="H36" i="1378" s="1"/>
  <c r="I35" i="1378"/>
  <c r="H35" i="1378" s="1"/>
  <c r="H34" i="1378"/>
  <c r="I33" i="1378"/>
  <c r="H33" i="1378"/>
  <c r="H32" i="1378"/>
  <c r="I31" i="1378"/>
  <c r="H31" i="1378" s="1"/>
  <c r="I30" i="1378"/>
  <c r="H30" i="1378" s="1"/>
  <c r="K29" i="1378"/>
  <c r="J29" i="1378"/>
  <c r="I29" i="1378"/>
  <c r="H29" i="1378" s="1"/>
  <c r="K28" i="1378"/>
  <c r="J28" i="1378"/>
  <c r="I28" i="1378"/>
  <c r="H28" i="1378" s="1"/>
  <c r="I27" i="1378"/>
  <c r="H27" i="1378" s="1"/>
  <c r="I26" i="1378"/>
  <c r="H26" i="1378" s="1"/>
  <c r="H25" i="1378"/>
  <c r="H24" i="1378"/>
  <c r="H23" i="1378"/>
  <c r="H22" i="1378"/>
  <c r="K21" i="1378"/>
  <c r="J21" i="1378"/>
  <c r="I21" i="1378"/>
  <c r="H21" i="1378" s="1"/>
  <c r="I20" i="1378"/>
  <c r="H20" i="1378" s="1"/>
  <c r="I19" i="1378"/>
  <c r="H19" i="1378" s="1"/>
  <c r="H18" i="1378"/>
  <c r="H17" i="1378"/>
  <c r="H16" i="1378"/>
  <c r="H15" i="1378"/>
  <c r="K14" i="1378"/>
  <c r="J14" i="1378"/>
  <c r="I14" i="1378"/>
  <c r="H14" i="1378" s="1"/>
  <c r="H13" i="1378"/>
  <c r="I12" i="1378"/>
  <c r="H12" i="1378"/>
  <c r="I11" i="1378"/>
  <c r="H11" i="1378"/>
  <c r="I10" i="1378"/>
  <c r="H10" i="1378"/>
  <c r="H9" i="1378"/>
  <c r="H8" i="1378"/>
  <c r="K7" i="1378"/>
  <c r="K64" i="1378" s="1"/>
  <c r="K89" i="1378" s="1"/>
  <c r="J7" i="1378"/>
  <c r="J64" i="1378" s="1"/>
  <c r="I7" i="1378"/>
  <c r="H7" i="1378"/>
  <c r="D21" i="1377"/>
  <c r="K156" i="1378" l="1"/>
  <c r="I113" i="1378"/>
  <c r="H131" i="1378"/>
  <c r="J89" i="1378"/>
  <c r="H88" i="1378"/>
  <c r="I64" i="1378"/>
  <c r="I48" i="1378"/>
  <c r="H48" i="1378" s="1"/>
  <c r="H65" i="1378"/>
  <c r="D15" i="1377"/>
  <c r="J16" i="1424"/>
  <c r="I16" i="1424"/>
  <c r="H16" i="1424"/>
  <c r="K15" i="1424"/>
  <c r="C15" i="1424" s="1"/>
  <c r="D15" i="1424" s="1"/>
  <c r="K14" i="1424"/>
  <c r="D14" i="1424"/>
  <c r="C14" i="1424"/>
  <c r="F13" i="1424"/>
  <c r="E13" i="1424"/>
  <c r="K13" i="1424" s="1"/>
  <c r="C13" i="1424" s="1"/>
  <c r="D13" i="1424" s="1"/>
  <c r="K12" i="1424"/>
  <c r="D12" i="1424"/>
  <c r="C12" i="1424"/>
  <c r="G11" i="1424"/>
  <c r="G16" i="1424" s="1"/>
  <c r="F11" i="1424"/>
  <c r="K11" i="1424" s="1"/>
  <c r="C11" i="1424" s="1"/>
  <c r="E11" i="1424"/>
  <c r="B11" i="1424"/>
  <c r="D11" i="1424" s="1"/>
  <c r="F10" i="1424"/>
  <c r="F16" i="1424" s="1"/>
  <c r="E10" i="1424"/>
  <c r="E16" i="1424" s="1"/>
  <c r="C51" i="1423"/>
  <c r="C45" i="1423"/>
  <c r="C57" i="1423" s="1"/>
  <c r="E57" i="1421" s="1"/>
  <c r="F57" i="1421" s="1"/>
  <c r="C37" i="1423"/>
  <c r="C30" i="1423"/>
  <c r="C26" i="1423"/>
  <c r="C20" i="1423"/>
  <c r="C8" i="1423"/>
  <c r="C36" i="1423" s="1"/>
  <c r="C52" i="1422"/>
  <c r="C46" i="1422"/>
  <c r="C58" i="1422" s="1"/>
  <c r="E58" i="1421" s="1"/>
  <c r="C38" i="1422"/>
  <c r="C31" i="1422"/>
  <c r="C26" i="1422"/>
  <c r="C20" i="1422"/>
  <c r="C14" i="1422"/>
  <c r="C13" i="1422"/>
  <c r="C8" i="1422" s="1"/>
  <c r="E60" i="1421"/>
  <c r="F60" i="1421" s="1"/>
  <c r="E59" i="1421"/>
  <c r="F59" i="1421" s="1"/>
  <c r="F56" i="1421"/>
  <c r="E56" i="1421"/>
  <c r="F55" i="1421"/>
  <c r="E55" i="1421"/>
  <c r="F54" i="1421"/>
  <c r="E54" i="1421"/>
  <c r="F53" i="1421"/>
  <c r="E53" i="1421"/>
  <c r="E52" i="1421"/>
  <c r="C52" i="1421"/>
  <c r="F52" i="1421" s="1"/>
  <c r="E51" i="1421"/>
  <c r="F51" i="1421" s="1"/>
  <c r="E50" i="1421"/>
  <c r="F50" i="1421" s="1"/>
  <c r="E49" i="1421"/>
  <c r="F49" i="1421" s="1"/>
  <c r="E48" i="1421"/>
  <c r="F48" i="1421" s="1"/>
  <c r="E47" i="1421"/>
  <c r="F47" i="1421" s="1"/>
  <c r="E46" i="1421"/>
  <c r="C46" i="1421"/>
  <c r="C58" i="1421" s="1"/>
  <c r="F45" i="1421"/>
  <c r="E45" i="1421"/>
  <c r="F44" i="1421"/>
  <c r="E44" i="1421"/>
  <c r="F43" i="1421"/>
  <c r="E43" i="1421"/>
  <c r="E40" i="1421"/>
  <c r="F40" i="1421" s="1"/>
  <c r="E39" i="1421"/>
  <c r="F39" i="1421" s="1"/>
  <c r="E38" i="1421"/>
  <c r="C38" i="1421"/>
  <c r="F38" i="1421" s="1"/>
  <c r="E35" i="1421"/>
  <c r="F35" i="1421" s="1"/>
  <c r="E34" i="1421"/>
  <c r="F34" i="1421" s="1"/>
  <c r="E33" i="1421"/>
  <c r="F33" i="1421" s="1"/>
  <c r="E32" i="1421"/>
  <c r="F32" i="1421" s="1"/>
  <c r="E31" i="1421"/>
  <c r="C31" i="1421"/>
  <c r="F31" i="1421" s="1"/>
  <c r="F30" i="1421"/>
  <c r="E30" i="1421"/>
  <c r="F29" i="1421"/>
  <c r="E29" i="1421"/>
  <c r="F28" i="1421"/>
  <c r="E28" i="1421"/>
  <c r="F27" i="1421"/>
  <c r="E27" i="1421"/>
  <c r="E26" i="1421"/>
  <c r="C26" i="1421"/>
  <c r="F26" i="1421" s="1"/>
  <c r="E25" i="1421"/>
  <c r="F25" i="1421" s="1"/>
  <c r="E24" i="1421"/>
  <c r="F24" i="1421" s="1"/>
  <c r="E23" i="1421"/>
  <c r="F23" i="1421" s="1"/>
  <c r="E22" i="1421"/>
  <c r="F22" i="1421" s="1"/>
  <c r="E21" i="1421"/>
  <c r="F21" i="1421" s="1"/>
  <c r="E20" i="1421"/>
  <c r="C20" i="1421"/>
  <c r="F20" i="1421" s="1"/>
  <c r="F19" i="1421"/>
  <c r="E19" i="1421"/>
  <c r="F18" i="1421"/>
  <c r="E18" i="1421"/>
  <c r="F17" i="1421"/>
  <c r="E17" i="1421"/>
  <c r="F16" i="1421"/>
  <c r="E16" i="1421"/>
  <c r="F15" i="1421"/>
  <c r="E15" i="1421"/>
  <c r="E14" i="1421"/>
  <c r="C14" i="1421"/>
  <c r="F14" i="1421" s="1"/>
  <c r="E13" i="1421"/>
  <c r="C13" i="1421"/>
  <c r="F13" i="1421" s="1"/>
  <c r="F12" i="1421"/>
  <c r="E12" i="1421"/>
  <c r="E11" i="1421"/>
  <c r="F11" i="1421" s="1"/>
  <c r="E10" i="1421"/>
  <c r="F10" i="1421" s="1"/>
  <c r="E9" i="1421"/>
  <c r="F9" i="1421" s="1"/>
  <c r="C8" i="1421"/>
  <c r="C37" i="1421" s="1"/>
  <c r="C52" i="1420"/>
  <c r="C46" i="1420"/>
  <c r="C58" i="1420" s="1"/>
  <c r="C38" i="1420"/>
  <c r="C31" i="1420"/>
  <c r="C26" i="1420"/>
  <c r="C20" i="1420"/>
  <c r="C8" i="1420"/>
  <c r="C37" i="1420" s="1"/>
  <c r="C42" i="1420" s="1"/>
  <c r="C52" i="1419"/>
  <c r="C48" i="1419"/>
  <c r="C47" i="1419"/>
  <c r="C46" i="1419"/>
  <c r="C58" i="1419" s="1"/>
  <c r="C41" i="1419"/>
  <c r="C38" i="1419" s="1"/>
  <c r="E38" i="1417" s="1"/>
  <c r="C31" i="1419"/>
  <c r="C26" i="1419"/>
  <c r="C20" i="1419"/>
  <c r="C8" i="1419"/>
  <c r="C37" i="1419" s="1"/>
  <c r="C42" i="1419" s="1"/>
  <c r="C52" i="1418"/>
  <c r="C48" i="1418"/>
  <c r="C47" i="1418"/>
  <c r="C46" i="1418" s="1"/>
  <c r="C41" i="1418"/>
  <c r="C38" i="1418"/>
  <c r="C31" i="1418"/>
  <c r="C26" i="1418"/>
  <c r="C20" i="1418"/>
  <c r="C8" i="1418"/>
  <c r="C37" i="1418" s="1"/>
  <c r="E63" i="1417"/>
  <c r="F63" i="1417" s="1"/>
  <c r="E62" i="1417"/>
  <c r="F62" i="1417" s="1"/>
  <c r="E60" i="1417"/>
  <c r="F60" i="1417" s="1"/>
  <c r="E59" i="1417"/>
  <c r="F59" i="1417" s="1"/>
  <c r="F57" i="1417"/>
  <c r="E57" i="1417"/>
  <c r="F56" i="1417"/>
  <c r="E56" i="1417"/>
  <c r="F55" i="1417"/>
  <c r="E55" i="1417"/>
  <c r="F54" i="1417"/>
  <c r="E54" i="1417"/>
  <c r="E53" i="1417"/>
  <c r="F53" i="1417" s="1"/>
  <c r="E52" i="1417"/>
  <c r="C52" i="1417"/>
  <c r="F52" i="1417" s="1"/>
  <c r="F51" i="1417"/>
  <c r="E51" i="1417"/>
  <c r="F50" i="1417"/>
  <c r="E50" i="1417"/>
  <c r="F49" i="1417"/>
  <c r="E49" i="1417"/>
  <c r="E48" i="1417"/>
  <c r="C48" i="1417"/>
  <c r="F48" i="1417" s="1"/>
  <c r="E47" i="1417"/>
  <c r="C47" i="1417"/>
  <c r="F47" i="1417" s="1"/>
  <c r="C46" i="1417"/>
  <c r="C58" i="1417" s="1"/>
  <c r="E45" i="1417"/>
  <c r="F45" i="1417" s="1"/>
  <c r="E44" i="1417"/>
  <c r="F44" i="1417" s="1"/>
  <c r="E43" i="1417"/>
  <c r="F43" i="1417" s="1"/>
  <c r="E41" i="1417"/>
  <c r="C41" i="1417"/>
  <c r="F41" i="1417" s="1"/>
  <c r="E40" i="1417"/>
  <c r="F40" i="1417" s="1"/>
  <c r="E39" i="1417"/>
  <c r="F39" i="1417" s="1"/>
  <c r="E36" i="1417"/>
  <c r="F36" i="1417" s="1"/>
  <c r="E35" i="1417"/>
  <c r="F35" i="1417" s="1"/>
  <c r="E34" i="1417"/>
  <c r="F34" i="1417" s="1"/>
  <c r="E33" i="1417"/>
  <c r="F33" i="1417" s="1"/>
  <c r="E32" i="1417"/>
  <c r="F32" i="1417" s="1"/>
  <c r="E31" i="1417"/>
  <c r="C31" i="1417"/>
  <c r="F31" i="1417" s="1"/>
  <c r="F30" i="1417"/>
  <c r="E30" i="1417"/>
  <c r="F29" i="1417"/>
  <c r="E29" i="1417"/>
  <c r="F28" i="1417"/>
  <c r="E28" i="1417"/>
  <c r="F27" i="1417"/>
  <c r="E27" i="1417"/>
  <c r="E26" i="1417"/>
  <c r="C26" i="1417"/>
  <c r="F26" i="1417" s="1"/>
  <c r="E25" i="1417"/>
  <c r="F25" i="1417" s="1"/>
  <c r="E24" i="1417"/>
  <c r="F24" i="1417" s="1"/>
  <c r="E23" i="1417"/>
  <c r="F23" i="1417" s="1"/>
  <c r="E22" i="1417"/>
  <c r="F22" i="1417" s="1"/>
  <c r="E21" i="1417"/>
  <c r="F21" i="1417" s="1"/>
  <c r="E20" i="1417"/>
  <c r="C20" i="1417"/>
  <c r="F20" i="1417" s="1"/>
  <c r="F19" i="1417"/>
  <c r="E19" i="1417"/>
  <c r="F18" i="1417"/>
  <c r="E18" i="1417"/>
  <c r="F17" i="1417"/>
  <c r="E17" i="1417"/>
  <c r="F16" i="1417"/>
  <c r="E16" i="1417"/>
  <c r="F15" i="1417"/>
  <c r="E15" i="1417"/>
  <c r="F14" i="1417"/>
  <c r="E14" i="1417"/>
  <c r="F13" i="1417"/>
  <c r="E13" i="1417"/>
  <c r="F12" i="1417"/>
  <c r="E12" i="1417"/>
  <c r="E11" i="1417"/>
  <c r="F11" i="1417" s="1"/>
  <c r="E10" i="1417"/>
  <c r="F10" i="1417" s="1"/>
  <c r="E9" i="1417"/>
  <c r="F9" i="1417" s="1"/>
  <c r="E8" i="1417"/>
  <c r="C8" i="1417"/>
  <c r="C37" i="1417" s="1"/>
  <c r="C52" i="1416"/>
  <c r="C46" i="1416"/>
  <c r="C58" i="1416" s="1"/>
  <c r="C38" i="1416"/>
  <c r="C31" i="1416"/>
  <c r="C26" i="1416"/>
  <c r="C20" i="1416"/>
  <c r="C8" i="1416"/>
  <c r="C37" i="1416" s="1"/>
  <c r="C42" i="1416" s="1"/>
  <c r="C52" i="1415"/>
  <c r="C48" i="1415"/>
  <c r="C47" i="1415"/>
  <c r="C46" i="1415"/>
  <c r="C58" i="1415" s="1"/>
  <c r="E58" i="1414" s="1"/>
  <c r="C41" i="1415"/>
  <c r="C38" i="1415" s="1"/>
  <c r="E38" i="1414" s="1"/>
  <c r="C31" i="1415"/>
  <c r="C26" i="1415"/>
  <c r="C20" i="1415"/>
  <c r="C8" i="1415"/>
  <c r="C37" i="1415" s="1"/>
  <c r="E60" i="1414"/>
  <c r="F60" i="1414" s="1"/>
  <c r="E59" i="1414"/>
  <c r="F59" i="1414" s="1"/>
  <c r="F57" i="1414"/>
  <c r="E57" i="1414"/>
  <c r="F56" i="1414"/>
  <c r="E56" i="1414"/>
  <c r="F55" i="1414"/>
  <c r="E55" i="1414"/>
  <c r="E54" i="1414"/>
  <c r="F54" i="1414" s="1"/>
  <c r="E53" i="1414"/>
  <c r="F53" i="1414" s="1"/>
  <c r="E52" i="1414"/>
  <c r="C52" i="1414"/>
  <c r="F52" i="1414" s="1"/>
  <c r="E51" i="1414"/>
  <c r="F51" i="1414" s="1"/>
  <c r="F50" i="1414"/>
  <c r="E50" i="1414"/>
  <c r="E49" i="1414"/>
  <c r="F49" i="1414" s="1"/>
  <c r="E48" i="1414"/>
  <c r="C48" i="1414"/>
  <c r="F48" i="1414" s="1"/>
  <c r="E47" i="1414"/>
  <c r="C47" i="1414"/>
  <c r="F47" i="1414" s="1"/>
  <c r="E46" i="1414"/>
  <c r="C46" i="1414"/>
  <c r="C58" i="1414" s="1"/>
  <c r="E45" i="1414"/>
  <c r="F45" i="1414" s="1"/>
  <c r="E44" i="1414"/>
  <c r="F44" i="1414" s="1"/>
  <c r="E43" i="1414"/>
  <c r="F43" i="1414" s="1"/>
  <c r="E41" i="1414"/>
  <c r="C41" i="1414"/>
  <c r="F41" i="1414" s="1"/>
  <c r="E40" i="1414"/>
  <c r="F40" i="1414" s="1"/>
  <c r="E39" i="1414"/>
  <c r="F39" i="1414" s="1"/>
  <c r="C38" i="1414"/>
  <c r="F38" i="1414" s="1"/>
  <c r="E36" i="1414"/>
  <c r="F36" i="1414" s="1"/>
  <c r="E35" i="1414"/>
  <c r="F35" i="1414" s="1"/>
  <c r="E34" i="1414"/>
  <c r="F34" i="1414" s="1"/>
  <c r="E33" i="1414"/>
  <c r="F33" i="1414" s="1"/>
  <c r="E32" i="1414"/>
  <c r="F32" i="1414" s="1"/>
  <c r="E31" i="1414"/>
  <c r="C31" i="1414"/>
  <c r="F31" i="1414" s="1"/>
  <c r="E30" i="1414"/>
  <c r="F30" i="1414" s="1"/>
  <c r="E29" i="1414"/>
  <c r="F29" i="1414" s="1"/>
  <c r="E28" i="1414"/>
  <c r="F28" i="1414" s="1"/>
  <c r="E27" i="1414"/>
  <c r="F27" i="1414" s="1"/>
  <c r="E26" i="1414"/>
  <c r="C26" i="1414"/>
  <c r="F26" i="1414" s="1"/>
  <c r="F25" i="1414"/>
  <c r="E25" i="1414"/>
  <c r="F24" i="1414"/>
  <c r="E24" i="1414"/>
  <c r="F23" i="1414"/>
  <c r="E23" i="1414"/>
  <c r="F22" i="1414"/>
  <c r="E22" i="1414"/>
  <c r="F21" i="1414"/>
  <c r="E21" i="1414"/>
  <c r="E20" i="1414"/>
  <c r="C20" i="1414"/>
  <c r="F20" i="1414" s="1"/>
  <c r="E19" i="1414"/>
  <c r="F19" i="1414" s="1"/>
  <c r="E18" i="1414"/>
  <c r="F18" i="1414" s="1"/>
  <c r="E17" i="1414"/>
  <c r="F17" i="1414" s="1"/>
  <c r="E16" i="1414"/>
  <c r="F16" i="1414" s="1"/>
  <c r="E15" i="1414"/>
  <c r="F15" i="1414" s="1"/>
  <c r="E14" i="1414"/>
  <c r="F14" i="1414" s="1"/>
  <c r="E13" i="1414"/>
  <c r="F13" i="1414" s="1"/>
  <c r="E12" i="1414"/>
  <c r="F12" i="1414" s="1"/>
  <c r="E11" i="1414"/>
  <c r="F11" i="1414" s="1"/>
  <c r="E10" i="1414"/>
  <c r="F10" i="1414" s="1"/>
  <c r="E9" i="1414"/>
  <c r="F9" i="1414" s="1"/>
  <c r="E8" i="1414"/>
  <c r="C8" i="1414"/>
  <c r="C37" i="1414" s="1"/>
  <c r="C52" i="1413"/>
  <c r="C46" i="1413"/>
  <c r="C58" i="1413" s="1"/>
  <c r="C38" i="1413"/>
  <c r="C31" i="1413"/>
  <c r="C26" i="1413"/>
  <c r="C20" i="1413"/>
  <c r="C8" i="1413"/>
  <c r="C37" i="1413" s="1"/>
  <c r="C42" i="1413" s="1"/>
  <c r="C52" i="1412"/>
  <c r="C46" i="1412"/>
  <c r="C58" i="1412" s="1"/>
  <c r="E58" i="1411" s="1"/>
  <c r="C38" i="1412"/>
  <c r="C31" i="1412"/>
  <c r="C26" i="1412"/>
  <c r="C20" i="1412"/>
  <c r="C8" i="1412"/>
  <c r="C37" i="1412" s="1"/>
  <c r="F60" i="1411"/>
  <c r="E60" i="1411"/>
  <c r="F59" i="1411"/>
  <c r="E59" i="1411"/>
  <c r="E57" i="1411"/>
  <c r="F57" i="1411" s="1"/>
  <c r="E56" i="1411"/>
  <c r="F56" i="1411" s="1"/>
  <c r="E55" i="1411"/>
  <c r="F55" i="1411" s="1"/>
  <c r="E54" i="1411"/>
  <c r="F54" i="1411" s="1"/>
  <c r="E53" i="1411"/>
  <c r="F53" i="1411" s="1"/>
  <c r="E52" i="1411"/>
  <c r="C52" i="1411"/>
  <c r="F52" i="1411" s="1"/>
  <c r="F51" i="1411"/>
  <c r="E51" i="1411"/>
  <c r="F50" i="1411"/>
  <c r="E50" i="1411"/>
  <c r="F49" i="1411"/>
  <c r="E49" i="1411"/>
  <c r="F48" i="1411"/>
  <c r="E48" i="1411"/>
  <c r="F47" i="1411"/>
  <c r="E47" i="1411"/>
  <c r="E46" i="1411"/>
  <c r="C46" i="1411"/>
  <c r="C58" i="1411" s="1"/>
  <c r="F58" i="1411" s="1"/>
  <c r="E45" i="1411"/>
  <c r="F45" i="1411" s="1"/>
  <c r="E44" i="1411"/>
  <c r="F44" i="1411" s="1"/>
  <c r="E43" i="1411"/>
  <c r="F43" i="1411" s="1"/>
  <c r="F41" i="1411"/>
  <c r="E41" i="1411"/>
  <c r="F40" i="1411"/>
  <c r="E40" i="1411"/>
  <c r="F39" i="1411"/>
  <c r="E39" i="1411"/>
  <c r="E38" i="1411"/>
  <c r="C38" i="1411"/>
  <c r="F38" i="1411" s="1"/>
  <c r="F36" i="1411"/>
  <c r="E36" i="1411"/>
  <c r="F35" i="1411"/>
  <c r="E35" i="1411"/>
  <c r="F34" i="1411"/>
  <c r="E34" i="1411"/>
  <c r="F33" i="1411"/>
  <c r="E33" i="1411"/>
  <c r="F32" i="1411"/>
  <c r="E32" i="1411"/>
  <c r="E31" i="1411"/>
  <c r="C31" i="1411"/>
  <c r="F31" i="1411" s="1"/>
  <c r="E30" i="1411"/>
  <c r="F30" i="1411" s="1"/>
  <c r="E29" i="1411"/>
  <c r="F29" i="1411" s="1"/>
  <c r="E28" i="1411"/>
  <c r="F28" i="1411" s="1"/>
  <c r="E27" i="1411"/>
  <c r="F27" i="1411" s="1"/>
  <c r="E26" i="1411"/>
  <c r="C26" i="1411"/>
  <c r="F26" i="1411" s="1"/>
  <c r="F25" i="1411"/>
  <c r="E25" i="1411"/>
  <c r="F24" i="1411"/>
  <c r="E24" i="1411"/>
  <c r="F23" i="1411"/>
  <c r="E23" i="1411"/>
  <c r="F22" i="1411"/>
  <c r="E22" i="1411"/>
  <c r="F21" i="1411"/>
  <c r="E21" i="1411"/>
  <c r="E20" i="1411"/>
  <c r="C20" i="1411"/>
  <c r="F20" i="1411" s="1"/>
  <c r="E19" i="1411"/>
  <c r="F19" i="1411" s="1"/>
  <c r="E18" i="1411"/>
  <c r="F18" i="1411" s="1"/>
  <c r="E17" i="1411"/>
  <c r="F17" i="1411" s="1"/>
  <c r="E16" i="1411"/>
  <c r="F16" i="1411" s="1"/>
  <c r="E15" i="1411"/>
  <c r="F15" i="1411" s="1"/>
  <c r="E14" i="1411"/>
  <c r="F14" i="1411" s="1"/>
  <c r="E13" i="1411"/>
  <c r="F13" i="1411" s="1"/>
  <c r="E12" i="1411"/>
  <c r="F12" i="1411" s="1"/>
  <c r="E11" i="1411"/>
  <c r="F11" i="1411" s="1"/>
  <c r="E10" i="1411"/>
  <c r="F10" i="1411" s="1"/>
  <c r="E9" i="1411"/>
  <c r="F9" i="1411" s="1"/>
  <c r="E8" i="1411"/>
  <c r="C8" i="1411"/>
  <c r="C37" i="1411" s="1"/>
  <c r="C52" i="1410"/>
  <c r="C49" i="1410"/>
  <c r="C46" i="1410" s="1"/>
  <c r="C38" i="1410"/>
  <c r="C31" i="1410"/>
  <c r="C26" i="1410"/>
  <c r="C20" i="1410"/>
  <c r="C14" i="1410"/>
  <c r="C10" i="1410"/>
  <c r="C8" i="1410"/>
  <c r="C37" i="1410" s="1"/>
  <c r="C42" i="1410" s="1"/>
  <c r="C52" i="1409"/>
  <c r="C49" i="1409"/>
  <c r="C48" i="1409"/>
  <c r="C47" i="1409"/>
  <c r="C46" i="1409"/>
  <c r="C58" i="1409" s="1"/>
  <c r="C41" i="1409"/>
  <c r="C38" i="1409" s="1"/>
  <c r="E38" i="1408" s="1"/>
  <c r="C31" i="1409"/>
  <c r="C26" i="1409"/>
  <c r="C20" i="1409"/>
  <c r="C8" i="1409"/>
  <c r="C37" i="1409" s="1"/>
  <c r="E60" i="1408"/>
  <c r="F60" i="1408" s="1"/>
  <c r="E59" i="1408"/>
  <c r="F59" i="1408" s="1"/>
  <c r="F57" i="1408"/>
  <c r="E57" i="1408"/>
  <c r="F56" i="1408"/>
  <c r="E56" i="1408"/>
  <c r="F55" i="1408"/>
  <c r="E55" i="1408"/>
  <c r="F54" i="1408"/>
  <c r="E54" i="1408"/>
  <c r="F53" i="1408"/>
  <c r="E53" i="1408"/>
  <c r="E52" i="1408"/>
  <c r="C52" i="1408"/>
  <c r="F52" i="1408" s="1"/>
  <c r="E51" i="1408"/>
  <c r="F51" i="1408" s="1"/>
  <c r="E50" i="1408"/>
  <c r="F50" i="1408" s="1"/>
  <c r="E49" i="1408"/>
  <c r="C49" i="1408"/>
  <c r="F49" i="1408" s="1"/>
  <c r="E48" i="1408"/>
  <c r="C48" i="1408"/>
  <c r="F48" i="1408" s="1"/>
  <c r="E47" i="1408"/>
  <c r="C47" i="1408"/>
  <c r="F47" i="1408" s="1"/>
  <c r="C46" i="1408"/>
  <c r="C58" i="1408" s="1"/>
  <c r="E45" i="1408"/>
  <c r="F45" i="1408" s="1"/>
  <c r="E44" i="1408"/>
  <c r="F44" i="1408" s="1"/>
  <c r="E43" i="1408"/>
  <c r="F43" i="1408" s="1"/>
  <c r="F41" i="1408"/>
  <c r="E41" i="1408"/>
  <c r="F40" i="1408"/>
  <c r="E40" i="1408"/>
  <c r="F39" i="1408"/>
  <c r="E39" i="1408"/>
  <c r="C38" i="1408"/>
  <c r="F38" i="1408" s="1"/>
  <c r="F36" i="1408"/>
  <c r="E36" i="1408"/>
  <c r="F35" i="1408"/>
  <c r="E35" i="1408"/>
  <c r="F34" i="1408"/>
  <c r="E34" i="1408"/>
  <c r="F33" i="1408"/>
  <c r="E33" i="1408"/>
  <c r="F32" i="1408"/>
  <c r="E32" i="1408"/>
  <c r="E31" i="1408"/>
  <c r="C31" i="1408"/>
  <c r="F31" i="1408" s="1"/>
  <c r="E30" i="1408"/>
  <c r="F30" i="1408" s="1"/>
  <c r="E29" i="1408"/>
  <c r="F29" i="1408" s="1"/>
  <c r="E28" i="1408"/>
  <c r="F28" i="1408" s="1"/>
  <c r="E27" i="1408"/>
  <c r="F27" i="1408" s="1"/>
  <c r="E26" i="1408"/>
  <c r="C26" i="1408"/>
  <c r="F26" i="1408" s="1"/>
  <c r="F25" i="1408"/>
  <c r="E25" i="1408"/>
  <c r="F24" i="1408"/>
  <c r="E24" i="1408"/>
  <c r="F23" i="1408"/>
  <c r="E23" i="1408"/>
  <c r="F22" i="1408"/>
  <c r="E22" i="1408"/>
  <c r="F21" i="1408"/>
  <c r="E21" i="1408"/>
  <c r="E20" i="1408"/>
  <c r="C20" i="1408"/>
  <c r="F20" i="1408" s="1"/>
  <c r="E19" i="1408"/>
  <c r="F19" i="1408" s="1"/>
  <c r="E18" i="1408"/>
  <c r="F18" i="1408" s="1"/>
  <c r="E17" i="1408"/>
  <c r="F17" i="1408" s="1"/>
  <c r="E16" i="1408"/>
  <c r="F16" i="1408" s="1"/>
  <c r="E15" i="1408"/>
  <c r="F15" i="1408" s="1"/>
  <c r="E14" i="1408"/>
  <c r="C14" i="1408"/>
  <c r="F14" i="1408" s="1"/>
  <c r="F13" i="1408"/>
  <c r="E13" i="1408"/>
  <c r="F12" i="1408"/>
  <c r="E12" i="1408"/>
  <c r="F11" i="1408"/>
  <c r="E11" i="1408"/>
  <c r="E10" i="1408"/>
  <c r="C10" i="1408"/>
  <c r="F10" i="1408" s="1"/>
  <c r="E9" i="1408"/>
  <c r="F9" i="1408" s="1"/>
  <c r="E8" i="1408"/>
  <c r="C8" i="1408"/>
  <c r="C37" i="1408" s="1"/>
  <c r="H113" i="1378" l="1"/>
  <c r="I95" i="1378"/>
  <c r="I89" i="1378"/>
  <c r="H89" i="1378" s="1"/>
  <c r="H64" i="1378"/>
  <c r="E46" i="1408"/>
  <c r="C58" i="1410"/>
  <c r="E58" i="1408" s="1"/>
  <c r="F58" i="1408" s="1"/>
  <c r="C42" i="1411"/>
  <c r="C42" i="1408"/>
  <c r="F37" i="1408"/>
  <c r="F8" i="1408"/>
  <c r="C42" i="1409"/>
  <c r="E42" i="1408" s="1"/>
  <c r="E37" i="1408"/>
  <c r="C42" i="1412"/>
  <c r="E42" i="1411" s="1"/>
  <c r="E37" i="1411"/>
  <c r="F37" i="1411" s="1"/>
  <c r="F46" i="1408"/>
  <c r="F46" i="1411"/>
  <c r="C42" i="1421"/>
  <c r="E8" i="1421"/>
  <c r="C37" i="1422"/>
  <c r="C41" i="1423"/>
  <c r="E41" i="1421" s="1"/>
  <c r="F41" i="1421" s="1"/>
  <c r="E36" i="1421"/>
  <c r="F36" i="1421" s="1"/>
  <c r="F8" i="1411"/>
  <c r="C42" i="1414"/>
  <c r="F42" i="1414" s="1"/>
  <c r="F8" i="1414"/>
  <c r="F58" i="1414"/>
  <c r="C42" i="1415"/>
  <c r="E42" i="1414" s="1"/>
  <c r="E37" i="1414"/>
  <c r="F37" i="1414" s="1"/>
  <c r="C42" i="1417"/>
  <c r="C42" i="1418"/>
  <c r="E42" i="1417" s="1"/>
  <c r="E37" i="1417"/>
  <c r="F37" i="1417" s="1"/>
  <c r="C58" i="1418"/>
  <c r="E58" i="1417" s="1"/>
  <c r="F58" i="1417" s="1"/>
  <c r="E46" i="1417"/>
  <c r="F58" i="1421"/>
  <c r="C38" i="1417"/>
  <c r="F38" i="1417" s="1"/>
  <c r="F8" i="1421"/>
  <c r="K10" i="1424"/>
  <c r="B16" i="1424"/>
  <c r="F46" i="1414"/>
  <c r="F8" i="1417"/>
  <c r="F46" i="1417"/>
  <c r="F46" i="1421"/>
  <c r="I130" i="1378" l="1"/>
  <c r="H95" i="1378"/>
  <c r="F42" i="1417"/>
  <c r="K16" i="1424"/>
  <c r="C10" i="1424"/>
  <c r="E37" i="1421"/>
  <c r="F37" i="1421" s="1"/>
  <c r="C42" i="1422"/>
  <c r="E42" i="1421" s="1"/>
  <c r="F42" i="1421" s="1"/>
  <c r="F42" i="1408"/>
  <c r="F42" i="1411"/>
  <c r="I156" i="1378" l="1"/>
  <c r="H156" i="1378" s="1"/>
  <c r="H130" i="1378"/>
  <c r="C16" i="1424"/>
  <c r="D10" i="1424"/>
  <c r="D16" i="1424" s="1"/>
  <c r="C41" i="1370" l="1"/>
  <c r="C41" i="1369"/>
  <c r="C41" i="1372"/>
  <c r="C48" i="1372"/>
  <c r="C47" i="1372"/>
  <c r="C49" i="1370"/>
  <c r="C48" i="1370"/>
  <c r="C47" i="1370"/>
  <c r="C23" i="1370"/>
  <c r="C49" i="1369"/>
  <c r="C48" i="1369"/>
  <c r="C47" i="1369"/>
  <c r="C23" i="1369"/>
  <c r="C110" i="1368"/>
  <c r="C96" i="1368"/>
  <c r="C95" i="1368"/>
  <c r="C94" i="1368"/>
  <c r="C43" i="1368"/>
  <c r="C39" i="1368"/>
  <c r="C116" i="1367"/>
  <c r="C115" i="1367"/>
  <c r="C113" i="1367"/>
  <c r="C112" i="1367"/>
  <c r="C105" i="1367"/>
  <c r="C96" i="1367"/>
  <c r="D96" i="1358"/>
  <c r="C96" i="1360"/>
  <c r="C95" i="1367"/>
  <c r="C94" i="1367"/>
  <c r="C48" i="1367"/>
  <c r="C28" i="1367"/>
  <c r="C27" i="1367"/>
  <c r="C21" i="1367"/>
  <c r="C20" i="1367"/>
  <c r="C116" i="1366"/>
  <c r="C115" i="1366"/>
  <c r="C113" i="1366"/>
  <c r="C112" i="1366"/>
  <c r="C110" i="1366"/>
  <c r="C105" i="1366"/>
  <c r="C96" i="1366"/>
  <c r="C95" i="1366"/>
  <c r="C94" i="1366"/>
  <c r="C58" i="1366"/>
  <c r="C48" i="1366"/>
  <c r="C43" i="1366"/>
  <c r="C39" i="1366"/>
  <c r="C28" i="1366"/>
  <c r="C27" i="1366"/>
  <c r="C21" i="1366"/>
  <c r="C20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F19" i="1364"/>
  <c r="D45" i="1357"/>
  <c r="D44" i="1357"/>
  <c r="D113" i="1358"/>
  <c r="D112" i="1358"/>
  <c r="C95" i="1360"/>
  <c r="C94" i="1360"/>
  <c r="D110" i="1359"/>
  <c r="D96" i="1359"/>
  <c r="D95" i="1359"/>
  <c r="D94" i="1359"/>
  <c r="D55" i="1359"/>
  <c r="D40" i="1359"/>
  <c r="D36" i="1359"/>
  <c r="D116" i="1358"/>
  <c r="D115" i="1358"/>
  <c r="D98" i="1358"/>
  <c r="D105" i="1358"/>
  <c r="D95" i="1358"/>
  <c r="D94" i="1358"/>
  <c r="D45" i="1358"/>
  <c r="D25" i="1358"/>
  <c r="D24" i="1358"/>
  <c r="D18" i="1358"/>
  <c r="D17" i="1358"/>
  <c r="C22" i="1407" l="1"/>
  <c r="E22" i="1407"/>
  <c r="D116" i="1357"/>
  <c r="D115" i="1357"/>
  <c r="D113" i="1357"/>
  <c r="D112" i="1357"/>
  <c r="D110" i="1357"/>
  <c r="D105" i="1357"/>
  <c r="D96" i="1357"/>
  <c r="D95" i="1357"/>
  <c r="D94" i="1357"/>
  <c r="D55" i="1357"/>
  <c r="D40" i="1357"/>
  <c r="D36" i="1357"/>
  <c r="D25" i="1357"/>
  <c r="D24" i="1357"/>
  <c r="D18" i="1357"/>
  <c r="D17" i="1357"/>
  <c r="J32" i="1381" l="1"/>
  <c r="H20" i="1379"/>
  <c r="H24" i="1379"/>
  <c r="C110" i="1367"/>
  <c r="D110" i="1358"/>
  <c r="M18" i="1379" l="1"/>
  <c r="M9" i="1379"/>
  <c r="O9" i="1379" s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3" i="1367" s="1"/>
  <c r="C97" i="1367"/>
  <c r="C82" i="1367"/>
  <c r="C78" i="1367"/>
  <c r="C76" i="1367"/>
  <c r="C75" i="1367" s="1"/>
  <c r="D75" i="1366" s="1"/>
  <c r="C70" i="1367"/>
  <c r="C67" i="1367"/>
  <c r="C66" i="1367"/>
  <c r="C89" i="1367" s="1"/>
  <c r="C60" i="1367"/>
  <c r="C58" i="1367"/>
  <c r="C55" i="1367"/>
  <c r="C51" i="1367"/>
  <c r="C49" i="1367"/>
  <c r="C47" i="1367"/>
  <c r="C43" i="1367"/>
  <c r="C41" i="1367"/>
  <c r="C40" i="1367"/>
  <c r="C39" i="1367"/>
  <c r="C38" i="1367"/>
  <c r="C37" i="1367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8" i="1366"/>
  <c r="C97" i="1366"/>
  <c r="C93" i="1366"/>
  <c r="C128" i="1366" s="1"/>
  <c r="C154" i="1366" s="1"/>
  <c r="C82" i="1366"/>
  <c r="C78" i="1366"/>
  <c r="C76" i="1366"/>
  <c r="C75" i="1366" s="1"/>
  <c r="C70" i="1366"/>
  <c r="C67" i="1366"/>
  <c r="C66" i="1366"/>
  <c r="C60" i="1366"/>
  <c r="C57" i="1366"/>
  <c r="C55" i="1366" s="1"/>
  <c r="C51" i="1366"/>
  <c r="C49" i="1366" s="1"/>
  <c r="C47" i="1366"/>
  <c r="C41" i="1366"/>
  <c r="C40" i="1366"/>
  <c r="C38" i="1366"/>
  <c r="C37" i="1366" s="1"/>
  <c r="C36" i="1366"/>
  <c r="C34" i="1366"/>
  <c r="C32" i="1366"/>
  <c r="C31" i="1366"/>
  <c r="C30" i="1366"/>
  <c r="C29" i="1366" s="1"/>
  <c r="C22" i="1366"/>
  <c r="C15" i="1366"/>
  <c r="C13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D10" i="1357"/>
  <c r="C65" i="1368" l="1"/>
  <c r="C90" i="1368" s="1"/>
  <c r="C128" i="1367"/>
  <c r="C154" i="1367" s="1"/>
  <c r="D15" i="1366"/>
  <c r="C154" i="1368"/>
  <c r="D89" i="1366"/>
  <c r="D8" i="1366"/>
  <c r="C29" i="1367"/>
  <c r="D29" i="1366" s="1"/>
  <c r="D30" i="1366"/>
  <c r="C65" i="1366"/>
  <c r="C90" i="1366" s="1"/>
  <c r="C89" i="1366"/>
  <c r="D35" i="1357"/>
  <c r="C65" i="1367" l="1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0" i="1381"/>
  <c r="M50" i="1381"/>
  <c r="E49" i="1381"/>
  <c r="J49" i="1381"/>
  <c r="C47" i="1381"/>
  <c r="J47" i="1381"/>
  <c r="C46" i="1381"/>
  <c r="K46" i="1381"/>
  <c r="J46" i="1381"/>
  <c r="J44" i="1381"/>
  <c r="J43" i="1381"/>
  <c r="D41" i="1381"/>
  <c r="C41" i="1381"/>
  <c r="K41" i="1381"/>
  <c r="J41" i="1381"/>
  <c r="K40" i="1381"/>
  <c r="C39" i="1381"/>
  <c r="J39" i="1381"/>
  <c r="D38" i="1355" l="1"/>
  <c r="F38" i="1355"/>
  <c r="E38" i="1355"/>
  <c r="J37" i="1381"/>
  <c r="K37" i="1381"/>
  <c r="K32" i="1381"/>
  <c r="J31" i="1381"/>
  <c r="K30" i="1381"/>
  <c r="J30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1" i="1381"/>
  <c r="F51" i="1381"/>
  <c r="E51" i="1381"/>
  <c r="N51" i="1381"/>
  <c r="M51" i="1381"/>
  <c r="L51" i="1381"/>
  <c r="J14" i="1381" l="1"/>
  <c r="K13" i="1381"/>
  <c r="D51" i="1381"/>
  <c r="K51" i="1381"/>
  <c r="C11" i="1381"/>
  <c r="J11" i="1381"/>
  <c r="C10" i="1381"/>
  <c r="C51" i="1381" s="1"/>
  <c r="J51" i="1381" l="1"/>
  <c r="L52" i="1381"/>
  <c r="O52" i="1381" s="1"/>
  <c r="O47" i="1381"/>
  <c r="O46" i="1381"/>
  <c r="O45" i="1381"/>
  <c r="O44" i="1381"/>
  <c r="O43" i="1381"/>
  <c r="O41" i="1381"/>
  <c r="O40" i="1381"/>
  <c r="O39" i="1381"/>
  <c r="O37" i="1381"/>
  <c r="O36" i="1381"/>
  <c r="O35" i="1381"/>
  <c r="O34" i="1381"/>
  <c r="O32" i="1381"/>
  <c r="O31" i="1381"/>
  <c r="O30" i="1381"/>
  <c r="O28" i="1381"/>
  <c r="O27" i="1381"/>
  <c r="O26" i="1381"/>
  <c r="O17" i="1381"/>
  <c r="O15" i="1381"/>
  <c r="O14" i="1381"/>
  <c r="O13" i="1381"/>
  <c r="O12" i="1381"/>
  <c r="O11" i="1381"/>
  <c r="H50" i="1381"/>
  <c r="H49" i="1381"/>
  <c r="H47" i="1381"/>
  <c r="H46" i="1381"/>
  <c r="H45" i="1381"/>
  <c r="H44" i="1381"/>
  <c r="H43" i="1381"/>
  <c r="H41" i="1381"/>
  <c r="H40" i="1381"/>
  <c r="H39" i="1381"/>
  <c r="H37" i="1381"/>
  <c r="H36" i="1381"/>
  <c r="H35" i="1381"/>
  <c r="H34" i="1381"/>
  <c r="H32" i="1381"/>
  <c r="H31" i="1381"/>
  <c r="H30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1" i="1381" l="1"/>
  <c r="D20" i="1321"/>
  <c r="D23" i="1321"/>
  <c r="B41" i="1402"/>
  <c r="B36" i="1402"/>
  <c r="B26" i="1402"/>
  <c r="I21" i="1379"/>
  <c r="J20" i="1379"/>
  <c r="M19" i="1379"/>
  <c r="J19" i="1379"/>
  <c r="N18" i="1379"/>
  <c r="C13" i="1379"/>
  <c r="J5" i="1379"/>
  <c r="I5" i="1379"/>
  <c r="H5" i="1379"/>
  <c r="M5" i="1379"/>
  <c r="K5" i="1379"/>
  <c r="G5" i="1379"/>
  <c r="F5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B10" i="1364" l="1"/>
  <c r="E44" i="1405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F28" i="1398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D75" i="1364"/>
  <c r="F74" i="1364"/>
  <c r="F73" i="1364"/>
  <c r="F71" i="1364"/>
  <c r="F70" i="1364"/>
  <c r="F69" i="1364"/>
  <c r="F66" i="1364"/>
  <c r="F65" i="1364"/>
  <c r="F64" i="1364"/>
  <c r="F63" i="1364"/>
  <c r="F62" i="1364"/>
  <c r="F61" i="1364"/>
  <c r="F60" i="1364"/>
  <c r="F59" i="1364"/>
  <c r="F58" i="1364"/>
  <c r="F57" i="1364"/>
  <c r="F56" i="1364"/>
  <c r="F55" i="1364"/>
  <c r="F54" i="1364"/>
  <c r="F53" i="1364"/>
  <c r="F52" i="1364"/>
  <c r="F51" i="1364"/>
  <c r="F50" i="1364"/>
  <c r="F49" i="1364"/>
  <c r="F47" i="1364"/>
  <c r="F46" i="1364"/>
  <c r="F45" i="1364"/>
  <c r="F44" i="1364"/>
  <c r="F43" i="1364"/>
  <c r="F42" i="1364"/>
  <c r="F41" i="1364"/>
  <c r="F40" i="1364"/>
  <c r="F39" i="1364"/>
  <c r="F38" i="1364"/>
  <c r="F37" i="1364"/>
  <c r="F36" i="1364"/>
  <c r="F35" i="1364"/>
  <c r="F34" i="1364"/>
  <c r="F33" i="1364"/>
  <c r="F32" i="1364"/>
  <c r="F31" i="1364"/>
  <c r="F30" i="1364"/>
  <c r="F29" i="1364"/>
  <c r="F28" i="1364"/>
  <c r="F27" i="1364"/>
  <c r="F26" i="1364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18" i="1362"/>
  <c r="E29" i="1362" s="1"/>
  <c r="D154" i="1366" l="1"/>
  <c r="D128" i="1366"/>
  <c r="E8" i="1361"/>
  <c r="H88" i="1357" l="1"/>
  <c r="H89" i="1357"/>
  <c r="H90" i="1357"/>
  <c r="H92" i="1357"/>
  <c r="C115" i="1399"/>
  <c r="C96" i="1399"/>
  <c r="C95" i="1399"/>
  <c r="C94" i="1399"/>
  <c r="C40" i="1399"/>
  <c r="C36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28" i="1377"/>
  <c r="D30" i="1377" s="1"/>
  <c r="C153" i="1399" l="1"/>
  <c r="C86" i="1399"/>
  <c r="C159" i="1399" s="1"/>
  <c r="C114" i="1399"/>
  <c r="C93" i="1399"/>
  <c r="C128" i="1399" s="1"/>
  <c r="C154" i="1399" s="1"/>
  <c r="C34" i="1399"/>
  <c r="C62" i="1399"/>
  <c r="F30" i="1398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36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6" i="1358"/>
  <c r="F95" i="1358"/>
  <c r="F9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96" i="1357"/>
  <c r="F95" i="1357"/>
  <c r="F9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115" i="1359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37" i="1358"/>
  <c r="D55" i="1358"/>
  <c r="C118" i="1358"/>
  <c r="D73" i="1358"/>
  <c r="D9" i="1358"/>
  <c r="D8" i="1358"/>
  <c r="D7" i="1358"/>
  <c r="D6" i="1358"/>
  <c r="D142" i="1358"/>
  <c r="D99" i="1358"/>
  <c r="D48" i="1358"/>
  <c r="D44" i="1358"/>
  <c r="D36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D97" i="1357"/>
  <c r="D38" i="1357"/>
  <c r="D117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D3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73" i="1357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C113" i="1357"/>
  <c r="E9" i="1364" l="1"/>
  <c r="B9" i="1364"/>
  <c r="F14" i="1364"/>
  <c r="F15" i="1364"/>
  <c r="F16" i="1364"/>
  <c r="F17" i="1364"/>
  <c r="F18" i="1364"/>
  <c r="F20" i="1364"/>
  <c r="F13" i="1364"/>
  <c r="F12" i="1364"/>
  <c r="B7" i="1364"/>
  <c r="B75" i="1364" s="1"/>
  <c r="E5" i="1364"/>
  <c r="E75" i="1364" l="1"/>
  <c r="C10" i="1372"/>
  <c r="C53" i="1372"/>
  <c r="C49" i="1372"/>
  <c r="C53" i="1370"/>
  <c r="C39" i="1370"/>
  <c r="C14" i="1370"/>
  <c r="C10" i="1370"/>
  <c r="C53" i="1369"/>
  <c r="C39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73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F28" i="1355" l="1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8" i="1372" s="1"/>
  <c r="C37" i="1370"/>
  <c r="D8" i="1369"/>
  <c r="C58" i="1370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7" i="1357" l="1"/>
  <c r="H21" i="1357"/>
  <c r="C27" i="1359"/>
  <c r="E29" i="1361"/>
  <c r="D58" i="1369"/>
  <c r="C42" i="1372"/>
  <c r="D37" i="1369"/>
  <c r="O50" i="1381"/>
  <c r="O49" i="1381"/>
  <c r="N53" i="1381"/>
  <c r="M53" i="1381"/>
  <c r="G53" i="1381"/>
  <c r="F53" i="1381"/>
  <c r="L53" i="1381"/>
  <c r="E53" i="1381"/>
  <c r="J53" i="1381"/>
  <c r="C53" i="1381"/>
  <c r="I13" i="1381"/>
  <c r="I51" i="1381" s="1"/>
  <c r="I53" i="1381" s="1"/>
  <c r="D53" i="1381"/>
  <c r="P26" i="1379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Q17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6" i="1378" s="1"/>
  <c r="E39" i="1378"/>
  <c r="E38" i="1378"/>
  <c r="E37" i="1378"/>
  <c r="G36" i="1378"/>
  <c r="F36" i="1378"/>
  <c r="E33" i="1378"/>
  <c r="E31" i="1378"/>
  <c r="E29" i="1378" s="1"/>
  <c r="E28" i="1378" s="1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F25" i="1364"/>
  <c r="F24" i="1364"/>
  <c r="F23" i="1364"/>
  <c r="F22" i="1364"/>
  <c r="F21" i="1364"/>
  <c r="F11" i="1364"/>
  <c r="F10" i="1364"/>
  <c r="F9" i="1364"/>
  <c r="F8" i="1364"/>
  <c r="F7" i="1364"/>
  <c r="F6" i="1364"/>
  <c r="F5" i="1364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H94" i="1357" l="1"/>
  <c r="H55" i="1357"/>
  <c r="E27" i="1379"/>
  <c r="H35" i="1357"/>
  <c r="I35" i="1357" s="1"/>
  <c r="H96" i="1357"/>
  <c r="I96" i="1357" s="1"/>
  <c r="O51" i="1381"/>
  <c r="O53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F75" i="1364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3" i="1381"/>
  <c r="C27" i="1379"/>
  <c r="O26" i="1379"/>
  <c r="Q26" i="1379" s="1"/>
  <c r="Q9" i="1379"/>
  <c r="F14" i="1379"/>
  <c r="F27" i="1379" s="1"/>
  <c r="Q16" i="1379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O14" i="1379" l="1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C154" i="1360"/>
  <c r="C154" i="1357"/>
  <c r="H53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E32" i="1362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1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<sst xmlns="http://schemas.openxmlformats.org/spreadsheetml/2006/main" count="6312" uniqueCount="953">
  <si>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</si>
  <si>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</si>
  <si>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</si>
  <si>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</si>
  <si>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</si>
  <si>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</si>
  <si>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</si>
  <si>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</si>
  <si>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</si>
  <si>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</si>
  <si>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</si>
  <si>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</si>
  <si>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</si>
  <si>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</si>
  <si>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</si>
  <si>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</si>
  <si>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</si>
  <si>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</si>
  <si>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</si>
  <si>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</si>
  <si>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</si>
  <si>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</si>
  <si>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</si>
  <si>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</si>
  <si>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</si>
  <si>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</si>
  <si>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</si>
  <si>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</si>
  <si>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</si>
  <si>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</si>
  <si>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</si>
  <si>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</si>
  <si>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</si>
  <si>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</si>
  <si>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</si>
  <si>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</si>
  <si>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</si>
  <si>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</si>
  <si>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</si>
  <si>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</si>
  <si>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</si>
  <si>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</si>
  <si>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</si>
  <si>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</si>
  <si>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</si>
  <si>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</si>
  <si>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</si>
  <si>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</si>
  <si>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</si>
  <si>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</si>
  <si>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</si>
  <si>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</si>
  <si>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</si>
  <si>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</si>
  <si>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</si>
  <si>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</si>
  <si>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</si>
  <si>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</si>
  <si>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</si>
  <si>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</si>
  <si>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</si>
  <si>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</si>
  <si>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</si>
  <si>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</si>
  <si>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</si>
  <si>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</si>
  <si>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</si>
  <si>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</si>
  <si>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</si>
  <si>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</si>
  <si>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</si>
  <si>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</si>
  <si>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</si>
  <si>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</si>
  <si>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</si>
  <si>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</si>
  <si>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</si>
  <si>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</si>
  <si>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</si>
  <si>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</si>
  <si>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</si>
  <si>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</si>
  <si>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</si>
  <si>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</si>
  <si>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</si>
  <si>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</si>
  <si>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</si>
  <si>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</si>
  <si>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</si>
  <si>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</si>
  <si>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</si>
  <si>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</si>
  <si>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</si>
  <si>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</si>
  <si>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</si>
  <si>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</si>
  <si>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</si>
  <si>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</si>
  <si>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</si>
  <si>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</si>
  <si>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</si>
  <si>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</si>
  <si>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</si>
  <si>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</si>
  <si>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</si>
  <si>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</si>
  <si>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</si>
  <si>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</si>
  <si>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</si>
  <si>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</si>
  <si>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</si>
  <si>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</si>
  <si>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</si>
  <si>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</si>
  <si>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</si>
  <si>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</si>
  <si>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</si>
  <si>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</si>
  <si>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</si>
  <si>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</si>
  <si>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</si>
  <si>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</si>
  <si>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</si>
  <si>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</si>
  <si>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</si>
  <si>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</si>
  <si>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</si>
  <si>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</si>
  <si>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</si>
  <si>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</si>
  <si>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</si>
  <si>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</si>
  <si>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</si>
  <si>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</si>
  <si>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</si>
  <si>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</si>
  <si>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</si>
  <si>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</si>
  <si>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</si>
  <si>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</si>
  <si>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</si>
  <si>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</si>
  <si>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</si>
  <si>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</si>
  <si>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</si>
  <si>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</si>
  <si>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</si>
  <si>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</si>
  <si>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</si>
  <si>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</si>
  <si>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</si>
  <si>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</si>
  <si>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</si>
  <si>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</si>
  <si>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</si>
  <si>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</si>
  <si>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</si>
  <si>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</si>
  <si>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</si>
  <si>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</si>
  <si>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</si>
  <si>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</si>
  <si>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</si>
  <si>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</si>
  <si>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</si>
  <si>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</si>
  <si>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</si>
  <si>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</si>
  <si>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</si>
  <si>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</si>
  <si>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</si>
  <si>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</si>
  <si>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</si>
  <si>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</si>
  <si>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</si>
  <si>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</si>
  <si>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</si>
  <si>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</si>
  <si>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</si>
  <si>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</si>
  <si>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</si>
  <si>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</si>
  <si>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</si>
  <si>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</si>
  <si>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</si>
  <si>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</si>
  <si>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</si>
  <si>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</si>
  <si>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</si>
  <si>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</si>
  <si>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</si>
  <si>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</si>
  <si>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</si>
  <si>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</si>
  <si>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</si>
  <si>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</si>
  <si>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</si>
  <si>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</si>
  <si>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</si>
  <si>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</si>
  <si>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</si>
  <si>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</si>
  <si>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</si>
  <si>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</si>
  <si>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</si>
  <si>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</si>
  <si>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</si>
  <si>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</si>
  <si>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</si>
  <si>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</si>
  <si>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</si>
  <si>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</si>
  <si>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</si>
  <si>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</si>
  <si>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</si>
  <si>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</si>
  <si>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</si>
  <si>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</si>
  <si>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</si>
  <si>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</si>
  <si>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</si>
  <si>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</si>
  <si>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</si>
  <si>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</si>
  <si>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</si>
  <si>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</si>
  <si>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</si>
  <si>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</si>
  <si>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</si>
  <si>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</si>
  <si>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</si>
  <si>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</si>
  <si>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</si>
  <si>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</si>
  <si>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</si>
  <si>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</si>
  <si>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</si>
  <si>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</si>
  <si>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</si>
  <si>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</si>
  <si>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</si>
  <si>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</si>
  <si>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</si>
  <si>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</si>
  <si>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</si>
  <si>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</si>
  <si>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</si>
  <si>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</si>
  <si>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</si>
  <si>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</si>
  <si>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</si>
  <si>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</si>
  <si>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</si>
  <si>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</si>
  <si>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</si>
  <si>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</si>
  <si>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</si>
  <si>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</si>
  <si>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</si>
  <si>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</si>
  <si>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</si>
  <si>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</si>
  <si>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</si>
  <si>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</si>
  <si>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</si>
  <si>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</si>
  <si>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</si>
  <si>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</si>
  <si>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</si>
  <si>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</si>
  <si>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</si>
  <si>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</si>
  <si>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</si>
  <si>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</si>
  <si>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</si>
  <si>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</si>
  <si>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</si>
  <si>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</si>
  <si>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</si>
  <si>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</si>
  <si>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</si>
  <si>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</si>
  <si>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</si>
  <si>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</si>
  <si>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</si>
  <si>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</si>
  <si>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</si>
  <si>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</si>
  <si>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</si>
  <si>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</si>
  <si>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</si>
  <si>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</si>
  <si>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</si>
  <si>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</si>
  <si>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</si>
  <si>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</si>
  <si>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</si>
  <si>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</si>
  <si>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</si>
  <si>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</si>
  <si>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</si>
  <si>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</si>
  <si>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</si>
  <si>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</si>
  <si>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</si>
  <si>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</si>
  <si>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</si>
  <si>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</si>
  <si>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</si>
  <si>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</si>
  <si>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</si>
  <si>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</si>
  <si>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</si>
  <si>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</si>
  <si>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</si>
  <si>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</si>
  <si>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</si>
  <si>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</si>
  <si>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</si>
  <si>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</si>
  <si>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</si>
  <si>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</si>
  <si>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</si>
  <si>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</si>
  <si>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</si>
  <si>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</si>
  <si>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</si>
  <si>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</si>
  <si>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</si>
  <si>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</si>
  <si>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</si>
  <si>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</si>
  <si>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</si>
  <si>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</si>
  <si>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</si>
  <si>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</si>
  <si>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</si>
  <si>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</si>
  <si>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</si>
  <si>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</si>
  <si>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</si>
  <si>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</si>
  <si>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</si>
  <si>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</si>
  <si>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</si>
  <si>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</si>
  <si>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</si>
  <si>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</si>
  <si>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</si>
  <si>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</si>
  <si>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</si>
  <si>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</si>
  <si>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</si>
  <si>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</si>
  <si>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</si>
  <si>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</si>
  <si>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</si>
  <si>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</si>
  <si>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</si>
  <si>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</si>
  <si>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</si>
  <si>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</si>
  <si>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</si>
  <si>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</si>
  <si>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</si>
  <si>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</si>
  <si>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</si>
  <si>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</si>
  <si>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</si>
  <si>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</si>
  <si>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</si>
  <si>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</si>
  <si>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</si>
  <si>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</si>
  <si>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</si>
  <si>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</si>
  <si>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</si>
  <si>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</si>
  <si>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</si>
  <si>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</si>
  <si>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</si>
  <si>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</si>
  <si>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</si>
  <si>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</si>
  <si>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</si>
  <si>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</si>
  <si>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</si>
  <si>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</si>
  <si>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</si>
  <si>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</si>
  <si>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</si>
  <si>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</si>
  <si>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</si>
  <si>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</si>
  <si>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</si>
  <si>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</si>
  <si>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</si>
  <si>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</si>
  <si>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</si>
  <si>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</si>
  <si>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</si>
  <si>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</si>
  <si>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</si>
  <si>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</si>
  <si>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</si>
  <si>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</si>
  <si>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</si>
  <si>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</si>
  <si>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</si>
  <si>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</si>
  <si>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</si>
  <si>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</si>
  <si>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</si>
  <si>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</si>
  <si>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</si>
  <si>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</si>
  <si>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</si>
  <si>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</si>
  <si>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</si>
  <si>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</si>
  <si>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</si>
  <si>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</si>
  <si>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</si>
  <si>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</si>
  <si>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</si>
  <si>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</si>
  <si>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</si>
  <si>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</si>
  <si>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</si>
  <si>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</si>
  <si>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</si>
  <si>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</si>
  <si>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</si>
  <si>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</si>
  <si>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</si>
  <si>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</si>
  <si>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</si>
  <si>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</si>
  <si>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</si>
  <si>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</si>
  <si>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</si>
  <si>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</si>
  <si>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</si>
  <si>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</si>
  <si>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</si>
  <si>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</si>
  <si>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</si>
  <si>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</si>
  <si>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</si>
  <si>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</si>
  <si>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</si>
  <si>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</si>
  <si>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</si>
  <si>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</si>
  <si>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</si>
  <si>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</si>
  <si>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</si>
  <si>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</si>
  <si>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</si>
  <si>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</si>
  <si>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</si>
  <si>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</si>
  <si>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</si>
  <si>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</si>
  <si>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</si>
  <si>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</si>
  <si>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</si>
  <si>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</si>
  <si>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</si>
  <si>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</si>
  <si>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</si>
  <si>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</si>
  <si>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</si>
  <si>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</si>
  <si>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</si>
  <si>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</si>
  <si>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</si>
  <si>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</si>
  <si>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</si>
  <si>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</si>
  <si>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</si>
  <si>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</si>
  <si>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</si>
  <si>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</si>
  <si>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</si>
  <si>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</si>
  <si>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</si>
  <si>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</si>
  <si>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</si>
  <si>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</si>
  <si>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</si>
  <si>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</si>
  <si>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</si>
  <si>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</si>
  <si>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</si>
  <si>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</si>
  <si>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</si>
  <si>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</si>
  <si>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</si>
  <si>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</si>
  <si>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</si>
  <si>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</si>
  <si>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</si>
  <si>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</si>
  <si>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</si>
  <si>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</si>
  <si>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</si>
  <si>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</si>
  <si>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</si>
  <si>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</si>
  <si>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</si>
  <si>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</si>
  <si>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</si>
  <si>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</si>
  <si>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</si>
  <si>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</si>
  <si>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</si>
  <si>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</si>
  <si>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</si>
  <si>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</si>
  <si>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</si>
  <si>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</si>
  <si>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</si>
  <si>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</si>
  <si>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</si>
  <si>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</si>
  <si>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</si>
  <si>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</si>
  <si>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</si>
  <si>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</si>
  <si>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</si>
  <si>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</si>
  <si>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</si>
  <si>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</si>
  <si>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</si>
  <si>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</si>
  <si>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</si>
  <si>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</si>
  <si>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</si>
  <si>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</si>
  <si>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</si>
  <si>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</si>
  <si>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</si>
  <si>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</si>
  <si>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</si>
  <si>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</si>
  <si>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</si>
  <si>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</si>
  <si>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</si>
  <si>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</si>
  <si>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</si>
  <si>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</si>
  <si>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</si>
  <si>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</si>
  <si>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</si>
  <si>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</si>
  <si>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</si>
  <si>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</si>
  <si>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</si>
  <si>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</si>
  <si>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</si>
  <si>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</si>
  <si>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</si>
  <si>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</si>
  <si>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</si>
  <si>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</si>
  <si>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</si>
  <si>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</si>
  <si>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</si>
  <si>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</si>
  <si>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</si>
  <si>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</si>
  <si>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</si>
  <si>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</si>
  <si>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</si>
  <si>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</si>
  <si>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</si>
  <si>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</si>
  <si>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</si>
  <si>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</si>
  <si>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</si>
  <si>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</si>
  <si>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</si>
  <si>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</si>
  <si>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</si>
  <si>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</si>
  <si>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</si>
  <si>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</si>
  <si>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</si>
  <si>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</si>
  <si>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</si>
  <si>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</si>
  <si>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</si>
  <si>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</si>
  <si>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</si>
  <si>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</si>
  <si>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</si>
  <si>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</si>
  <si>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</si>
  <si>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</si>
  <si>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</si>
  <si>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</si>
  <si>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</si>
  <si>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</si>
  <si>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</si>
  <si>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</si>
  <si>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</si>
  <si>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</si>
  <si>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</si>
  <si>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</si>
  <si>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</si>
  <si>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</si>
  <si>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</si>
  <si>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</si>
  <si>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</si>
  <si>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</si>
  <si>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</si>
  <si>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</si>
  <si>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</si>
  <si>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</si>
  <si>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</si>
  <si>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</si>
  <si>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</si>
  <si>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</si>
  <si>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</si>
  <si>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</si>
  <si>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</si>
  <si>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</si>
  <si>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</si>
  <si>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</si>
  <si>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</si>
  <si>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</si>
  <si>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</si>
  <si>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</si>
  <si>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</si>
  <si>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</si>
  <si>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</si>
  <si>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</si>
  <si>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</si>
  <si>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</si>
  <si>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</si>
  <si>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</si>
  <si>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</si>
  <si>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</si>
  <si>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</si>
  <si>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</si>
  <si>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</si>
  <si>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</si>
  <si>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</si>
  <si>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</si>
  <si>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</si>
  <si>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</si>
  <si>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</si>
  <si>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</si>
  <si>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</si>
  <si>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</si>
  <si>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</si>
  <si>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</si>
  <si>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</si>
  <si>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</si>
  <si>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</si>
  <si>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</si>
  <si>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</si>
  <si>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</si>
  <si>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</si>
  <si>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</si>
  <si>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</si>
  <si>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</si>
  <si>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</si>
  <si>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</si>
  <si>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</si>
  <si>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</si>
  <si>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</si>
  <si>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</si>
  <si>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</si>
  <si>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</si>
  <si>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</si>
  <si>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</si>
  <si>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</si>
  <si>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</si>
  <si>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</si>
  <si>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</si>
  <si>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</si>
  <si>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</si>
  <si>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</si>
  <si>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</si>
  <si>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</si>
  <si>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</si>
  <si>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</si>
  <si>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</si>
  <si>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</si>
  <si>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</si>
  <si>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</si>
  <si>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</si>
  <si>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</si>
  <si>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</si>
  <si>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</si>
  <si>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</si>
  <si>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</si>
  <si>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</si>
  <si>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</si>
  <si>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</si>
  <si>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</si>
  <si>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</si>
  <si>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</si>
  <si>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</si>
  <si>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</si>
  <si>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</si>
  <si>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</si>
  <si>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</si>
  <si>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</si>
  <si>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</si>
  <si>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</si>
  <si>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</si>
  <si>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</si>
  <si>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</si>
  <si>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</si>
  <si>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</si>
  <si>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</si>
  <si>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</si>
  <si>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</si>
  <si>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</si>
  <si>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</si>
  <si>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</si>
  <si>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</si>
  <si>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</si>
  <si>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</si>
  <si>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</si>
  <si>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</si>
  <si>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</si>
  <si>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</si>
  <si>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</si>
  <si>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</si>
  <si>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</si>
  <si>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</si>
  <si>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</si>
  <si>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</si>
  <si>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</si>
  <si>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</si>
  <si>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</si>
  <si>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</si>
  <si>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</si>
  <si>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</si>
  <si>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</si>
  <si>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</si>
  <si>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</si>
  <si>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</si>
  <si>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</si>
  <si>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</si>
  <si>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</si>
  <si>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</si>
  <si>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</si>
  <si>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</si>
  <si>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</si>
  <si>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</si>
  <si>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</si>
  <si>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</si>
  <si>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</si>
  <si>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</si>
  <si>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Intézmények összesen</t>
  </si>
  <si>
    <t>Intézmény összesen köz- és pályázat keretében fogl. nélkül</t>
  </si>
  <si>
    <t>Mindösszesen: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</si>
  <si>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</si>
  <si>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</si>
  <si>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</si>
  <si>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</si>
  <si>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</si>
  <si>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</si>
  <si>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</si>
  <si>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</si>
  <si>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</si>
  <si>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</si>
  <si>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</si>
  <si>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</si>
  <si>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</si>
  <si>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</si>
  <si>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</si>
  <si>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</si>
  <si>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</si>
  <si>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</si>
  <si>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</si>
  <si>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</si>
  <si>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</si>
  <si>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</si>
  <si>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</si>
  <si>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</si>
  <si>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</si>
  <si>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</si>
  <si>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</si>
  <si>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</si>
  <si>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</si>
  <si>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</si>
  <si>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</si>
  <si>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</si>
  <si>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</si>
  <si>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</si>
  <si>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</si>
  <si>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</si>
  <si>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</si>
  <si>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</si>
  <si>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</si>
  <si>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</si>
  <si>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</si>
  <si>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</si>
  <si>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</si>
  <si>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</si>
  <si>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</si>
  <si>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</si>
  <si>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</si>
  <si>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</si>
  <si>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</si>
  <si>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</si>
  <si>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</si>
  <si>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</si>
  <si>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</si>
  <si>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</si>
  <si>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</si>
  <si>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</si>
  <si>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</si>
  <si>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</si>
  <si>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 xml:space="preserve"> 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</si>
  <si>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</si>
  <si>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</si>
  <si>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</si>
  <si>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</si>
  <si>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</si>
  <si>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</si>
  <si>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</si>
  <si>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</si>
  <si>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</si>
  <si>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</si>
  <si>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</si>
  <si>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</si>
  <si>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</si>
  <si>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</si>
  <si>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</si>
  <si>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</si>
  <si>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</si>
  <si>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</si>
  <si>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</si>
  <si>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</si>
  <si>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</si>
  <si>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</si>
  <si>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</si>
  <si>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</si>
  <si>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</si>
  <si>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</si>
  <si>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</si>
  <si>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</si>
  <si>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</si>
  <si>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</si>
  <si>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</si>
  <si>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</si>
  <si>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</si>
  <si>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</si>
  <si>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</si>
  <si>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</si>
  <si>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</si>
  <si>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</si>
  <si>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</si>
  <si>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</si>
  <si>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</si>
  <si>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</si>
  <si>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</si>
  <si>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</si>
  <si>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</si>
  <si>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</si>
  <si>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</si>
  <si>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</si>
  <si>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</si>
  <si>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</si>
  <si>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</si>
  <si>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</si>
  <si>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</si>
  <si>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</si>
  <si>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</si>
  <si>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</si>
  <si>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</si>
  <si>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</si>
  <si>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</si>
  <si>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</si>
  <si>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</si>
  <si>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</si>
  <si>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</si>
  <si>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</si>
  <si>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</si>
  <si>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</si>
  <si>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</si>
  <si>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</si>
  <si>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</si>
  <si>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</si>
  <si>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</si>
  <si>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</si>
  <si>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</si>
  <si>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</si>
  <si>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</si>
  <si>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</si>
  <si>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</si>
  <si>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</si>
  <si>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</si>
  <si>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</si>
  <si>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</si>
  <si>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</si>
  <si>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</si>
  <si>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</si>
  <si>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</si>
  <si>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</si>
  <si>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</si>
  <si>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</si>
  <si>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</si>
  <si>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</si>
  <si>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</si>
  <si>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</si>
  <si>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</si>
  <si>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</si>
  <si>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</si>
  <si>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</si>
  <si>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</si>
  <si>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</si>
  <si>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</si>
  <si>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</si>
  <si>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</si>
  <si>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</si>
  <si>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</si>
  <si>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</si>
  <si>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</si>
  <si>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</si>
  <si>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</si>
  <si>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</si>
  <si>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</si>
  <si>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</si>
  <si>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</si>
  <si>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</si>
  <si>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</si>
  <si>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</si>
  <si>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</si>
  <si>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</si>
  <si>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</si>
  <si>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</si>
  <si>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</si>
  <si>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</si>
  <si>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</si>
  <si>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</si>
  <si>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</si>
  <si>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</si>
  <si>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</si>
  <si>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</si>
  <si>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</si>
  <si>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</si>
  <si>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</si>
  <si>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</si>
  <si>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</si>
  <si>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-      - pályázat keretében fogl. Létszáma április 1-től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</si>
</sst>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_ ;\-#,##0.0\ "/>
    <numFmt numFmtId="167" formatCode="_-* #,##0.0\ _F_t_-;\-* #,##0.0\ _F_t_-;_-* &quot;-&quot;??\ _F_t_-;_-@_-"/>
    <numFmt numFmtId="168" formatCode="#,##0.0"/>
  </numFmts>
  <fonts count="10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456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0" fillId="0" borderId="0" xfId="0" applyNumberFormat="1" applyFill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  <protection locked="0"/>
    </xf>
    <xf numFmtId="164" fontId="31" fillId="0" borderId="0" xfId="0" applyNumberFormat="1" applyFont="1" applyFill="1" applyAlignment="1">
      <alignment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5" fontId="45" fillId="0" borderId="0" xfId="18" applyNumberFormat="1" applyFont="1"/>
    <xf numFmtId="0" fontId="48" fillId="0" borderId="0" xfId="0" applyFont="1" applyFill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4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5" fontId="9" fillId="0" borderId="0" xfId="26" applyNumberFormat="1" applyFont="1" applyAlignment="1">
      <alignment horizontal="center"/>
    </xf>
    <xf numFmtId="165" fontId="15" fillId="0" borderId="0" xfId="26" applyNumberFormat="1" applyFont="1"/>
    <xf numFmtId="165" fontId="3" fillId="0" borderId="0" xfId="26" applyNumberFormat="1" applyFont="1"/>
    <xf numFmtId="165" fontId="47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5" fillId="0" borderId="0" xfId="26" applyNumberFormat="1" applyFont="1" applyBorder="1" applyAlignment="1"/>
    <xf numFmtId="0" fontId="1" fillId="0" borderId="72" xfId="20" applyFont="1" applyBorder="1"/>
    <xf numFmtId="165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5" fontId="24" fillId="0" borderId="46" xfId="26" applyNumberFormat="1" applyFont="1" applyBorder="1"/>
    <xf numFmtId="0" fontId="1" fillId="0" borderId="36" xfId="20" applyFont="1" applyBorder="1"/>
    <xf numFmtId="165" fontId="24" fillId="0" borderId="29" xfId="26" applyNumberFormat="1" applyFont="1" applyBorder="1"/>
    <xf numFmtId="165" fontId="24" fillId="0" borderId="73" xfId="26" applyNumberFormat="1" applyFont="1" applyBorder="1"/>
    <xf numFmtId="165" fontId="24" fillId="0" borderId="53" xfId="26" applyNumberFormat="1" applyFont="1" applyBorder="1"/>
    <xf numFmtId="165" fontId="24" fillId="0" borderId="34" xfId="26" applyNumberFormat="1" applyFont="1" applyBorder="1"/>
    <xf numFmtId="165" fontId="24" fillId="0" borderId="35" xfId="26" applyNumberFormat="1" applyFont="1" applyBorder="1"/>
    <xf numFmtId="165" fontId="24" fillId="0" borderId="44" xfId="26" applyNumberFormat="1" applyFont="1" applyBorder="1"/>
    <xf numFmtId="165" fontId="31" fillId="0" borderId="44" xfId="26" applyNumberFormat="1" applyFont="1" applyBorder="1"/>
    <xf numFmtId="165" fontId="12" fillId="0" borderId="71" xfId="26" quotePrefix="1" applyNumberFormat="1" applyFont="1" applyBorder="1"/>
    <xf numFmtId="165" fontId="12" fillId="0" borderId="57" xfId="26" quotePrefix="1" applyNumberFormat="1" applyFont="1" applyBorder="1"/>
    <xf numFmtId="165" fontId="12" fillId="0" borderId="57" xfId="26" applyNumberFormat="1" applyFont="1" applyBorder="1"/>
    <xf numFmtId="165" fontId="24" fillId="0" borderId="43" xfId="26" applyNumberFormat="1" applyFont="1" applyBorder="1"/>
    <xf numFmtId="165" fontId="24" fillId="0" borderId="0" xfId="26" applyNumberFormat="1" applyFont="1" applyBorder="1"/>
    <xf numFmtId="165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6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4" fontId="29" fillId="0" borderId="40" xfId="21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6" fillId="0" borderId="0" xfId="0" applyNumberFormat="1" applyFont="1" applyFill="1" applyAlignment="1" applyProtection="1">
      <alignment horizontal="right" wrapText="1"/>
    </xf>
    <xf numFmtId="164" fontId="75" fillId="0" borderId="13" xfId="0" applyNumberFormat="1" applyFont="1" applyFill="1" applyBorder="1" applyAlignment="1" applyProtection="1">
      <alignment horizontal="center" vertical="center" wrapText="1"/>
    </xf>
    <xf numFmtId="164" fontId="75" fillId="0" borderId="14" xfId="0" applyNumberFormat="1" applyFont="1" applyFill="1" applyBorder="1" applyAlignment="1" applyProtection="1">
      <alignment horizontal="center" vertical="center" wrapText="1"/>
    </xf>
    <xf numFmtId="164" fontId="75" fillId="0" borderId="19" xfId="0" applyNumberFormat="1" applyFont="1" applyFill="1" applyBorder="1" applyAlignment="1" applyProtection="1">
      <alignment horizontal="center" vertical="center" wrapText="1"/>
    </xf>
    <xf numFmtId="164" fontId="58" fillId="0" borderId="0" xfId="0" applyNumberFormat="1" applyFont="1" applyFill="1" applyAlignment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73" fillId="0" borderId="0" xfId="0" applyNumberFormat="1" applyFont="1" applyFill="1" applyAlignment="1">
      <alignment vertical="center" wrapText="1"/>
    </xf>
    <xf numFmtId="164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4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0" fontId="82" fillId="0" borderId="29" xfId="0" quotePrefix="1" applyFont="1" applyFill="1" applyBorder="1" applyAlignment="1">
      <alignment vertical="center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0" xfId="0" applyNumberFormat="1" applyFont="1" applyFill="1" applyAlignment="1">
      <alignment horizontal="center" vertical="center" wrapText="1"/>
    </xf>
    <xf numFmtId="3" fontId="29" fillId="0" borderId="2" xfId="26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4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5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5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5" fontId="29" fillId="0" borderId="53" xfId="26" applyNumberFormat="1" applyFont="1" applyFill="1" applyBorder="1" applyProtection="1">
      <protection locked="0"/>
    </xf>
    <xf numFmtId="165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4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4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164" fontId="22" fillId="0" borderId="41" xfId="21" applyNumberFormat="1" applyFont="1" applyFill="1" applyBorder="1" applyAlignment="1" applyProtection="1">
      <alignment horizontal="right" vertical="center" wrapText="1" indent="1"/>
    </xf>
    <xf numFmtId="164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4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 applyFont="1" applyFill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centerContinuous" vertical="center" wrapText="1"/>
    </xf>
    <xf numFmtId="164" fontId="30" fillId="0" borderId="14" xfId="0" applyNumberFormat="1" applyFont="1" applyFill="1" applyBorder="1" applyAlignment="1" applyProtection="1">
      <alignment horizontal="centerContinuous" vertical="center" wrapText="1"/>
    </xf>
    <xf numFmtId="164" fontId="30" fillId="0" borderId="19" xfId="0" applyNumberFormat="1" applyFont="1" applyFill="1" applyBorder="1" applyAlignment="1" applyProtection="1">
      <alignment horizontal="centerContinuous" vertical="center" wrapText="1"/>
    </xf>
    <xf numFmtId="164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4" fontId="30" fillId="0" borderId="19" xfId="0" applyNumberFormat="1" applyFont="1" applyFill="1" applyBorder="1" applyAlignment="1" applyProtection="1">
      <alignment horizontal="center" vertical="center" wrapText="1"/>
    </xf>
    <xf numFmtId="164" fontId="0" fillId="0" borderId="41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ont="1" applyFill="1" applyBorder="1" applyAlignment="1" applyProtection="1">
      <alignment horizontal="left" vertical="center" wrapText="1" indent="1"/>
    </xf>
    <xf numFmtId="164" fontId="29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5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5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5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5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5" fontId="20" fillId="0" borderId="19" xfId="26" applyNumberFormat="1" applyFont="1" applyFill="1" applyBorder="1" applyProtection="1"/>
    <xf numFmtId="164" fontId="0" fillId="0" borderId="0" xfId="0" applyNumberFormat="1" applyFont="1" applyFill="1" applyAlignment="1" applyProtection="1">
      <alignment horizontal="center" vertical="center" wrapText="1"/>
    </xf>
    <xf numFmtId="164" fontId="32" fillId="0" borderId="0" xfId="0" applyNumberFormat="1" applyFont="1" applyFill="1" applyAlignment="1" applyProtection="1">
      <alignment horizontal="right" wrapText="1"/>
    </xf>
    <xf numFmtId="164" fontId="30" fillId="0" borderId="14" xfId="0" applyNumberFormat="1" applyFont="1" applyFill="1" applyBorder="1" applyAlignment="1" applyProtection="1">
      <alignment horizontal="center" vertical="center" wrapText="1"/>
    </xf>
    <xf numFmtId="164" fontId="28" fillId="0" borderId="7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40" xfId="0" applyNumberFormat="1" applyFont="1" applyFill="1" applyBorder="1" applyAlignment="1" applyProtection="1">
      <alignment horizontal="center" vertical="center" wrapText="1"/>
    </xf>
    <xf numFmtId="164" fontId="30" fillId="0" borderId="18" xfId="0" applyNumberFormat="1" applyFont="1" applyFill="1" applyBorder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left" vertical="center" wrapText="1"/>
    </xf>
    <xf numFmtId="164" fontId="30" fillId="0" borderId="14" xfId="0" applyNumberFormat="1" applyFont="1" applyFill="1" applyBorder="1" applyAlignment="1" applyProtection="1">
      <alignment vertical="center" wrapText="1"/>
    </xf>
    <xf numFmtId="164" fontId="30" fillId="7" borderId="14" xfId="0" applyNumberFormat="1" applyFont="1" applyFill="1" applyBorder="1" applyAlignment="1" applyProtection="1">
      <alignment vertical="center" wrapText="1"/>
    </xf>
    <xf numFmtId="164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8" fillId="0" borderId="2" xfId="26" applyNumberFormat="1" applyFont="1" applyBorder="1" applyAlignment="1">
      <alignment horizontal="right"/>
    </xf>
    <xf numFmtId="3" fontId="27" fillId="0" borderId="0" xfId="25" applyNumberFormat="1" applyFont="1"/>
    <xf numFmtId="3" fontId="41" fillId="0" borderId="0" xfId="25" applyNumberFormat="1" applyFont="1"/>
    <xf numFmtId="165" fontId="31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4" fontId="29" fillId="0" borderId="9" xfId="28" applyNumberFormat="1" applyFont="1" applyFill="1" applyBorder="1" applyAlignment="1" applyProtection="1">
      <alignment vertical="center" wrapText="1"/>
      <protection locked="0"/>
    </xf>
    <xf numFmtId="164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Fill="1" applyBorder="1" applyAlignment="1" applyProtection="1">
      <alignment vertical="center" wrapText="1"/>
      <protection locked="0"/>
    </xf>
    <xf numFmtId="164" fontId="31" fillId="0" borderId="17" xfId="0" applyNumberFormat="1" applyFont="1" applyFill="1" applyBorder="1" applyAlignment="1" applyProtection="1">
      <alignment vertical="center" wrapText="1"/>
    </xf>
    <xf numFmtId="164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164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8" xfId="0" applyNumberFormat="1" applyFont="1" applyFill="1" applyBorder="1" applyAlignment="1" applyProtection="1">
      <alignment vertical="center" wrapText="1"/>
    </xf>
    <xf numFmtId="164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3" xfId="0" applyNumberFormat="1" applyFont="1" applyFill="1" applyBorder="1" applyAlignment="1" applyProtection="1">
      <alignment vertical="center" wrapText="1"/>
      <protection locked="0"/>
    </xf>
    <xf numFmtId="164" fontId="68" fillId="0" borderId="20" xfId="0" applyNumberFormat="1" applyFont="1" applyFill="1" applyBorder="1" applyAlignment="1" applyProtection="1">
      <alignment vertical="center" wrapText="1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164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4" fontId="12" fillId="0" borderId="0" xfId="21" applyNumberFormat="1" applyFont="1" applyFill="1" applyProtection="1"/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0" fontId="31" fillId="0" borderId="34" xfId="25" applyFont="1" applyBorder="1"/>
    <xf numFmtId="2" fontId="20" fillId="0" borderId="27" xfId="25" applyNumberFormat="1" applyFont="1" applyBorder="1"/>
    <xf numFmtId="3" fontId="20" fillId="0" borderId="0" xfId="25" applyNumberFormat="1" applyFont="1" applyBorder="1"/>
    <xf numFmtId="0" fontId="31" fillId="0" borderId="27" xfId="25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4" fontId="29" fillId="0" borderId="8" xfId="0" applyNumberFormat="1" applyFont="1" applyFill="1" applyBorder="1" applyAlignment="1" applyProtection="1">
      <alignment horizontal="left" vertical="center" wrapText="1" indent="3"/>
    </xf>
    <xf numFmtId="165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4" xfId="0" applyNumberFormat="1" applyFont="1" applyFill="1" applyBorder="1" applyAlignment="1" applyProtection="1">
      <alignment vertical="center" wrapText="1"/>
      <protection locked="0"/>
    </xf>
    <xf numFmtId="164" fontId="82" fillId="0" borderId="17" xfId="0" applyNumberFormat="1" applyFont="1" applyFill="1" applyBorder="1" applyAlignment="1" applyProtection="1">
      <alignment vertical="center" wrapText="1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4" fontId="81" fillId="0" borderId="34" xfId="0" applyNumberFormat="1" applyFont="1" applyFill="1" applyBorder="1" applyAlignment="1" applyProtection="1">
      <alignment horizontal="left" vertical="center" wrapText="1"/>
    </xf>
    <xf numFmtId="164" fontId="81" fillId="0" borderId="27" xfId="0" applyNumberFormat="1" applyFont="1" applyFill="1" applyBorder="1" applyAlignment="1" applyProtection="1">
      <alignment vertical="center" wrapText="1"/>
    </xf>
    <xf numFmtId="164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4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1" xfId="0" applyNumberFormat="1" applyFont="1" applyFill="1" applyBorder="1" applyAlignment="1" applyProtection="1">
      <alignment vertical="center" wrapText="1"/>
      <protection locked="0"/>
    </xf>
    <xf numFmtId="164" fontId="29" fillId="0" borderId="22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>
      <alignment vertical="center" wrapText="1"/>
    </xf>
    <xf numFmtId="164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2" xfId="28" applyNumberFormat="1" applyFont="1" applyFill="1" applyBorder="1" applyAlignment="1" applyProtection="1">
      <alignment vertical="center" wrapText="1"/>
      <protection locked="0"/>
    </xf>
    <xf numFmtId="164" fontId="68" fillId="0" borderId="22" xfId="0" applyNumberFormat="1" applyFont="1" applyFill="1" applyBorder="1" applyAlignment="1">
      <alignment vertical="center" wrapText="1"/>
    </xf>
    <xf numFmtId="164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1" xfId="0" applyNumberFormat="1" applyFont="1" applyFill="1" applyBorder="1" applyAlignment="1" applyProtection="1">
      <alignment vertical="center" wrapText="1"/>
      <protection locked="0"/>
    </xf>
    <xf numFmtId="164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4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4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164" fontId="30" fillId="0" borderId="17" xfId="0" applyNumberFormat="1" applyFont="1" applyFill="1" applyBorder="1" applyAlignment="1" applyProtection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8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4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5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4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28" applyNumberFormat="1" applyFont="1" applyFill="1" applyBorder="1" applyAlignment="1" applyProtection="1">
      <alignment vertical="center" wrapText="1"/>
      <protection locked="0"/>
    </xf>
    <xf numFmtId="164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4" fontId="20" fillId="0" borderId="58" xfId="0" applyNumberFormat="1" applyFont="1" applyFill="1" applyBorder="1" applyAlignment="1" applyProtection="1">
      <alignment horizontal="center" vertical="center" wrapText="1"/>
    </xf>
    <xf numFmtId="164" fontId="20" fillId="0" borderId="42" xfId="0" applyNumberFormat="1" applyFont="1" applyFill="1" applyBorder="1" applyAlignment="1" applyProtection="1">
      <alignment horizontal="center" vertical="center" wrapText="1"/>
    </xf>
    <xf numFmtId="164" fontId="20" fillId="0" borderId="75" xfId="0" applyNumberFormat="1" applyFont="1" applyFill="1" applyBorder="1" applyAlignment="1" applyProtection="1">
      <alignment horizontal="center" vertical="center" wrapText="1"/>
    </xf>
    <xf numFmtId="164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4" fontId="29" fillId="0" borderId="1" xfId="0" applyNumberFormat="1" applyFont="1" applyFill="1" applyBorder="1" applyAlignment="1" applyProtection="1">
      <alignment horizontal="left" vertical="center" wrapText="1" indent="1"/>
    </xf>
    <xf numFmtId="165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0" fillId="0" borderId="5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4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1" fillId="0" borderId="41" xfId="19" applyNumberFormat="1" applyFont="1" applyBorder="1"/>
    <xf numFmtId="0" fontId="15" fillId="0" borderId="0" xfId="21" applyFont="1" applyFill="1" applyBorder="1" applyProtection="1"/>
    <xf numFmtId="164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21" applyNumberFormat="1" applyFont="1" applyFill="1" applyBorder="1" applyAlignment="1" applyProtection="1">
      <alignment horizontal="right" vertical="center" wrapText="1" indent="1"/>
    </xf>
    <xf numFmtId="164" fontId="64" fillId="0" borderId="22" xfId="21" applyNumberFormat="1" applyFont="1" applyFill="1" applyBorder="1" applyAlignment="1" applyProtection="1">
      <alignment horizontal="right" vertical="center" wrapText="1" indent="1"/>
    </xf>
    <xf numFmtId="164" fontId="64" fillId="0" borderId="20" xfId="21" applyNumberFormat="1" applyFont="1" applyFill="1" applyBorder="1" applyAlignment="1" applyProtection="1">
      <alignment horizontal="center" vertical="center" wrapText="1"/>
    </xf>
    <xf numFmtId="164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24" fillId="0" borderId="24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7" fillId="0" borderId="2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4" fontId="85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164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35" xfId="19" applyNumberFormat="1" applyFont="1" applyBorder="1" applyAlignment="1">
      <alignment horizontal="center"/>
    </xf>
    <xf numFmtId="49" fontId="32" fillId="0" borderId="44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50" fillId="0" borderId="0" xfId="22" applyFont="1" applyFill="1" applyAlignment="1">
      <alignment horizontal="center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47" fillId="0" borderId="0" xfId="25" applyFont="1" applyAlignment="1">
      <alignment horizontal="center" vertical="center" wrapText="1"/>
    </xf>
    <xf numFmtId="164" fontId="64" fillId="0" borderId="23" xfId="21" applyNumberFormat="1" applyFont="1" applyFill="1" applyBorder="1" applyAlignment="1" applyProtection="1">
      <alignment horizontal="right" vertical="center" wrapText="1" indent="1"/>
    </xf>
    <xf numFmtId="164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56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10" xfId="28" applyNumberFormat="1" applyFont="1" applyFill="1" applyBorder="1" applyAlignment="1" applyProtection="1">
      <alignment vertical="center" wrapText="1"/>
      <protection locked="0"/>
    </xf>
    <xf numFmtId="49" fontId="6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6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>
      <alignment vertical="center" wrapText="1"/>
    </xf>
    <xf numFmtId="0" fontId="97" fillId="0" borderId="0" xfId="0" applyFont="1" applyFill="1" applyAlignment="1" applyProtection="1">
      <alignment horizontal="center" wrapText="1"/>
    </xf>
    <xf numFmtId="0" fontId="73" fillId="0" borderId="0" xfId="0" applyFont="1" applyFill="1" applyProtection="1"/>
    <xf numFmtId="0" fontId="98" fillId="0" borderId="0" xfId="0" applyFont="1" applyFill="1" applyBorder="1" applyAlignment="1" applyProtection="1">
      <alignment horizontal="right"/>
    </xf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4" fontId="6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9" xfId="0" applyNumberFormat="1" applyFont="1" applyFill="1" applyBorder="1" applyAlignment="1" applyProtection="1">
      <alignment horizontal="right" vertical="center" wrapText="1" indent="1"/>
    </xf>
    <xf numFmtId="164" fontId="64" fillId="0" borderId="44" xfId="0" applyNumberFormat="1" applyFont="1" applyFill="1" applyBorder="1" applyAlignment="1" applyProtection="1">
      <alignment horizontal="right" vertical="center" wrapText="1" indent="1"/>
    </xf>
    <xf numFmtId="164" fontId="100" fillId="0" borderId="44" xfId="0" applyNumberFormat="1" applyFont="1" applyFill="1" applyBorder="1" applyAlignment="1" applyProtection="1">
      <alignment horizontal="right" vertical="center" wrapText="1" indent="1"/>
    </xf>
    <xf numFmtId="164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12" xfId="0" applyFont="1" applyFill="1" applyBorder="1" applyAlignment="1" applyProtection="1">
      <alignment horizontal="left" vertical="center" wrapText="1"/>
    </xf>
    <xf numFmtId="0" fontId="65" fillId="0" borderId="21" xfId="0" applyFont="1" applyFill="1" applyBorder="1" applyAlignment="1" applyProtection="1">
      <alignment horizontal="left" vertical="center" wrapText="1"/>
    </xf>
    <xf numFmtId="43" fontId="65" fillId="0" borderId="22" xfId="27" applyFont="1" applyFill="1" applyBorder="1" applyAlignment="1" applyProtection="1">
      <alignment vertical="center" wrapText="1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9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0" xfId="0" applyNumberFormat="1" applyFont="1" applyFill="1" applyBorder="1" applyAlignment="1" applyProtection="1">
      <alignment horizontal="right" vertical="center" wrapText="1" indent="1"/>
    </xf>
    <xf numFmtId="0" fontId="96" fillId="0" borderId="0" xfId="0" applyFont="1" applyFill="1" applyAlignment="1" applyProtection="1">
      <alignment horizontal="right" vertical="center" wrapText="1" indent="1"/>
    </xf>
    <xf numFmtId="164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Alignment="1" applyProtection="1">
      <alignment horizontal="right" vertical="center" wrapText="1" indent="1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5" fontId="65" fillId="0" borderId="44" xfId="26" applyNumberFormat="1" applyFont="1" applyBorder="1"/>
    <xf numFmtId="165" fontId="65" fillId="0" borderId="36" xfId="26" applyNumberFormat="1" applyFont="1" applyBorder="1" applyAlignment="1"/>
    <xf numFmtId="0" fontId="65" fillId="0" borderId="30" xfId="20" applyFont="1" applyBorder="1" applyAlignment="1">
      <alignment horizontal="left"/>
    </xf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5" fillId="0" borderId="32" xfId="26" applyNumberFormat="1" applyFont="1" applyBorder="1" applyAlignment="1"/>
    <xf numFmtId="164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11" xfId="19" applyNumberFormat="1" applyFont="1" applyBorder="1"/>
    <xf numFmtId="3" fontId="72" fillId="0" borderId="74" xfId="19" applyNumberFormat="1" applyFont="1" applyBorder="1"/>
    <xf numFmtId="3" fontId="72" fillId="0" borderId="8" xfId="19" applyNumberFormat="1" applyFont="1" applyBorder="1"/>
    <xf numFmtId="3" fontId="72" fillId="0" borderId="9" xfId="19" applyNumberFormat="1" applyFont="1" applyBorder="1"/>
    <xf numFmtId="3" fontId="72" fillId="0" borderId="5" xfId="19" applyNumberFormat="1" applyFont="1" applyBorder="1"/>
    <xf numFmtId="3" fontId="72" fillId="0" borderId="10" xfId="19" applyNumberFormat="1" applyFont="1" applyBorder="1"/>
    <xf numFmtId="3" fontId="72" fillId="0" borderId="10" xfId="19" applyNumberFormat="1" applyFont="1" applyFill="1" applyBorder="1"/>
    <xf numFmtId="3" fontId="72" fillId="0" borderId="2" xfId="19" applyNumberFormat="1" applyFont="1" applyBorder="1"/>
    <xf numFmtId="0" fontId="4" fillId="0" borderId="34" xfId="25" applyFont="1" applyBorder="1"/>
    <xf numFmtId="2" fontId="20" fillId="0" borderId="19" xfId="25" applyNumberFormat="1" applyFont="1" applyBorder="1"/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15" zoomScaleSheetLayoutView="100" workbookViewId="0">
      <selection activeCell="C2" sqref="C2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251" t="s">
        <v>19</v>
      </c>
      <c r="B1" s="1251"/>
      <c r="C1" s="1251"/>
    </row>
    <row r="2" spans="1:9" ht="15.95" customHeight="1" thickBot="1" x14ac:dyDescent="0.3">
      <c r="A2" s="1250" t="s">
        <v>131</v>
      </c>
      <c r="B2" s="1250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1460810310</v>
      </c>
      <c r="D5" s="311">
        <f>+D6+D7+D8+D9+D10+D11</f>
        <v>1460810310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1460810310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3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353">
        <f t="shared" si="0"/>
        <v>234730936</v>
      </c>
      <c r="D10" s="139">
        <f>29417493+205313443</f>
        <v>234730936</v>
      </c>
      <c r="E10" s="139"/>
      <c r="F10" s="139"/>
      <c r="H10" s="448">
        <f>'1.2.sz.mell. '!C10+'1.3.sz.mell.'!C10+'1.4.sz.mell. '!C10+'1.5.sz.mell.'!C10</f>
        <v>234730936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4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232190024</v>
      </c>
      <c r="D12" s="311">
        <f>+D13+D14+D15+D16+D17</f>
        <v>209435081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232190024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3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43">
        <f t="shared" si="0"/>
        <v>232190024</v>
      </c>
      <c r="D17" s="292">
        <f>102792540+24250000+3975280+5670000+67037993+5709268</f>
        <v>209435081</v>
      </c>
      <c r="E17" s="139"/>
      <c r="F17" s="139">
        <v>22754943</v>
      </c>
      <c r="H17" s="448">
        <f>'1.2.sz.mell. '!C17+'1.3.sz.mell.'!C17+'1.4.sz.mell. '!C17+'1.5.sz.mell.'!C17</f>
        <v>232190024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1244">
        <f t="shared" si="0"/>
        <v>70617011</v>
      </c>
      <c r="D18" s="296">
        <f>67037993+2824075</f>
        <v>69862068</v>
      </c>
      <c r="E18" s="202"/>
      <c r="F18" s="202">
        <v>754943</v>
      </c>
      <c r="H18" s="448">
        <f>'1.2.sz.mell. '!C18+'1.3.sz.mell.'!C18+'1.4.sz.mell. '!C18+'1.5.sz.mell.'!C18</f>
        <v>70617011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3">
        <f t="shared" si="0"/>
        <v>0</v>
      </c>
      <c r="D20" s="315"/>
      <c r="E20" s="783"/>
      <c r="F20" s="783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6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124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1244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3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4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341663172</v>
      </c>
      <c r="D34" s="311">
        <f>SUM(D35:D45)</f>
        <v>67360372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341663172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3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1243">
        <f t="shared" si="0"/>
        <v>78137324</v>
      </c>
      <c r="D36" s="292">
        <f>15901900+787402+500000+101992</f>
        <v>17291294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78137324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353">
        <f t="shared" ref="C37:C87" si="5">SUM(D37:F37)</f>
        <v>27665692</v>
      </c>
      <c r="D37" s="292">
        <f>20000+6000000+700000+1000000+1109692</f>
        <v>8829692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27665692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353">
        <f t="shared" si="5"/>
        <v>171606721</v>
      </c>
      <c r="D39" s="292"/>
      <c r="E39" s="139"/>
      <c r="F39" s="251">
        <f>17535396+708995+862330+152500000</f>
        <v>171606721</v>
      </c>
      <c r="H39" s="448">
        <f>'1.2.sz.mell. '!C39+'1.3.sz.mell.'!C39+'1.4.sz.mell. '!C39+'1.5.sz.mell.'!C39</f>
        <v>171606721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1243">
        <f t="shared" si="5"/>
        <v>31671064</v>
      </c>
      <c r="D40" s="292">
        <f>5400+1993957+12052638+212598+189000+2801434+333450+135000+27538</f>
        <v>17751015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31671064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1244">
        <f t="shared" si="5"/>
        <v>5118665</v>
      </c>
      <c r="D45" s="296">
        <f>507601+335000+700000+2935064</f>
        <v>4477665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5118665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5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7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40" t="s">
        <v>244</v>
      </c>
      <c r="C52" s="341">
        <f t="shared" si="5"/>
        <v>2182700</v>
      </c>
      <c r="D52" s="311">
        <f>SUM(D53:D55)</f>
        <v>2182700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2182700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8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124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4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5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6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6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7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2705718272</v>
      </c>
      <c r="D62" s="314">
        <f>+D5+D12+D19+D26+D34+D46+D52+D57</f>
        <v>2408360529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2705718272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3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7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5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6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6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7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364667600</v>
      </c>
      <c r="D72" s="311">
        <f>SUM(D73:D74)</f>
        <v>346583469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364667600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563">
        <f t="shared" si="5"/>
        <v>364667600</v>
      </c>
      <c r="D73" s="292">
        <f>346583469</f>
        <v>346583469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364667600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7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5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6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7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5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6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6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7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533936706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533936706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3239654978</v>
      </c>
      <c r="D87" s="314">
        <f>+D62+D86</f>
        <v>2924213104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3239654978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251" t="s">
        <v>50</v>
      </c>
      <c r="B89" s="1251"/>
      <c r="C89" s="1251"/>
      <c r="D89" s="971"/>
      <c r="H89" s="448">
        <f>'1.2.sz.mell. '!C89+'1.3.sz.mell.'!C89+'1.4.sz.mell. '!C89+'1.5.sz.mell.'!C89</f>
        <v>0</v>
      </c>
      <c r="I89" s="446"/>
    </row>
    <row r="90" spans="1:9" s="785" customFormat="1" ht="16.5" customHeight="1" thickBot="1" x14ac:dyDescent="0.3">
      <c r="A90" s="1252" t="s">
        <v>132</v>
      </c>
      <c r="B90" s="1252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2570323808</v>
      </c>
      <c r="D93" s="319">
        <f>+D94+D95+D96+D97+D98+D111</f>
        <v>739705108</v>
      </c>
      <c r="E93" s="134">
        <f>+E94+E95+E96+E97+E98+E111</f>
        <v>223670940</v>
      </c>
      <c r="F93" s="341">
        <f>F94+F95+F96+F97+F98+F111</f>
        <v>1606947760</v>
      </c>
      <c r="H93" s="448">
        <f>'1.2.sz.mell. '!C93+'1.3.sz.mell.'!C93+'1.4.sz.mell. '!C93+'1.5.sz.mell.'!C93</f>
        <v>2570323808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45">
        <f t="shared" si="7"/>
        <v>1060522902</v>
      </c>
      <c r="D94" s="346">
        <f>23173251+2787126+1407675+14384916+61829+2528076+5742073+5312587</f>
        <v>55397533</v>
      </c>
      <c r="E94" s="301">
        <f>147375885+935085+4069918</f>
        <v>152380888</v>
      </c>
      <c r="F94" s="301">
        <f>60512486+64039486+48091292+208655734+471445483</f>
        <v>852744481</v>
      </c>
      <c r="H94" s="448">
        <f>'1.2.sz.mell. '!C94+'1.3.sz.mell.'!C94+'1.4.sz.mell. '!C94+'1.5.sz.mell.'!C94</f>
        <v>1060522902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45">
        <f t="shared" si="7"/>
        <v>220941970</v>
      </c>
      <c r="D95" s="292">
        <f>4364055+1409889+7817+2684650+14227+10944+444000+1007723+1067610</f>
        <v>11010915</v>
      </c>
      <c r="E95" s="139">
        <f>30406649+133681+815187</f>
        <v>31355517</v>
      </c>
      <c r="F95" s="139">
        <f>13261042+12834203+9499320+44850807+98130166</f>
        <v>178575538</v>
      </c>
      <c r="H95" s="448">
        <f>'1.2.sz.mell. '!C95+'1.3.sz.mell.'!C95+'1.4.sz.mell. '!C95+'1.5.sz.mell.'!C95</f>
        <v>220941970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45">
        <f>SUM(D96:F96)</f>
        <v>911691403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</f>
        <v>296129127</v>
      </c>
      <c r="E96" s="202">
        <f>38780508+150000+369027+635000</f>
        <v>39934535</v>
      </c>
      <c r="F96" s="139">
        <f>229985778+15749737+50789082+80145873+198957271</f>
        <v>575627741</v>
      </c>
      <c r="H96" s="448">
        <f>'1.2.sz.mell. '!C96+'1.3.sz.mell.'!C96+'1.4.sz.mell. '!C96+'1.5.sz.mell.'!C96</f>
        <v>911691403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1245">
        <f t="shared" si="9"/>
        <v>221964570</v>
      </c>
      <c r="D98" s="296">
        <f>SUM(D99:D110)</f>
        <v>221964570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221964570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245">
        <f t="shared" si="9"/>
        <v>100000</v>
      </c>
      <c r="D99" s="296">
        <v>100000</v>
      </c>
      <c r="E99" s="202"/>
      <c r="F99" s="202"/>
      <c r="H99" s="448">
        <f>'1.2.sz.mell. '!C99+'1.3.sz.mell.'!C99+'1.4.sz.mell. '!C99+'1.5.sz.mell.'!C99</f>
        <v>100000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1245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1245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1245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1245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1245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1245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1245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1245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1245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1245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45">
        <f t="shared" si="9"/>
        <v>221274070</v>
      </c>
      <c r="D110" s="292">
        <f>1000000+47869145+6604733+15489215+46984511+23326783+69312000+7332000+1437616+580000+1338067</f>
        <v>221274070</v>
      </c>
      <c r="E110" s="139"/>
      <c r="F110" s="202"/>
      <c r="H110" s="448">
        <f>'1.2.sz.mell. '!C110+'1.3.sz.mell.'!C110+'1.4.sz.mell. '!C110+'1.5.sz.mell.'!C110</f>
        <v>221274070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79352963</v>
      </c>
      <c r="D111" s="292">
        <f>SUM(D112:D113)</f>
        <v>79352963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79352963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45">
        <f t="shared" si="9"/>
        <v>15830503</v>
      </c>
      <c r="D112" s="296">
        <f>15000000-580000+1410503</f>
        <v>15830503</v>
      </c>
      <c r="E112" s="202"/>
      <c r="F112" s="139"/>
      <c r="H112" s="448">
        <f>'1.2.sz.mell. '!C112+'1.3.sz.mell.'!C112+'1.4.sz.mell. '!C112+'1.5.sz.mell.'!C112</f>
        <v>15830503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45">
        <f t="shared" si="9"/>
        <v>63522460</v>
      </c>
      <c r="D113" s="347">
        <f>63390965+131495</f>
        <v>63522460</v>
      </c>
      <c r="E113" s="307"/>
      <c r="F113" s="307"/>
      <c r="H113" s="448">
        <f>'1.2.sz.mell. '!C113+'1.3.sz.mell.'!C113+'1.4.sz.mell. '!C113+'1.5.sz.mell.'!C113</f>
        <v>63522460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510474338</v>
      </c>
      <c r="D114" s="311">
        <f>+D115+D117+D119</f>
        <v>486938334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510474338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45">
        <f t="shared" si="7"/>
        <v>377241731</v>
      </c>
      <c r="D115" s="315">
        <f>229989520+300000+13809000+835610+12076323+1270000+359410+4508500+2505001+5000+6704583+82307980</f>
        <v>354670927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377241731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45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84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3080798146</v>
      </c>
      <c r="D128" s="311">
        <f>+D93+D114</f>
        <v>1226643442</v>
      </c>
      <c r="E128" s="135">
        <f>+E93+E114</f>
        <v>227256857</v>
      </c>
      <c r="F128" s="135">
        <f>+F93+F114</f>
        <v>1626897847</v>
      </c>
      <c r="H128" s="448">
        <f>'1.2.sz.mell. '!C128+'1.3.sz.mell.'!C128+'1.4.sz.mell. '!C128+'1.5.sz.mell.'!C128</f>
        <v>3080798146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600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600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3239654978</v>
      </c>
      <c r="D154" s="322">
        <f>+D128+D153</f>
        <v>1385500274</v>
      </c>
      <c r="E154" s="223">
        <f>+E128+E153</f>
        <v>227256857</v>
      </c>
      <c r="F154" s="223">
        <f>+F128+F153</f>
        <v>1626897847</v>
      </c>
      <c r="H154" s="448">
        <f>'1.2.sz.mell. '!C154+'1.3.sz.mell.'!C154+'1.4.sz.mell. '!C154+'1.5.sz.mell.'!C154</f>
        <v>3239654978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253" t="s">
        <v>324</v>
      </c>
      <c r="B156" s="1253"/>
      <c r="C156" s="1253"/>
    </row>
    <row r="157" spans="1:9" ht="15" customHeight="1" thickBot="1" x14ac:dyDescent="0.3">
      <c r="A157" s="1250" t="s">
        <v>133</v>
      </c>
      <c r="B157" s="125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-375079874</v>
      </c>
      <c r="D158" s="971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375079874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./....(......)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zoomScaleNormal="120" workbookViewId="0">
      <selection sqref="A1:F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263" t="s">
        <v>702</v>
      </c>
      <c r="B1" s="1263"/>
      <c r="C1" s="1263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800" t="s">
        <v>20</v>
      </c>
      <c r="B3" s="801" t="s">
        <v>166</v>
      </c>
      <c r="C3" s="802" t="s">
        <v>171</v>
      </c>
    </row>
    <row r="4" spans="1:4" ht="15.75" thickBot="1" x14ac:dyDescent="0.3">
      <c r="A4" s="803">
        <v>1</v>
      </c>
      <c r="B4" s="804">
        <v>2</v>
      </c>
      <c r="C4" s="805">
        <v>3</v>
      </c>
    </row>
    <row r="5" spans="1:4" x14ac:dyDescent="0.25">
      <c r="A5" s="84" t="s">
        <v>22</v>
      </c>
      <c r="B5" s="806" t="s">
        <v>773</v>
      </c>
      <c r="C5" s="807">
        <v>25000000</v>
      </c>
    </row>
    <row r="6" spans="1:4" x14ac:dyDescent="0.25">
      <c r="A6" s="85" t="s">
        <v>23</v>
      </c>
      <c r="B6" s="808" t="s">
        <v>774</v>
      </c>
      <c r="C6" s="809">
        <f>990092+3076817</f>
        <v>4066909</v>
      </c>
    </row>
    <row r="7" spans="1:4" x14ac:dyDescent="0.25">
      <c r="A7" s="1018" t="s">
        <v>24</v>
      </c>
      <c r="B7" s="808" t="s">
        <v>775</v>
      </c>
      <c r="C7" s="811">
        <v>22202197</v>
      </c>
    </row>
    <row r="8" spans="1:4" x14ac:dyDescent="0.25">
      <c r="A8" s="1018" t="s">
        <v>25</v>
      </c>
      <c r="B8" s="808" t="s">
        <v>772</v>
      </c>
      <c r="C8" s="811">
        <v>18000000</v>
      </c>
    </row>
    <row r="9" spans="1:4" x14ac:dyDescent="0.25">
      <c r="A9" s="1018" t="s">
        <v>26</v>
      </c>
      <c r="B9" s="812"/>
      <c r="C9" s="813"/>
    </row>
    <row r="10" spans="1:4" x14ac:dyDescent="0.25">
      <c r="A10" s="1018" t="s">
        <v>27</v>
      </c>
      <c r="B10" s="808"/>
      <c r="C10" s="811"/>
    </row>
    <row r="11" spans="1:4" x14ac:dyDescent="0.25">
      <c r="A11" s="1018" t="s">
        <v>28</v>
      </c>
      <c r="B11" s="810"/>
      <c r="C11" s="813"/>
    </row>
    <row r="12" spans="1:4" x14ac:dyDescent="0.25">
      <c r="A12" s="1018" t="s">
        <v>29</v>
      </c>
      <c r="B12" s="814"/>
      <c r="C12" s="813"/>
    </row>
    <row r="13" spans="1:4" s="816" customFormat="1" thickBot="1" x14ac:dyDescent="0.25">
      <c r="A13" s="1018" t="s">
        <v>30</v>
      </c>
      <c r="B13" s="815"/>
      <c r="C13" s="811"/>
    </row>
    <row r="14" spans="1:4" s="816" customFormat="1" ht="17.25" customHeight="1" thickBot="1" x14ac:dyDescent="0.25">
      <c r="A14" s="817" t="s">
        <v>31</v>
      </c>
      <c r="B14" s="818" t="s">
        <v>167</v>
      </c>
      <c r="C14" s="819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5"/>
  <sheetViews>
    <sheetView view="pageLayout" zoomScaleNormal="100" workbookViewId="0">
      <selection activeCell="F2" sqref="F2"/>
    </sheetView>
  </sheetViews>
  <sheetFormatPr defaultColWidth="9.33203125" defaultRowHeight="12.75" x14ac:dyDescent="0.2"/>
  <cols>
    <col min="1" max="1" width="61.33203125" style="639" customWidth="1"/>
    <col min="2" max="2" width="15.6640625" style="611" customWidth="1"/>
    <col min="3" max="3" width="16.33203125" style="611" customWidth="1"/>
    <col min="4" max="4" width="18" style="611" customWidth="1"/>
    <col min="5" max="5" width="16.6640625" style="611" customWidth="1"/>
    <col min="6" max="6" width="18.83203125" style="602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275" t="s">
        <v>8</v>
      </c>
      <c r="B1" s="1275"/>
      <c r="C1" s="1275"/>
      <c r="D1" s="1275"/>
      <c r="E1" s="1275"/>
      <c r="F1" s="1275"/>
    </row>
    <row r="2" spans="1:7" ht="22.5" customHeight="1" thickBot="1" x14ac:dyDescent="0.3">
      <c r="A2" s="601"/>
      <c r="B2" s="602"/>
      <c r="C2" s="602"/>
      <c r="D2" s="602"/>
      <c r="E2" s="602"/>
      <c r="F2" s="603" t="s">
        <v>572</v>
      </c>
    </row>
    <row r="3" spans="1:7" s="35" customFormat="1" ht="44.25" customHeight="1" thickBot="1" x14ac:dyDescent="0.25">
      <c r="A3" s="604" t="s">
        <v>69</v>
      </c>
      <c r="B3" s="605" t="s">
        <v>70</v>
      </c>
      <c r="C3" s="605" t="s">
        <v>71</v>
      </c>
      <c r="D3" s="605" t="s">
        <v>719</v>
      </c>
      <c r="E3" s="605" t="s">
        <v>699</v>
      </c>
      <c r="F3" s="606" t="s">
        <v>703</v>
      </c>
      <c r="G3" s="607"/>
    </row>
    <row r="4" spans="1:7" s="38" customFormat="1" ht="12" customHeight="1" thickBot="1" x14ac:dyDescent="0.25">
      <c r="A4" s="608">
        <v>1</v>
      </c>
      <c r="B4" s="609">
        <v>2</v>
      </c>
      <c r="C4" s="609">
        <v>3</v>
      </c>
      <c r="D4" s="609">
        <v>4</v>
      </c>
      <c r="E4" s="609">
        <v>5</v>
      </c>
      <c r="F4" s="610" t="s">
        <v>87</v>
      </c>
    </row>
    <row r="5" spans="1:7" s="611" customFormat="1" ht="15.95" customHeight="1" x14ac:dyDescent="0.2">
      <c r="A5" s="1129" t="s">
        <v>854</v>
      </c>
      <c r="B5" s="1130">
        <v>214127820</v>
      </c>
      <c r="C5" s="620" t="s">
        <v>855</v>
      </c>
      <c r="D5" s="621">
        <v>15243810</v>
      </c>
      <c r="E5" s="621">
        <f>156693000+42191010</f>
        <v>198884010</v>
      </c>
      <c r="F5" s="1131">
        <f t="shared" ref="F5:F74" si="0">B5-D5-E5</f>
        <v>0</v>
      </c>
    </row>
    <row r="6" spans="1:7" s="611" customFormat="1" ht="15.95" customHeight="1" x14ac:dyDescent="0.2">
      <c r="A6" s="810" t="s">
        <v>773</v>
      </c>
      <c r="B6" s="955">
        <v>25000000</v>
      </c>
      <c r="C6" s="956" t="s">
        <v>718</v>
      </c>
      <c r="D6" s="957"/>
      <c r="E6" s="957">
        <v>25000000</v>
      </c>
      <c r="F6" s="958">
        <f t="shared" si="0"/>
        <v>0</v>
      </c>
    </row>
    <row r="7" spans="1:7" s="437" customFormat="1" ht="15.95" customHeight="1" x14ac:dyDescent="0.2">
      <c r="A7" s="959" t="s">
        <v>729</v>
      </c>
      <c r="B7" s="960">
        <f>4807488+1298022</f>
        <v>6105510</v>
      </c>
      <c r="C7" s="622" t="s">
        <v>718</v>
      </c>
      <c r="D7" s="623"/>
      <c r="E7" s="623">
        <v>6105510</v>
      </c>
      <c r="F7" s="635">
        <f t="shared" si="0"/>
        <v>0</v>
      </c>
    </row>
    <row r="8" spans="1:7" s="611" customFormat="1" ht="15.95" customHeight="1" x14ac:dyDescent="0.2">
      <c r="A8" s="961" t="s">
        <v>735</v>
      </c>
      <c r="B8" s="960">
        <v>300000</v>
      </c>
      <c r="C8" s="622" t="s">
        <v>718</v>
      </c>
      <c r="D8" s="623"/>
      <c r="E8" s="623">
        <v>300000</v>
      </c>
      <c r="F8" s="635">
        <f t="shared" si="0"/>
        <v>0</v>
      </c>
    </row>
    <row r="9" spans="1:7" s="611" customFormat="1" ht="15.95" customHeight="1" x14ac:dyDescent="0.2">
      <c r="A9" s="962" t="s">
        <v>736</v>
      </c>
      <c r="B9" s="960">
        <f>13809000+4191000</f>
        <v>18000000</v>
      </c>
      <c r="C9" s="622" t="s">
        <v>718</v>
      </c>
      <c r="D9" s="623"/>
      <c r="E9" s="623">
        <f>13809000+4191000</f>
        <v>18000000</v>
      </c>
      <c r="F9" s="635">
        <f t="shared" si="0"/>
        <v>0</v>
      </c>
    </row>
    <row r="10" spans="1:7" s="611" customFormat="1" ht="18.75" customHeight="1" x14ac:dyDescent="0.2">
      <c r="A10" s="939" t="s">
        <v>738</v>
      </c>
      <c r="B10" s="960">
        <f>12076323+797160</f>
        <v>12873483</v>
      </c>
      <c r="C10" s="622" t="s">
        <v>856</v>
      </c>
      <c r="D10" s="623">
        <v>797160</v>
      </c>
      <c r="E10" s="623">
        <v>12076323</v>
      </c>
      <c r="F10" s="635">
        <f t="shared" si="0"/>
        <v>0</v>
      </c>
    </row>
    <row r="11" spans="1:7" s="611" customFormat="1" ht="15.95" customHeight="1" x14ac:dyDescent="0.2">
      <c r="A11" s="963" t="s">
        <v>739</v>
      </c>
      <c r="B11" s="960">
        <v>1270000</v>
      </c>
      <c r="C11" s="622" t="s">
        <v>718</v>
      </c>
      <c r="D11" s="623"/>
      <c r="E11" s="623">
        <v>1270000</v>
      </c>
      <c r="F11" s="635">
        <f t="shared" si="0"/>
        <v>0</v>
      </c>
    </row>
    <row r="12" spans="1:7" s="611" customFormat="1" ht="18.75" customHeight="1" x14ac:dyDescent="0.2">
      <c r="A12" s="959" t="s">
        <v>740</v>
      </c>
      <c r="B12" s="960">
        <v>359410</v>
      </c>
      <c r="C12" s="622" t="s">
        <v>718</v>
      </c>
      <c r="D12" s="623"/>
      <c r="E12" s="623">
        <v>359410</v>
      </c>
      <c r="F12" s="635">
        <f>B12-D12-E12</f>
        <v>0</v>
      </c>
    </row>
    <row r="13" spans="1:7" s="611" customFormat="1" ht="15.95" customHeight="1" x14ac:dyDescent="0.2">
      <c r="A13" s="959" t="s">
        <v>741</v>
      </c>
      <c r="B13" s="960">
        <v>317500</v>
      </c>
      <c r="C13" s="622" t="s">
        <v>718</v>
      </c>
      <c r="D13" s="964"/>
      <c r="E13" s="623">
        <v>317500</v>
      </c>
      <c r="F13" s="1049">
        <f>B13-D13-E13</f>
        <v>0</v>
      </c>
    </row>
    <row r="14" spans="1:7" s="611" customFormat="1" ht="15.95" customHeight="1" x14ac:dyDescent="0.2">
      <c r="A14" s="959" t="s">
        <v>742</v>
      </c>
      <c r="B14" s="960">
        <v>1905000</v>
      </c>
      <c r="C14" s="622" t="s">
        <v>718</v>
      </c>
      <c r="D14" s="964"/>
      <c r="E14" s="623">
        <v>1905000</v>
      </c>
      <c r="F14" s="1049">
        <f t="shared" ref="F14:F20" si="1">B14-D14-E14</f>
        <v>0</v>
      </c>
    </row>
    <row r="15" spans="1:7" s="611" customFormat="1" ht="15.95" customHeight="1" x14ac:dyDescent="0.2">
      <c r="A15" s="959" t="s">
        <v>743</v>
      </c>
      <c r="B15" s="960">
        <v>200000</v>
      </c>
      <c r="C15" s="622" t="s">
        <v>718</v>
      </c>
      <c r="D15" s="964"/>
      <c r="E15" s="623">
        <v>200000</v>
      </c>
      <c r="F15" s="1049">
        <f t="shared" si="1"/>
        <v>0</v>
      </c>
    </row>
    <row r="16" spans="1:7" s="611" customFormat="1" ht="15.95" customHeight="1" x14ac:dyDescent="0.2">
      <c r="A16" s="959" t="s">
        <v>744</v>
      </c>
      <c r="B16" s="960">
        <v>400001</v>
      </c>
      <c r="C16" s="622" t="s">
        <v>718</v>
      </c>
      <c r="D16" s="623"/>
      <c r="E16" s="623">
        <v>400001</v>
      </c>
      <c r="F16" s="1049">
        <f t="shared" si="1"/>
        <v>0</v>
      </c>
    </row>
    <row r="17" spans="1:6" s="611" customFormat="1" ht="15.95" customHeight="1" x14ac:dyDescent="0.2">
      <c r="A17" s="961" t="s">
        <v>745</v>
      </c>
      <c r="B17" s="960">
        <v>5000</v>
      </c>
      <c r="C17" s="622" t="s">
        <v>718</v>
      </c>
      <c r="D17" s="623"/>
      <c r="E17" s="623">
        <v>5000</v>
      </c>
      <c r="F17" s="1049">
        <f t="shared" si="1"/>
        <v>0</v>
      </c>
    </row>
    <row r="18" spans="1:6" s="611" customFormat="1" ht="31.5" customHeight="1" x14ac:dyDescent="0.2">
      <c r="A18" s="959" t="s">
        <v>858</v>
      </c>
      <c r="B18" s="960">
        <v>6704583</v>
      </c>
      <c r="C18" s="622" t="s">
        <v>857</v>
      </c>
      <c r="D18" s="623"/>
      <c r="E18" s="623">
        <v>6704583</v>
      </c>
      <c r="F18" s="1049">
        <f t="shared" si="1"/>
        <v>0</v>
      </c>
    </row>
    <row r="19" spans="1:6" s="437" customFormat="1" ht="31.5" customHeight="1" x14ac:dyDescent="0.2">
      <c r="A19" s="1378" t="s">
        <v>945</v>
      </c>
      <c r="B19" s="1379">
        <v>82307980</v>
      </c>
      <c r="C19" s="1380" t="s">
        <v>718</v>
      </c>
      <c r="D19" s="1381"/>
      <c r="E19" s="1381">
        <v>82307980</v>
      </c>
      <c r="F19" s="1382">
        <f t="shared" si="1"/>
        <v>0</v>
      </c>
    </row>
    <row r="20" spans="1:6" s="611" customFormat="1" ht="21.75" customHeight="1" thickBot="1" x14ac:dyDescent="0.25">
      <c r="A20" s="1050" t="s">
        <v>776</v>
      </c>
      <c r="B20" s="1051">
        <v>835610</v>
      </c>
      <c r="C20" s="637" t="s">
        <v>718</v>
      </c>
      <c r="D20" s="638"/>
      <c r="E20" s="638">
        <v>835610</v>
      </c>
      <c r="F20" s="1052">
        <f t="shared" si="1"/>
        <v>0</v>
      </c>
    </row>
    <row r="21" spans="1:6" s="616" customFormat="1" ht="15.75" customHeight="1" x14ac:dyDescent="0.2">
      <c r="A21" s="1039" t="s">
        <v>563</v>
      </c>
      <c r="B21" s="1040"/>
      <c r="C21" s="1041"/>
      <c r="D21" s="1042"/>
      <c r="E21" s="1042"/>
      <c r="F21" s="1043">
        <f t="shared" si="0"/>
        <v>0</v>
      </c>
    </row>
    <row r="22" spans="1:6" s="611" customFormat="1" ht="15.75" customHeight="1" x14ac:dyDescent="0.2">
      <c r="A22" s="617" t="s">
        <v>725</v>
      </c>
      <c r="B22" s="614">
        <v>105000</v>
      </c>
      <c r="C22" s="612" t="s">
        <v>718</v>
      </c>
      <c r="D22" s="615"/>
      <c r="E22" s="615">
        <v>105000</v>
      </c>
      <c r="F22" s="613">
        <f t="shared" si="0"/>
        <v>0</v>
      </c>
    </row>
    <row r="23" spans="1:6" s="611" customFormat="1" ht="15.75" customHeight="1" x14ac:dyDescent="0.2">
      <c r="A23" s="617" t="s">
        <v>726</v>
      </c>
      <c r="B23" s="618">
        <v>1969536</v>
      </c>
      <c r="C23" s="612" t="s">
        <v>718</v>
      </c>
      <c r="D23" s="615"/>
      <c r="E23" s="615">
        <v>1969536</v>
      </c>
      <c r="F23" s="619">
        <f t="shared" si="0"/>
        <v>0</v>
      </c>
    </row>
    <row r="24" spans="1:6" s="616" customFormat="1" ht="29.25" customHeight="1" x14ac:dyDescent="0.2">
      <c r="A24" s="846" t="s">
        <v>727</v>
      </c>
      <c r="B24" s="847">
        <v>1281381</v>
      </c>
      <c r="C24" s="363" t="s">
        <v>718</v>
      </c>
      <c r="D24" s="299"/>
      <c r="E24" s="299">
        <v>1281381</v>
      </c>
      <c r="F24" s="848">
        <f t="shared" si="0"/>
        <v>0</v>
      </c>
    </row>
    <row r="25" spans="1:6" s="611" customFormat="1" ht="15.75" customHeight="1" thickBot="1" x14ac:dyDescent="0.25">
      <c r="A25" s="1044" t="s">
        <v>728</v>
      </c>
      <c r="B25" s="1045">
        <v>230000</v>
      </c>
      <c r="C25" s="1046" t="s">
        <v>718</v>
      </c>
      <c r="D25" s="1047"/>
      <c r="E25" s="1047">
        <v>230000</v>
      </c>
      <c r="F25" s="1048">
        <f t="shared" si="0"/>
        <v>0</v>
      </c>
    </row>
    <row r="26" spans="1:6" s="616" customFormat="1" ht="15.75" customHeight="1" x14ac:dyDescent="0.2">
      <c r="A26" s="1019" t="s">
        <v>547</v>
      </c>
      <c r="B26" s="1020"/>
      <c r="C26" s="1021"/>
      <c r="D26" s="1022"/>
      <c r="E26" s="1022"/>
      <c r="F26" s="1023">
        <f t="shared" si="0"/>
        <v>0</v>
      </c>
    </row>
    <row r="27" spans="1:6" s="437" customFormat="1" ht="25.5" x14ac:dyDescent="0.2">
      <c r="A27" s="1024" t="s">
        <v>777</v>
      </c>
      <c r="B27" s="1025">
        <v>446050</v>
      </c>
      <c r="C27" s="1026" t="s">
        <v>718</v>
      </c>
      <c r="D27" s="1027"/>
      <c r="E27" s="1027">
        <v>446050</v>
      </c>
      <c r="F27" s="1028">
        <f t="shared" si="0"/>
        <v>0</v>
      </c>
    </row>
    <row r="28" spans="1:6" s="624" customFormat="1" ht="15.75" customHeight="1" thickBot="1" x14ac:dyDescent="0.25">
      <c r="A28" s="1053" t="s">
        <v>778</v>
      </c>
      <c r="B28" s="1054">
        <v>60000</v>
      </c>
      <c r="C28" s="1055" t="s">
        <v>718</v>
      </c>
      <c r="D28" s="1056"/>
      <c r="E28" s="1056">
        <v>60000</v>
      </c>
      <c r="F28" s="1057">
        <f t="shared" si="0"/>
        <v>0</v>
      </c>
    </row>
    <row r="29" spans="1:6" s="624" customFormat="1" ht="15.75" customHeight="1" x14ac:dyDescent="0.2">
      <c r="A29" s="1019" t="s">
        <v>0</v>
      </c>
      <c r="B29" s="1020"/>
      <c r="C29" s="1021"/>
      <c r="D29" s="1022"/>
      <c r="E29" s="1022"/>
      <c r="F29" s="1023">
        <f t="shared" si="0"/>
        <v>0</v>
      </c>
    </row>
    <row r="30" spans="1:6" s="616" customFormat="1" ht="15.75" customHeight="1" x14ac:dyDescent="0.2">
      <c r="A30" s="1024" t="s">
        <v>779</v>
      </c>
      <c r="B30" s="1025">
        <v>58420</v>
      </c>
      <c r="C30" s="1026" t="s">
        <v>718</v>
      </c>
      <c r="D30" s="1030"/>
      <c r="E30" s="1027">
        <v>58420</v>
      </c>
      <c r="F30" s="1029">
        <f t="shared" si="0"/>
        <v>0</v>
      </c>
    </row>
    <row r="31" spans="1:6" s="437" customFormat="1" ht="15.75" customHeight="1" x14ac:dyDescent="0.2">
      <c r="A31" s="1024" t="s">
        <v>780</v>
      </c>
      <c r="B31" s="1025">
        <v>82550</v>
      </c>
      <c r="C31" s="1026" t="s">
        <v>718</v>
      </c>
      <c r="D31" s="1030"/>
      <c r="E31" s="1027">
        <v>82550</v>
      </c>
      <c r="F31" s="1028">
        <f t="shared" si="0"/>
        <v>0</v>
      </c>
    </row>
    <row r="32" spans="1:6" s="616" customFormat="1" ht="15.75" customHeight="1" x14ac:dyDescent="0.2">
      <c r="A32" s="1024" t="s">
        <v>781</v>
      </c>
      <c r="B32" s="1025">
        <v>762000</v>
      </c>
      <c r="C32" s="1026" t="s">
        <v>718</v>
      </c>
      <c r="D32" s="1027"/>
      <c r="E32" s="1027">
        <v>762000</v>
      </c>
      <c r="F32" s="1029">
        <f t="shared" si="0"/>
        <v>0</v>
      </c>
    </row>
    <row r="33" spans="1:6" s="611" customFormat="1" ht="25.5" x14ac:dyDescent="0.2">
      <c r="A33" s="1024" t="s">
        <v>782</v>
      </c>
      <c r="B33" s="1025">
        <v>365760</v>
      </c>
      <c r="C33" s="1026" t="s">
        <v>718</v>
      </c>
      <c r="D33" s="1027"/>
      <c r="E33" s="1027">
        <v>365760</v>
      </c>
      <c r="F33" s="1029">
        <f t="shared" si="0"/>
        <v>0</v>
      </c>
    </row>
    <row r="34" spans="1:6" s="437" customFormat="1" ht="15.75" customHeight="1" x14ac:dyDescent="0.2">
      <c r="A34" s="1031" t="s">
        <v>783</v>
      </c>
      <c r="B34" s="1025">
        <v>368300</v>
      </c>
      <c r="C34" s="1026" t="s">
        <v>718</v>
      </c>
      <c r="D34" s="1027"/>
      <c r="E34" s="1027">
        <v>368300</v>
      </c>
      <c r="F34" s="1032">
        <f t="shared" si="0"/>
        <v>0</v>
      </c>
    </row>
    <row r="35" spans="1:6" s="437" customFormat="1" ht="38.25" x14ac:dyDescent="0.2">
      <c r="A35" s="626" t="s">
        <v>784</v>
      </c>
      <c r="B35" s="1025">
        <v>238760</v>
      </c>
      <c r="C35" s="1026" t="s">
        <v>718</v>
      </c>
      <c r="D35" s="1027"/>
      <c r="E35" s="1027">
        <v>238760</v>
      </c>
      <c r="F35" s="1028">
        <f t="shared" si="0"/>
        <v>0</v>
      </c>
    </row>
    <row r="36" spans="1:6" s="611" customFormat="1" ht="15.75" customHeight="1" thickBot="1" x14ac:dyDescent="0.25">
      <c r="A36" s="1058" t="s">
        <v>785</v>
      </c>
      <c r="B36" s="1054">
        <v>50800</v>
      </c>
      <c r="C36" s="1055" t="s">
        <v>718</v>
      </c>
      <c r="D36" s="1056"/>
      <c r="E36" s="1056">
        <v>50800</v>
      </c>
      <c r="F36" s="1057">
        <f t="shared" si="0"/>
        <v>0</v>
      </c>
    </row>
    <row r="37" spans="1:6" s="611" customFormat="1" ht="15.75" customHeight="1" x14ac:dyDescent="0.2">
      <c r="A37" s="1059" t="s">
        <v>597</v>
      </c>
      <c r="B37" s="1020"/>
      <c r="C37" s="1021"/>
      <c r="D37" s="1022"/>
      <c r="E37" s="1022"/>
      <c r="F37" s="1023">
        <f t="shared" si="0"/>
        <v>0</v>
      </c>
    </row>
    <row r="38" spans="1:6" s="611" customFormat="1" ht="15.75" customHeight="1" x14ac:dyDescent="0.2">
      <c r="A38" s="628" t="s">
        <v>786</v>
      </c>
      <c r="B38" s="1025">
        <v>300000</v>
      </c>
      <c r="C38" s="1026" t="s">
        <v>718</v>
      </c>
      <c r="D38" s="1027"/>
      <c r="E38" s="1027">
        <v>300000</v>
      </c>
      <c r="F38" s="1029">
        <f t="shared" si="0"/>
        <v>0</v>
      </c>
    </row>
    <row r="39" spans="1:6" s="625" customFormat="1" ht="15.75" customHeight="1" x14ac:dyDescent="0.2">
      <c r="A39" s="628" t="s">
        <v>787</v>
      </c>
      <c r="B39" s="1025">
        <v>1599862</v>
      </c>
      <c r="C39" s="1026" t="s">
        <v>718</v>
      </c>
      <c r="D39" s="1027"/>
      <c r="E39" s="1027">
        <v>1599862</v>
      </c>
      <c r="F39" s="1029">
        <f t="shared" si="0"/>
        <v>0</v>
      </c>
    </row>
    <row r="40" spans="1:6" s="611" customFormat="1" ht="15.75" customHeight="1" x14ac:dyDescent="0.2">
      <c r="A40" s="628" t="s">
        <v>788</v>
      </c>
      <c r="B40" s="1025">
        <v>49852</v>
      </c>
      <c r="C40" s="1026" t="s">
        <v>718</v>
      </c>
      <c r="D40" s="1027"/>
      <c r="E40" s="1027">
        <v>49852</v>
      </c>
      <c r="F40" s="1029">
        <f t="shared" si="0"/>
        <v>0</v>
      </c>
    </row>
    <row r="41" spans="1:6" s="616" customFormat="1" ht="15.75" customHeight="1" thickBot="1" x14ac:dyDescent="0.25">
      <c r="A41" s="1058" t="s">
        <v>789</v>
      </c>
      <c r="B41" s="1054">
        <v>36500</v>
      </c>
      <c r="C41" s="1055" t="s">
        <v>718</v>
      </c>
      <c r="D41" s="1056"/>
      <c r="E41" s="1056">
        <v>36500</v>
      </c>
      <c r="F41" s="1057">
        <f t="shared" si="0"/>
        <v>0</v>
      </c>
    </row>
    <row r="42" spans="1:6" s="627" customFormat="1" ht="24" customHeight="1" x14ac:dyDescent="0.2">
      <c r="A42" s="1059" t="s">
        <v>598</v>
      </c>
      <c r="B42" s="1020"/>
      <c r="C42" s="1021"/>
      <c r="D42" s="1022"/>
      <c r="E42" s="1022"/>
      <c r="F42" s="1023">
        <f t="shared" si="0"/>
        <v>0</v>
      </c>
    </row>
    <row r="43" spans="1:6" s="611" customFormat="1" ht="16.5" customHeight="1" x14ac:dyDescent="0.2">
      <c r="A43" s="629" t="s">
        <v>599</v>
      </c>
      <c r="B43" s="1025"/>
      <c r="C43" s="1026"/>
      <c r="D43" s="1027"/>
      <c r="E43" s="1027"/>
      <c r="F43" s="1029">
        <f t="shared" si="0"/>
        <v>0</v>
      </c>
    </row>
    <row r="44" spans="1:6" s="611" customFormat="1" ht="25.5" x14ac:dyDescent="0.2">
      <c r="A44" s="626" t="s">
        <v>790</v>
      </c>
      <c r="B44" s="630">
        <v>70000</v>
      </c>
      <c r="C44" s="1026" t="s">
        <v>718</v>
      </c>
      <c r="D44" s="1027"/>
      <c r="E44" s="631">
        <v>70000</v>
      </c>
      <c r="F44" s="1029">
        <f t="shared" si="0"/>
        <v>0</v>
      </c>
    </row>
    <row r="45" spans="1:6" s="624" customFormat="1" ht="16.5" customHeight="1" x14ac:dyDescent="0.2">
      <c r="A45" s="628" t="s">
        <v>791</v>
      </c>
      <c r="B45" s="630">
        <v>60000</v>
      </c>
      <c r="C45" s="1026" t="s">
        <v>718</v>
      </c>
      <c r="D45" s="1027"/>
      <c r="E45" s="631">
        <v>60000</v>
      </c>
      <c r="F45" s="1029">
        <f t="shared" si="0"/>
        <v>0</v>
      </c>
    </row>
    <row r="46" spans="1:6" s="437" customFormat="1" ht="22.5" customHeight="1" x14ac:dyDescent="0.2">
      <c r="A46" s="628" t="s">
        <v>792</v>
      </c>
      <c r="B46" s="630">
        <v>120000</v>
      </c>
      <c r="C46" s="1026" t="s">
        <v>718</v>
      </c>
      <c r="D46" s="1027"/>
      <c r="E46" s="631">
        <v>120000</v>
      </c>
      <c r="F46" s="1029">
        <f t="shared" si="0"/>
        <v>0</v>
      </c>
    </row>
    <row r="47" spans="1:6" s="624" customFormat="1" ht="22.5" customHeight="1" x14ac:dyDescent="0.2">
      <c r="A47" s="628" t="s">
        <v>793</v>
      </c>
      <c r="B47" s="630">
        <v>60000</v>
      </c>
      <c r="C47" s="1026" t="s">
        <v>718</v>
      </c>
      <c r="D47" s="1027"/>
      <c r="E47" s="631">
        <v>60000</v>
      </c>
      <c r="F47" s="1029">
        <f t="shared" si="0"/>
        <v>0</v>
      </c>
    </row>
    <row r="48" spans="1:6" s="624" customFormat="1" ht="22.5" customHeight="1" x14ac:dyDescent="0.2">
      <c r="A48" s="628" t="s">
        <v>794</v>
      </c>
      <c r="B48" s="630">
        <v>33332</v>
      </c>
      <c r="C48" s="1026" t="s">
        <v>718</v>
      </c>
      <c r="D48" s="1027"/>
      <c r="E48" s="631">
        <v>33332</v>
      </c>
      <c r="F48" s="1029"/>
    </row>
    <row r="49" spans="1:6" s="616" customFormat="1" ht="22.5" customHeight="1" x14ac:dyDescent="0.2">
      <c r="A49" s="628" t="s">
        <v>778</v>
      </c>
      <c r="B49" s="630">
        <v>63500</v>
      </c>
      <c r="C49" s="1026" t="s">
        <v>718</v>
      </c>
      <c r="D49" s="1027"/>
      <c r="E49" s="631">
        <v>63500</v>
      </c>
      <c r="F49" s="1029">
        <f t="shared" si="0"/>
        <v>0</v>
      </c>
    </row>
    <row r="50" spans="1:6" s="437" customFormat="1" ht="22.5" customHeight="1" x14ac:dyDescent="0.2">
      <c r="A50" s="629" t="s">
        <v>600</v>
      </c>
      <c r="B50" s="630"/>
      <c r="C50" s="1026"/>
      <c r="D50" s="1027"/>
      <c r="E50" s="631"/>
      <c r="F50" s="1029">
        <f t="shared" si="0"/>
        <v>0</v>
      </c>
    </row>
    <row r="51" spans="1:6" s="437" customFormat="1" ht="22.5" customHeight="1" x14ac:dyDescent="0.2">
      <c r="A51" s="628" t="s">
        <v>795</v>
      </c>
      <c r="B51" s="630">
        <v>90000</v>
      </c>
      <c r="C51" s="1026" t="s">
        <v>718</v>
      </c>
      <c r="D51" s="1027"/>
      <c r="E51" s="631">
        <v>90000</v>
      </c>
      <c r="F51" s="1029">
        <f t="shared" si="0"/>
        <v>0</v>
      </c>
    </row>
    <row r="52" spans="1:6" s="437" customFormat="1" ht="22.5" customHeight="1" x14ac:dyDescent="0.2">
      <c r="A52" s="628" t="s">
        <v>796</v>
      </c>
      <c r="B52" s="630">
        <v>33332</v>
      </c>
      <c r="C52" s="1026" t="s">
        <v>718</v>
      </c>
      <c r="D52" s="1027"/>
      <c r="E52" s="631">
        <v>33332</v>
      </c>
      <c r="F52" s="1029">
        <f t="shared" si="0"/>
        <v>0</v>
      </c>
    </row>
    <row r="53" spans="1:6" s="437" customFormat="1" ht="22.5" customHeight="1" x14ac:dyDescent="0.2">
      <c r="A53" s="629" t="s">
        <v>601</v>
      </c>
      <c r="B53" s="1025"/>
      <c r="C53" s="1026"/>
      <c r="D53" s="1027"/>
      <c r="E53" s="1027"/>
      <c r="F53" s="1029">
        <f t="shared" si="0"/>
        <v>0</v>
      </c>
    </row>
    <row r="54" spans="1:6" s="611" customFormat="1" ht="21" customHeight="1" x14ac:dyDescent="0.2">
      <c r="A54" s="628" t="s">
        <v>797</v>
      </c>
      <c r="B54" s="1025">
        <v>72000</v>
      </c>
      <c r="C54" s="1026" t="s">
        <v>718</v>
      </c>
      <c r="D54" s="1027"/>
      <c r="E54" s="1027">
        <v>72000</v>
      </c>
      <c r="F54" s="1029">
        <f t="shared" si="0"/>
        <v>0</v>
      </c>
    </row>
    <row r="55" spans="1:6" s="611" customFormat="1" ht="21" customHeight="1" x14ac:dyDescent="0.2">
      <c r="A55" s="628" t="s">
        <v>798</v>
      </c>
      <c r="B55" s="1025">
        <v>50000</v>
      </c>
      <c r="C55" s="1026" t="s">
        <v>718</v>
      </c>
      <c r="D55" s="1027"/>
      <c r="E55" s="1027">
        <v>50000</v>
      </c>
      <c r="F55" s="1029">
        <f t="shared" si="0"/>
        <v>0</v>
      </c>
    </row>
    <row r="56" spans="1:6" s="624" customFormat="1" ht="21" customHeight="1" x14ac:dyDescent="0.2">
      <c r="A56" s="628" t="s">
        <v>799</v>
      </c>
      <c r="B56" s="1025">
        <v>16667</v>
      </c>
      <c r="C56" s="1026" t="s">
        <v>718</v>
      </c>
      <c r="D56" s="1027"/>
      <c r="E56" s="1027">
        <v>16667</v>
      </c>
      <c r="F56" s="1029">
        <f t="shared" si="0"/>
        <v>0</v>
      </c>
    </row>
    <row r="57" spans="1:6" s="624" customFormat="1" ht="21" customHeight="1" x14ac:dyDescent="0.2">
      <c r="A57" s="632" t="s">
        <v>800</v>
      </c>
      <c r="B57" s="1025">
        <v>70000</v>
      </c>
      <c r="C57" s="1026" t="s">
        <v>718</v>
      </c>
      <c r="D57" s="1027"/>
      <c r="E57" s="1027">
        <v>70000</v>
      </c>
      <c r="F57" s="1029">
        <f t="shared" si="0"/>
        <v>0</v>
      </c>
    </row>
    <row r="58" spans="1:6" s="624" customFormat="1" ht="25.9" customHeight="1" x14ac:dyDescent="0.2">
      <c r="A58" s="629" t="s">
        <v>801</v>
      </c>
      <c r="B58" s="1025"/>
      <c r="C58" s="1026"/>
      <c r="D58" s="1027"/>
      <c r="E58" s="1027"/>
      <c r="F58" s="1029">
        <f t="shared" si="0"/>
        <v>0</v>
      </c>
    </row>
    <row r="59" spans="1:6" s="611" customFormat="1" x14ac:dyDescent="0.2">
      <c r="A59" s="632" t="s">
        <v>726</v>
      </c>
      <c r="B59" s="1025">
        <v>717651</v>
      </c>
      <c r="C59" s="1026" t="s">
        <v>718</v>
      </c>
      <c r="D59" s="1027"/>
      <c r="E59" s="1027">
        <v>717651</v>
      </c>
      <c r="F59" s="1029">
        <f t="shared" si="0"/>
        <v>0</v>
      </c>
    </row>
    <row r="60" spans="1:6" s="616" customFormat="1" ht="21" customHeight="1" x14ac:dyDescent="0.2">
      <c r="A60" s="629" t="s">
        <v>802</v>
      </c>
      <c r="B60" s="1025"/>
      <c r="C60" s="1026"/>
      <c r="D60" s="1027"/>
      <c r="E60" s="1027"/>
      <c r="F60" s="1029">
        <f t="shared" si="0"/>
        <v>0</v>
      </c>
    </row>
    <row r="61" spans="1:6" s="616" customFormat="1" ht="25.5" x14ac:dyDescent="0.2">
      <c r="A61" s="634" t="s">
        <v>803</v>
      </c>
      <c r="B61" s="1025">
        <v>5233000</v>
      </c>
      <c r="C61" s="1026" t="s">
        <v>718</v>
      </c>
      <c r="D61" s="1027"/>
      <c r="E61" s="1027">
        <v>5233000</v>
      </c>
      <c r="F61" s="1029">
        <f t="shared" si="0"/>
        <v>0</v>
      </c>
    </row>
    <row r="62" spans="1:6" s="616" customFormat="1" ht="24" customHeight="1" x14ac:dyDescent="0.2">
      <c r="A62" s="633" t="s">
        <v>804</v>
      </c>
      <c r="B62" s="1025">
        <v>6500000</v>
      </c>
      <c r="C62" s="1026" t="s">
        <v>718</v>
      </c>
      <c r="D62" s="1027"/>
      <c r="E62" s="1027">
        <v>6500000</v>
      </c>
      <c r="F62" s="1029">
        <f t="shared" si="0"/>
        <v>0</v>
      </c>
    </row>
    <row r="63" spans="1:6" s="616" customFormat="1" x14ac:dyDescent="0.2">
      <c r="A63" s="1033" t="s">
        <v>805</v>
      </c>
      <c r="B63" s="1025"/>
      <c r="C63" s="1026"/>
      <c r="D63" s="1027"/>
      <c r="E63" s="1027"/>
      <c r="F63" s="1029">
        <f t="shared" si="0"/>
        <v>0</v>
      </c>
    </row>
    <row r="64" spans="1:6" s="616" customFormat="1" x14ac:dyDescent="0.2">
      <c r="A64" s="632" t="s">
        <v>806</v>
      </c>
      <c r="B64" s="630">
        <v>100000</v>
      </c>
      <c r="C64" s="1026" t="s">
        <v>718</v>
      </c>
      <c r="D64" s="1034"/>
      <c r="E64" s="631">
        <v>100000</v>
      </c>
      <c r="F64" s="1029">
        <f t="shared" si="0"/>
        <v>0</v>
      </c>
    </row>
    <row r="65" spans="1:6" s="624" customFormat="1" x14ac:dyDescent="0.2">
      <c r="A65" s="632" t="s">
        <v>820</v>
      </c>
      <c r="B65" s="630">
        <v>568532</v>
      </c>
      <c r="C65" s="1026" t="s">
        <v>718</v>
      </c>
      <c r="D65" s="1027"/>
      <c r="E65" s="631">
        <v>568532</v>
      </c>
      <c r="F65" s="1029">
        <f t="shared" si="0"/>
        <v>0</v>
      </c>
    </row>
    <row r="66" spans="1:6" s="616" customFormat="1" x14ac:dyDescent="0.2">
      <c r="A66" s="632" t="s">
        <v>807</v>
      </c>
      <c r="B66" s="630">
        <v>50000</v>
      </c>
      <c r="C66" s="1026" t="s">
        <v>718</v>
      </c>
      <c r="D66" s="1027"/>
      <c r="E66" s="631">
        <v>50000</v>
      </c>
      <c r="F66" s="1029">
        <f t="shared" si="0"/>
        <v>0</v>
      </c>
    </row>
    <row r="67" spans="1:6" s="437" customFormat="1" x14ac:dyDescent="0.2">
      <c r="A67" s="629" t="s">
        <v>808</v>
      </c>
      <c r="B67" s="630"/>
      <c r="C67" s="1026"/>
      <c r="D67" s="1027"/>
      <c r="E67" s="631"/>
      <c r="F67" s="1029"/>
    </row>
    <row r="68" spans="1:6" s="437" customFormat="1" ht="13.5" thickBot="1" x14ac:dyDescent="0.25">
      <c r="A68" s="1060" t="s">
        <v>809</v>
      </c>
      <c r="B68" s="1054">
        <v>16669</v>
      </c>
      <c r="C68" s="1055" t="s">
        <v>718</v>
      </c>
      <c r="D68" s="1056"/>
      <c r="E68" s="1056">
        <v>16669</v>
      </c>
      <c r="F68" s="1057"/>
    </row>
    <row r="69" spans="1:6" s="611" customFormat="1" ht="21" customHeight="1" x14ac:dyDescent="0.2">
      <c r="A69" s="1061" t="s">
        <v>548</v>
      </c>
      <c r="B69" s="1020"/>
      <c r="C69" s="1021"/>
      <c r="D69" s="1022"/>
      <c r="E69" s="1022"/>
      <c r="F69" s="1023">
        <f t="shared" si="0"/>
        <v>0</v>
      </c>
    </row>
    <row r="70" spans="1:6" s="437" customFormat="1" ht="19.5" customHeight="1" x14ac:dyDescent="0.2">
      <c r="A70" s="1035" t="s">
        <v>810</v>
      </c>
      <c r="B70" s="1025">
        <v>133350</v>
      </c>
      <c r="C70" s="1026" t="s">
        <v>718</v>
      </c>
      <c r="D70" s="1027"/>
      <c r="E70" s="1027">
        <v>133350</v>
      </c>
      <c r="F70" s="1029">
        <f t="shared" si="0"/>
        <v>0</v>
      </c>
    </row>
    <row r="71" spans="1:6" s="437" customFormat="1" ht="19.5" customHeight="1" x14ac:dyDescent="0.2">
      <c r="A71" s="1035" t="s">
        <v>811</v>
      </c>
      <c r="B71" s="1025">
        <v>151130</v>
      </c>
      <c r="C71" s="1026" t="s">
        <v>718</v>
      </c>
      <c r="D71" s="1027"/>
      <c r="E71" s="1027">
        <v>151130</v>
      </c>
      <c r="F71" s="1029">
        <f t="shared" si="0"/>
        <v>0</v>
      </c>
    </row>
    <row r="72" spans="1:6" s="437" customFormat="1" ht="19.5" customHeight="1" x14ac:dyDescent="0.2">
      <c r="A72" s="1035" t="s">
        <v>812</v>
      </c>
      <c r="B72" s="1025">
        <v>255270</v>
      </c>
      <c r="C72" s="1026" t="s">
        <v>718</v>
      </c>
      <c r="D72" s="1027"/>
      <c r="E72" s="1027">
        <v>255270</v>
      </c>
      <c r="F72" s="1029"/>
    </row>
    <row r="73" spans="1:6" s="437" customFormat="1" ht="19.5" customHeight="1" x14ac:dyDescent="0.2">
      <c r="A73" s="628" t="s">
        <v>813</v>
      </c>
      <c r="B73" s="1025">
        <v>40640</v>
      </c>
      <c r="C73" s="1026" t="s">
        <v>718</v>
      </c>
      <c r="D73" s="1027"/>
      <c r="E73" s="1027">
        <v>40640</v>
      </c>
      <c r="F73" s="1029">
        <f t="shared" si="0"/>
        <v>0</v>
      </c>
    </row>
    <row r="74" spans="1:6" s="437" customFormat="1" ht="19.5" customHeight="1" thickBot="1" x14ac:dyDescent="0.25">
      <c r="A74" s="636" t="s">
        <v>814</v>
      </c>
      <c r="B74" s="1054">
        <v>60960</v>
      </c>
      <c r="C74" s="1055" t="s">
        <v>718</v>
      </c>
      <c r="D74" s="1056"/>
      <c r="E74" s="1056">
        <v>60960</v>
      </c>
      <c r="F74" s="1057">
        <f t="shared" si="0"/>
        <v>0</v>
      </c>
    </row>
    <row r="75" spans="1:6" s="624" customFormat="1" ht="19.5" customHeight="1" thickBot="1" x14ac:dyDescent="0.25">
      <c r="A75" s="1036" t="s">
        <v>68</v>
      </c>
      <c r="B75" s="1037">
        <f>SUM(B5:B74)</f>
        <v>393282701</v>
      </c>
      <c r="C75" s="1038"/>
      <c r="D75" s="1037">
        <f>SUM(D5:D74)</f>
        <v>16040970</v>
      </c>
      <c r="E75" s="1037">
        <f>SUM(E5:E74)</f>
        <v>377241731</v>
      </c>
      <c r="F75" s="1037">
        <f>SUM(F5:F74)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./....(......) önkormányzati rendelethez</oddHeader>
  </headerFooter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G3" sqref="G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276" t="s">
        <v>9</v>
      </c>
      <c r="B1" s="1276"/>
      <c r="C1" s="1276"/>
      <c r="D1" s="1276"/>
      <c r="E1" s="1276"/>
      <c r="F1" s="1276"/>
    </row>
    <row r="2" spans="1:7" ht="23.25" customHeight="1" thickBot="1" x14ac:dyDescent="0.3">
      <c r="A2" s="820"/>
      <c r="B2" s="787"/>
      <c r="C2" s="787"/>
      <c r="D2" s="787"/>
      <c r="E2" s="787"/>
      <c r="F2" s="821" t="s">
        <v>572</v>
      </c>
    </row>
    <row r="3" spans="1:7" s="35" customFormat="1" ht="48.75" customHeight="1" thickBot="1" x14ac:dyDescent="0.25">
      <c r="A3" s="791" t="s">
        <v>72</v>
      </c>
      <c r="B3" s="822" t="s">
        <v>70</v>
      </c>
      <c r="C3" s="822" t="s">
        <v>71</v>
      </c>
      <c r="D3" s="822" t="s">
        <v>719</v>
      </c>
      <c r="E3" s="822" t="s">
        <v>699</v>
      </c>
      <c r="F3" s="793" t="s">
        <v>704</v>
      </c>
      <c r="G3" s="324"/>
    </row>
    <row r="4" spans="1:7" s="38" customFormat="1" ht="15" customHeight="1" thickBot="1" x14ac:dyDescent="0.25">
      <c r="A4" s="823">
        <v>1</v>
      </c>
      <c r="B4" s="824">
        <v>2</v>
      </c>
      <c r="C4" s="824">
        <v>3</v>
      </c>
      <c r="D4" s="824">
        <v>4</v>
      </c>
      <c r="E4" s="824">
        <v>5</v>
      </c>
      <c r="F4" s="825">
        <v>6</v>
      </c>
    </row>
    <row r="5" spans="1:7" s="38" customFormat="1" ht="15" customHeight="1" thickBot="1" x14ac:dyDescent="0.25">
      <c r="A5" s="1280" t="s">
        <v>817</v>
      </c>
      <c r="B5" s="1281"/>
      <c r="C5" s="1281"/>
      <c r="D5" s="1281"/>
      <c r="E5" s="1281"/>
      <c r="F5" s="1282"/>
    </row>
    <row r="6" spans="1:7" s="437" customFormat="1" ht="15.95" customHeight="1" x14ac:dyDescent="0.2">
      <c r="A6" s="938" t="s">
        <v>730</v>
      </c>
      <c r="B6" s="940">
        <v>6761480</v>
      </c>
      <c r="C6" s="941" t="s">
        <v>718</v>
      </c>
      <c r="D6" s="942"/>
      <c r="E6" s="942">
        <v>6761480</v>
      </c>
      <c r="F6" s="943">
        <f t="shared" ref="F6:F15" si="0">B6-D6-E6</f>
        <v>0</v>
      </c>
    </row>
    <row r="7" spans="1:7" ht="15.95" customHeight="1" x14ac:dyDescent="0.2">
      <c r="A7" s="939" t="s">
        <v>731</v>
      </c>
      <c r="B7" s="944">
        <f>2981946+197250</f>
        <v>3179196</v>
      </c>
      <c r="C7" s="951" t="s">
        <v>856</v>
      </c>
      <c r="D7" s="946">
        <f>2981946</f>
        <v>2981946</v>
      </c>
      <c r="E7" s="946">
        <v>197250</v>
      </c>
      <c r="F7" s="948">
        <f t="shared" si="0"/>
        <v>0</v>
      </c>
    </row>
    <row r="8" spans="1:7" ht="15.95" customHeight="1" x14ac:dyDescent="0.2">
      <c r="A8" s="939" t="s">
        <v>732</v>
      </c>
      <c r="B8" s="944">
        <v>1270000</v>
      </c>
      <c r="C8" s="945">
        <v>2019</v>
      </c>
      <c r="D8" s="946"/>
      <c r="E8" s="946">
        <v>1270000</v>
      </c>
      <c r="F8" s="947">
        <f t="shared" si="0"/>
        <v>0</v>
      </c>
    </row>
    <row r="9" spans="1:7" ht="15.95" customHeight="1" x14ac:dyDescent="0.2">
      <c r="A9" s="939" t="s">
        <v>733</v>
      </c>
      <c r="B9" s="944">
        <v>889000</v>
      </c>
      <c r="C9" s="945">
        <v>2019</v>
      </c>
      <c r="D9" s="946"/>
      <c r="E9" s="946">
        <v>889000</v>
      </c>
      <c r="F9" s="948">
        <f t="shared" si="0"/>
        <v>0</v>
      </c>
    </row>
    <row r="10" spans="1:7" s="437" customFormat="1" ht="15.95" customHeight="1" x14ac:dyDescent="0.2">
      <c r="A10" s="939" t="s">
        <v>734</v>
      </c>
      <c r="B10" s="944">
        <v>400001</v>
      </c>
      <c r="C10" s="945">
        <v>2019</v>
      </c>
      <c r="D10" s="946"/>
      <c r="E10" s="946">
        <v>400001</v>
      </c>
      <c r="F10" s="948">
        <f t="shared" si="0"/>
        <v>0</v>
      </c>
    </row>
    <row r="11" spans="1:7" ht="15.95" customHeight="1" x14ac:dyDescent="0.2">
      <c r="A11" s="939" t="s">
        <v>737</v>
      </c>
      <c r="B11" s="944">
        <v>22860000</v>
      </c>
      <c r="C11" s="951">
        <v>2019</v>
      </c>
      <c r="D11" s="952"/>
      <c r="E11" s="952">
        <v>22860000</v>
      </c>
      <c r="F11" s="953">
        <f t="shared" si="0"/>
        <v>0</v>
      </c>
    </row>
    <row r="12" spans="1:7" ht="15.95" customHeight="1" x14ac:dyDescent="0.2">
      <c r="A12" s="954" t="s">
        <v>862</v>
      </c>
      <c r="B12" s="944">
        <v>28614577</v>
      </c>
      <c r="C12" s="945">
        <v>2019</v>
      </c>
      <c r="D12" s="946"/>
      <c r="E12" s="946">
        <v>28614577</v>
      </c>
      <c r="F12" s="947">
        <f t="shared" si="0"/>
        <v>0</v>
      </c>
    </row>
    <row r="13" spans="1:7" s="437" customFormat="1" ht="15.95" customHeight="1" x14ac:dyDescent="0.2">
      <c r="A13" s="965" t="s">
        <v>746</v>
      </c>
      <c r="B13" s="944">
        <v>1206500</v>
      </c>
      <c r="C13" s="945">
        <v>2019</v>
      </c>
      <c r="D13" s="946"/>
      <c r="E13" s="946">
        <v>1206500</v>
      </c>
      <c r="F13" s="948">
        <f t="shared" si="0"/>
        <v>0</v>
      </c>
    </row>
    <row r="14" spans="1:7" s="426" customFormat="1" ht="15.95" customHeight="1" x14ac:dyDescent="0.2">
      <c r="A14" s="959" t="s">
        <v>859</v>
      </c>
      <c r="B14" s="944">
        <v>41244493</v>
      </c>
      <c r="C14" s="1132" t="s">
        <v>857</v>
      </c>
      <c r="D14" s="949"/>
      <c r="E14" s="949">
        <v>41244493</v>
      </c>
      <c r="F14" s="950">
        <f t="shared" si="0"/>
        <v>0</v>
      </c>
      <c r="G14" s="437"/>
    </row>
    <row r="15" spans="1:7" s="426" customFormat="1" ht="15.95" customHeight="1" thickBot="1" x14ac:dyDescent="0.25">
      <c r="A15" s="1071" t="s">
        <v>747</v>
      </c>
      <c r="B15" s="1072">
        <v>1905000</v>
      </c>
      <c r="C15" s="1073">
        <v>2019</v>
      </c>
      <c r="D15" s="1074"/>
      <c r="E15" s="1074">
        <v>1905000</v>
      </c>
      <c r="F15" s="1075">
        <f t="shared" si="0"/>
        <v>0</v>
      </c>
    </row>
    <row r="16" spans="1:7" s="426" customFormat="1" ht="15.95" customHeight="1" thickBot="1" x14ac:dyDescent="0.25">
      <c r="A16" s="1277" t="s">
        <v>0</v>
      </c>
      <c r="B16" s="1278"/>
      <c r="C16" s="1278"/>
      <c r="D16" s="1278"/>
      <c r="E16" s="1278"/>
      <c r="F16" s="1279"/>
    </row>
    <row r="17" spans="1:6" ht="15.95" customHeight="1" x14ac:dyDescent="0.2">
      <c r="A17" s="1062" t="s">
        <v>815</v>
      </c>
      <c r="B17" s="1063">
        <v>355600</v>
      </c>
      <c r="C17" s="1064" t="s">
        <v>718</v>
      </c>
      <c r="D17" s="1065"/>
      <c r="E17" s="1065">
        <v>355600</v>
      </c>
      <c r="F17" s="1066">
        <f t="shared" ref="F17:F18" si="1">B17-D17-E17</f>
        <v>0</v>
      </c>
    </row>
    <row r="18" spans="1:6" ht="15.95" customHeight="1" thickBot="1" x14ac:dyDescent="0.25">
      <c r="A18" s="1067" t="s">
        <v>816</v>
      </c>
      <c r="B18" s="1068">
        <v>609600</v>
      </c>
      <c r="C18" s="1069">
        <v>2019</v>
      </c>
      <c r="D18" s="1070"/>
      <c r="E18" s="1070">
        <v>609600</v>
      </c>
      <c r="F18" s="826">
        <f t="shared" si="1"/>
        <v>0</v>
      </c>
    </row>
    <row r="19" spans="1:6" s="39" customFormat="1" ht="18" customHeight="1" thickBot="1" x14ac:dyDescent="0.25">
      <c r="A19" s="827" t="s">
        <v>68</v>
      </c>
      <c r="B19" s="828">
        <f>SUM(B6:B18)</f>
        <v>109295447</v>
      </c>
      <c r="C19" s="829"/>
      <c r="D19" s="828">
        <f>SUM(D6:D18)</f>
        <v>2981946</v>
      </c>
      <c r="E19" s="828">
        <f>SUM(E6:E18)</f>
        <v>106313501</v>
      </c>
      <c r="F19" s="830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4/2019.(II.19.)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34.5" customHeight="1" x14ac:dyDescent="0.25">
      <c r="A2" s="1283" t="s">
        <v>628</v>
      </c>
      <c r="B2" s="1283"/>
      <c r="C2" s="1283"/>
      <c r="D2" s="1283"/>
      <c r="E2" s="1283"/>
    </row>
    <row r="3" spans="1:5" ht="14.25" thickBot="1" x14ac:dyDescent="0.3">
      <c r="A3" s="657"/>
      <c r="B3" s="657"/>
      <c r="C3" s="657"/>
      <c r="D3" s="1284" t="s">
        <v>578</v>
      </c>
      <c r="E3" s="128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70849685</v>
      </c>
      <c r="C7" s="668">
        <v>4096468</v>
      </c>
      <c r="D7" s="668"/>
      <c r="E7" s="669">
        <v>74946153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70849685</v>
      </c>
      <c r="C12" s="673">
        <f>C5+SUM(C7:C11)</f>
        <v>4096468</v>
      </c>
      <c r="D12" s="673">
        <f>D5+SUM(D7:D11)</f>
        <v>0</v>
      </c>
      <c r="E12" s="674">
        <f>E5+SUM(E7:E11)</f>
        <v>74946153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>
        <v>70832051</v>
      </c>
      <c r="C16" s="668"/>
      <c r="D16" s="668"/>
      <c r="E16" s="669">
        <v>70832051</v>
      </c>
    </row>
    <row r="17" spans="1:5" x14ac:dyDescent="0.2">
      <c r="A17" s="667" t="s">
        <v>639</v>
      </c>
      <c r="B17" s="668">
        <v>4114102</v>
      </c>
      <c r="C17" s="668"/>
      <c r="D17" s="668"/>
      <c r="E17" s="669">
        <v>4114102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/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74946153</v>
      </c>
      <c r="C22" s="673">
        <f>SUM(C15:C21)</f>
        <v>0</v>
      </c>
      <c r="D22" s="673">
        <f>SUM(D15:D21)</f>
        <v>0</v>
      </c>
      <c r="E22" s="674">
        <f>SUM(E15:E21)</f>
        <v>74946153</v>
      </c>
    </row>
    <row r="23" spans="1:5" x14ac:dyDescent="0.2">
      <c r="A23" s="657"/>
      <c r="B23" s="657"/>
      <c r="C23" s="657"/>
      <c r="D23" s="657"/>
      <c r="E23" s="657"/>
    </row>
    <row r="24" spans="1:5" ht="34.5" customHeight="1" x14ac:dyDescent="0.25">
      <c r="A24" s="1283" t="s">
        <v>642</v>
      </c>
      <c r="B24" s="1283"/>
      <c r="C24" s="1283"/>
      <c r="D24" s="1283"/>
      <c r="E24" s="1283"/>
    </row>
    <row r="25" spans="1:5" ht="14.25" thickBot="1" x14ac:dyDescent="0.3">
      <c r="A25" s="657"/>
      <c r="B25" s="657"/>
      <c r="C25" s="657"/>
      <c r="D25" s="1284" t="s">
        <v>578</v>
      </c>
      <c r="E25" s="128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72101690</v>
      </c>
      <c r="C29" s="668">
        <v>3487179</v>
      </c>
      <c r="D29" s="668"/>
      <c r="E29" s="669">
        <v>75588869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72101690</v>
      </c>
      <c r="C34" s="673">
        <f>C27+SUM(C29:C33)</f>
        <v>3487179</v>
      </c>
      <c r="D34" s="673">
        <f>D27+SUM(D29:D33)</f>
        <v>0</v>
      </c>
      <c r="E34" s="674">
        <f>E27+SUM(E29:E33)</f>
        <v>75588869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>
        <v>1863013</v>
      </c>
      <c r="C37" s="662"/>
      <c r="D37" s="662"/>
      <c r="E37" s="1124">
        <v>1863013</v>
      </c>
    </row>
    <row r="38" spans="1:5" x14ac:dyDescent="0.2">
      <c r="A38" s="676" t="s">
        <v>638</v>
      </c>
      <c r="B38" s="668">
        <v>52326238</v>
      </c>
      <c r="C38" s="679"/>
      <c r="D38" s="668"/>
      <c r="E38" s="1125">
        <v>52326238</v>
      </c>
    </row>
    <row r="39" spans="1:5" x14ac:dyDescent="0.2">
      <c r="A39" s="667" t="s">
        <v>639</v>
      </c>
      <c r="B39" s="668">
        <v>6391846</v>
      </c>
      <c r="C39" s="668"/>
      <c r="D39" s="668"/>
      <c r="E39" s="1125">
        <v>6391846</v>
      </c>
    </row>
    <row r="40" spans="1:5" x14ac:dyDescent="0.2">
      <c r="A40" s="667" t="s">
        <v>640</v>
      </c>
      <c r="B40" s="668"/>
      <c r="C40" s="668"/>
      <c r="D40" s="668"/>
      <c r="E40" s="1125"/>
    </row>
    <row r="41" spans="1:5" x14ac:dyDescent="0.2">
      <c r="A41" s="677" t="s">
        <v>641</v>
      </c>
      <c r="B41" s="668">
        <v>879687</v>
      </c>
      <c r="C41" s="668"/>
      <c r="D41" s="668"/>
      <c r="E41" s="1125">
        <v>879687</v>
      </c>
    </row>
    <row r="42" spans="1:5" x14ac:dyDescent="0.2">
      <c r="A42" s="677" t="s">
        <v>643</v>
      </c>
      <c r="B42" s="668">
        <v>14128085</v>
      </c>
      <c r="C42" s="679"/>
      <c r="D42" s="668"/>
      <c r="E42" s="1125">
        <v>14128085</v>
      </c>
    </row>
    <row r="43" spans="1:5" ht="13.5" thickBot="1" x14ac:dyDescent="0.25">
      <c r="A43" s="1126"/>
      <c r="B43" s="1127"/>
      <c r="C43" s="1127"/>
      <c r="D43" s="1127"/>
      <c r="E43" s="1128"/>
    </row>
    <row r="44" spans="1:5" ht="13.5" thickBot="1" x14ac:dyDescent="0.25">
      <c r="A44" s="672" t="s">
        <v>56</v>
      </c>
      <c r="B44" s="680">
        <f>SUM(B37:B43)</f>
        <v>75588869</v>
      </c>
      <c r="C44" s="680">
        <f>SUM(C37:C43)</f>
        <v>0</v>
      </c>
      <c r="D44" s="680">
        <f>SUM(D37:D43)</f>
        <v>0</v>
      </c>
      <c r="E44" s="681">
        <f>SUM(E37:E43)</f>
        <v>75588869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34.5" customHeight="1" x14ac:dyDescent="0.25">
      <c r="A2" s="1283" t="s">
        <v>850</v>
      </c>
      <c r="B2" s="1283"/>
      <c r="C2" s="1283"/>
      <c r="D2" s="1283"/>
      <c r="E2" s="1283"/>
    </row>
    <row r="3" spans="1:5" ht="14.25" thickBot="1" x14ac:dyDescent="0.3">
      <c r="A3" s="657"/>
      <c r="B3" s="657"/>
      <c r="C3" s="657"/>
      <c r="D3" s="1284" t="s">
        <v>578</v>
      </c>
      <c r="E3" s="128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198221240</v>
      </c>
      <c r="C7" s="668">
        <v>1499572</v>
      </c>
      <c r="D7" s="668"/>
      <c r="E7" s="669">
        <v>199720812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198221240</v>
      </c>
      <c r="C12" s="673">
        <f>C5+SUM(C7:C11)</f>
        <v>1499572</v>
      </c>
      <c r="D12" s="673">
        <f>D5+SUM(D7:D11)</f>
        <v>0</v>
      </c>
      <c r="E12" s="674">
        <f>E5+SUM(E7:E11)</f>
        <v>199720812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>
        <v>3967199</v>
      </c>
      <c r="C15" s="662"/>
      <c r="D15" s="662"/>
      <c r="E15" s="663">
        <v>3967199</v>
      </c>
    </row>
    <row r="16" spans="1:5" x14ac:dyDescent="0.2">
      <c r="A16" s="676" t="s">
        <v>638</v>
      </c>
      <c r="B16" s="668">
        <v>139337230</v>
      </c>
      <c r="C16" s="668"/>
      <c r="D16" s="668"/>
      <c r="E16" s="669">
        <v>139337230</v>
      </c>
    </row>
    <row r="17" spans="1:5" x14ac:dyDescent="0.2">
      <c r="A17" s="667" t="s">
        <v>639</v>
      </c>
      <c r="B17" s="668">
        <v>12395200</v>
      </c>
      <c r="C17" s="668"/>
      <c r="D17" s="668"/>
      <c r="E17" s="669">
        <v>12395200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>
        <v>6400130</v>
      </c>
      <c r="C19" s="668"/>
      <c r="D19" s="668"/>
      <c r="E19" s="669">
        <v>6400130</v>
      </c>
    </row>
    <row r="20" spans="1:5" x14ac:dyDescent="0.2">
      <c r="A20" s="677" t="s">
        <v>643</v>
      </c>
      <c r="B20" s="668">
        <v>37621053</v>
      </c>
      <c r="C20" s="668"/>
      <c r="D20" s="668"/>
      <c r="E20" s="669">
        <v>37621053</v>
      </c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199720812</v>
      </c>
      <c r="C22" s="673">
        <f>SUM(C15:C21)</f>
        <v>0</v>
      </c>
      <c r="D22" s="673">
        <f>SUM(D15:D21)</f>
        <v>0</v>
      </c>
      <c r="E22" s="674">
        <f>SUM(E15:E21)</f>
        <v>199720812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283" t="s">
        <v>851</v>
      </c>
      <c r="B24" s="1283"/>
      <c r="C24" s="1283"/>
      <c r="D24" s="1283"/>
      <c r="E24" s="1283"/>
    </row>
    <row r="25" spans="1:5" ht="14.25" thickBot="1" x14ac:dyDescent="0.3">
      <c r="A25" s="657"/>
      <c r="B25" s="657"/>
      <c r="C25" s="657"/>
      <c r="D25" s="1284" t="s">
        <v>578</v>
      </c>
      <c r="E25" s="128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15956160</v>
      </c>
      <c r="C29" s="668"/>
      <c r="D29" s="668"/>
      <c r="E29" s="669">
        <v>15956160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15956160</v>
      </c>
      <c r="C34" s="673">
        <f>C27+SUM(C29:C33)</f>
        <v>0</v>
      </c>
      <c r="D34" s="673">
        <f>D27+SUM(D29:D33)</f>
        <v>0</v>
      </c>
      <c r="E34" s="674">
        <f>E27+SUM(E29:E33)</f>
        <v>15956160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/>
      <c r="C37" s="662"/>
      <c r="D37" s="662"/>
      <c r="E37" s="663"/>
    </row>
    <row r="38" spans="1:5" x14ac:dyDescent="0.2">
      <c r="A38" s="676" t="s">
        <v>638</v>
      </c>
      <c r="B38" s="668"/>
      <c r="C38" s="668">
        <f>11917323+159000</f>
        <v>12076323</v>
      </c>
      <c r="D38" s="668"/>
      <c r="E38" s="669">
        <v>12076323</v>
      </c>
    </row>
    <row r="39" spans="1:5" x14ac:dyDescent="0.2">
      <c r="A39" s="667" t="s">
        <v>639</v>
      </c>
      <c r="B39" s="668">
        <v>797160</v>
      </c>
      <c r="C39" s="668"/>
      <c r="D39" s="668"/>
      <c r="E39" s="669">
        <v>797160</v>
      </c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>
        <v>3082677</v>
      </c>
      <c r="D42" s="668"/>
      <c r="E42" s="669">
        <v>3082677</v>
      </c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797160</v>
      </c>
      <c r="C44" s="680">
        <f>SUM(C37:C43)</f>
        <v>15159000</v>
      </c>
      <c r="D44" s="680">
        <f>SUM(D37:D43)</f>
        <v>0</v>
      </c>
      <c r="E44" s="681">
        <f>SUM(E37:E43)</f>
        <v>15956160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G3" sqref="G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15.75" customHeight="1" x14ac:dyDescent="0.25">
      <c r="A2" s="1283" t="s">
        <v>849</v>
      </c>
      <c r="B2" s="1283"/>
      <c r="C2" s="1283"/>
      <c r="D2" s="1283"/>
      <c r="E2" s="1283"/>
    </row>
    <row r="3" spans="1:5" ht="14.25" thickBot="1" x14ac:dyDescent="0.3">
      <c r="A3" s="657"/>
      <c r="B3" s="657"/>
      <c r="C3" s="657"/>
      <c r="D3" s="1284" t="s">
        <v>578</v>
      </c>
      <c r="E3" s="128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/>
      <c r="D5" s="662"/>
      <c r="E5" s="663"/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>
        <v>214128350</v>
      </c>
      <c r="C7" s="668"/>
      <c r="D7" s="668"/>
      <c r="E7" s="669">
        <v>214128350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214128350</v>
      </c>
      <c r="C12" s="673">
        <f>C5+SUM(C7:C11)</f>
        <v>0</v>
      </c>
      <c r="D12" s="673">
        <f>D5+SUM(D7:D11)</f>
        <v>0</v>
      </c>
      <c r="E12" s="674">
        <f>E5+SUM(E7:E11)</f>
        <v>214128350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/>
      <c r="C16" s="668">
        <f>198884010</f>
        <v>198884010</v>
      </c>
      <c r="D16" s="668"/>
      <c r="E16" s="669">
        <v>198884010</v>
      </c>
    </row>
    <row r="17" spans="1:5" x14ac:dyDescent="0.2">
      <c r="A17" s="667" t="s">
        <v>639</v>
      </c>
      <c r="B17" s="668">
        <v>15243810</v>
      </c>
      <c r="C17" s="668"/>
      <c r="D17" s="668"/>
      <c r="E17" s="669">
        <v>15243810</v>
      </c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 t="s">
        <v>643</v>
      </c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15243810</v>
      </c>
      <c r="C22" s="673">
        <f>SUM(C15:C21)</f>
        <v>198884010</v>
      </c>
      <c r="D22" s="673">
        <f>SUM(D15:D21)</f>
        <v>0</v>
      </c>
      <c r="E22" s="674">
        <f>SUM(E15:E21)</f>
        <v>214127820</v>
      </c>
    </row>
    <row r="23" spans="1:5" x14ac:dyDescent="0.2">
      <c r="A23" s="657"/>
      <c r="B23" s="657"/>
      <c r="C23" s="657"/>
      <c r="D23" s="657"/>
      <c r="E23" s="657"/>
    </row>
    <row r="24" spans="1:5" ht="69" customHeight="1" x14ac:dyDescent="0.25">
      <c r="A24" s="1283" t="s">
        <v>846</v>
      </c>
      <c r="B24" s="1283"/>
      <c r="C24" s="1283"/>
      <c r="D24" s="1283"/>
      <c r="E24" s="1283"/>
    </row>
    <row r="25" spans="1:5" ht="14.25" thickBot="1" x14ac:dyDescent="0.3">
      <c r="A25" s="657"/>
      <c r="B25" s="657"/>
      <c r="C25" s="657"/>
      <c r="D25" s="1284" t="s">
        <v>578</v>
      </c>
      <c r="E25" s="1284"/>
    </row>
    <row r="26" spans="1:5" ht="13.5" thickBot="1" x14ac:dyDescent="0.25">
      <c r="A26" s="658" t="s">
        <v>629</v>
      </c>
      <c r="B26" s="659" t="s">
        <v>705</v>
      </c>
      <c r="C26" s="659" t="s">
        <v>847</v>
      </c>
      <c r="D26" s="659" t="s">
        <v>848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>
        <f t="shared" si="1"/>
        <v>0</v>
      </c>
    </row>
    <row r="29" spans="1:5" x14ac:dyDescent="0.2">
      <c r="A29" s="667" t="s">
        <v>632</v>
      </c>
      <c r="B29" s="668">
        <v>18932847</v>
      </c>
      <c r="C29" s="668">
        <v>370000</v>
      </c>
      <c r="D29" s="668"/>
      <c r="E29" s="669">
        <f t="shared" si="1"/>
        <v>19302847</v>
      </c>
    </row>
    <row r="30" spans="1:5" x14ac:dyDescent="0.2">
      <c r="A30" s="667" t="s">
        <v>633</v>
      </c>
      <c r="B30" s="668"/>
      <c r="C30" s="668"/>
      <c r="D30" s="668"/>
      <c r="E30" s="669">
        <f t="shared" si="1"/>
        <v>0</v>
      </c>
    </row>
    <row r="31" spans="1:5" x14ac:dyDescent="0.2">
      <c r="A31" s="667" t="s">
        <v>126</v>
      </c>
      <c r="B31" s="668"/>
      <c r="C31" s="668"/>
      <c r="D31" s="668"/>
      <c r="E31" s="669">
        <f t="shared" si="1"/>
        <v>0</v>
      </c>
    </row>
    <row r="32" spans="1:5" x14ac:dyDescent="0.2">
      <c r="A32" s="667" t="s">
        <v>634</v>
      </c>
      <c r="B32" s="668"/>
      <c r="C32" s="668"/>
      <c r="D32" s="668"/>
      <c r="E32" s="669">
        <f t="shared" si="1"/>
        <v>0</v>
      </c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80">
        <f>B27+SUM(B29:B33)</f>
        <v>18932847</v>
      </c>
      <c r="C34" s="680">
        <f>C27+SUM(C29:C33)</f>
        <v>370000</v>
      </c>
      <c r="D34" s="680">
        <f>D27+SUM(D29:D33)</f>
        <v>0</v>
      </c>
      <c r="E34" s="681">
        <f>E27+SUM(E29:E33)</f>
        <v>19302847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 t="s">
        <v>847</v>
      </c>
      <c r="D36" s="659" t="s">
        <v>848</v>
      </c>
      <c r="E36" s="660" t="s">
        <v>54</v>
      </c>
    </row>
    <row r="37" spans="1:5" x14ac:dyDescent="0.2">
      <c r="A37" s="661" t="s">
        <v>637</v>
      </c>
      <c r="B37" s="1119">
        <v>5323071</v>
      </c>
      <c r="C37" s="1119">
        <v>2866981</v>
      </c>
      <c r="D37" s="1119"/>
      <c r="E37" s="1120">
        <f t="shared" ref="E37:E43" si="2">SUM(B37:D37)</f>
        <v>8190052</v>
      </c>
    </row>
    <row r="38" spans="1:5" x14ac:dyDescent="0.2">
      <c r="A38" s="676" t="s">
        <v>638</v>
      </c>
      <c r="B38" s="1121">
        <v>1448352</v>
      </c>
      <c r="C38" s="1121">
        <v>717651</v>
      </c>
      <c r="D38" s="1121">
        <v>0</v>
      </c>
      <c r="E38" s="1122">
        <f t="shared" si="2"/>
        <v>2166003</v>
      </c>
    </row>
    <row r="39" spans="1:5" x14ac:dyDescent="0.2">
      <c r="A39" s="667" t="s">
        <v>639</v>
      </c>
      <c r="B39" s="1121">
        <v>2727421</v>
      </c>
      <c r="C39" s="1121">
        <v>4091471</v>
      </c>
      <c r="D39" s="1121"/>
      <c r="E39" s="1122">
        <f t="shared" si="2"/>
        <v>6818892</v>
      </c>
    </row>
    <row r="40" spans="1:5" x14ac:dyDescent="0.2">
      <c r="A40" s="667" t="s">
        <v>640</v>
      </c>
      <c r="B40" s="1121">
        <v>357353</v>
      </c>
      <c r="C40" s="1121">
        <v>1400547</v>
      </c>
      <c r="D40" s="1121"/>
      <c r="E40" s="1122">
        <f t="shared" si="2"/>
        <v>1757900</v>
      </c>
    </row>
    <row r="41" spans="1:5" x14ac:dyDescent="0.2">
      <c r="A41" s="677" t="s">
        <v>641</v>
      </c>
      <c r="B41" s="1121"/>
      <c r="C41" s="1121">
        <v>370000</v>
      </c>
      <c r="D41" s="1121"/>
      <c r="E41" s="1122">
        <f t="shared" si="2"/>
        <v>370000</v>
      </c>
    </row>
    <row r="42" spans="1:5" x14ac:dyDescent="0.2">
      <c r="A42" s="677"/>
      <c r="B42" s="1121"/>
      <c r="C42" s="1121"/>
      <c r="D42" s="1121"/>
      <c r="E42" s="1122">
        <f t="shared" si="2"/>
        <v>0</v>
      </c>
    </row>
    <row r="43" spans="1:5" ht="13.5" thickBot="1" x14ac:dyDescent="0.25">
      <c r="A43" s="670"/>
      <c r="B43" s="1123"/>
      <c r="C43" s="1123"/>
      <c r="D43" s="1123"/>
      <c r="E43" s="1122">
        <f t="shared" si="2"/>
        <v>0</v>
      </c>
    </row>
    <row r="44" spans="1:5" ht="13.5" thickBot="1" x14ac:dyDescent="0.25">
      <c r="A44" s="672" t="s">
        <v>56</v>
      </c>
      <c r="B44" s="680">
        <f>SUM(B37:B43)</f>
        <v>9856197</v>
      </c>
      <c r="C44" s="680">
        <f>SUM(C37:C43)</f>
        <v>9446650</v>
      </c>
      <c r="D44" s="680">
        <f>SUM(D37:D43)</f>
        <v>0</v>
      </c>
      <c r="E44" s="681">
        <f>SUM(E37:E43)</f>
        <v>19302847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H2" sqref="H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74.25" customHeight="1" x14ac:dyDescent="0.25">
      <c r="A2" s="1283" t="s">
        <v>860</v>
      </c>
      <c r="B2" s="1283"/>
      <c r="C2" s="1283"/>
      <c r="D2" s="1283"/>
      <c r="E2" s="1283"/>
    </row>
    <row r="3" spans="1:5" ht="14.25" thickBot="1" x14ac:dyDescent="0.3">
      <c r="A3" s="657"/>
      <c r="B3" s="657"/>
      <c r="C3" s="657"/>
      <c r="D3" s="1284" t="s">
        <v>578</v>
      </c>
      <c r="E3" s="1284"/>
    </row>
    <row r="4" spans="1:5" ht="15" customHeight="1" thickBot="1" x14ac:dyDescent="0.25">
      <c r="A4" s="658" t="s">
        <v>629</v>
      </c>
      <c r="B4" s="659" t="s">
        <v>705</v>
      </c>
      <c r="C4" s="659">
        <v>2019</v>
      </c>
      <c r="D4" s="659" t="s">
        <v>706</v>
      </c>
      <c r="E4" s="660" t="s">
        <v>54</v>
      </c>
    </row>
    <row r="5" spans="1:5" x14ac:dyDescent="0.2">
      <c r="A5" s="661" t="s">
        <v>630</v>
      </c>
      <c r="B5" s="662"/>
      <c r="C5" s="662">
        <v>3237306</v>
      </c>
      <c r="D5" s="662"/>
      <c r="E5" s="663">
        <v>3237306</v>
      </c>
    </row>
    <row r="6" spans="1:5" x14ac:dyDescent="0.2">
      <c r="A6" s="664" t="s">
        <v>631</v>
      </c>
      <c r="B6" s="665"/>
      <c r="C6" s="665"/>
      <c r="D6" s="665"/>
      <c r="E6" s="666"/>
    </row>
    <row r="7" spans="1:5" x14ac:dyDescent="0.2">
      <c r="A7" s="667" t="s">
        <v>632</v>
      </c>
      <c r="B7" s="668"/>
      <c r="C7" s="668">
        <v>25377271</v>
      </c>
      <c r="D7" s="668"/>
      <c r="E7" s="669">
        <v>25377271</v>
      </c>
    </row>
    <row r="8" spans="1:5" x14ac:dyDescent="0.2">
      <c r="A8" s="667" t="s">
        <v>633</v>
      </c>
      <c r="B8" s="668"/>
      <c r="C8" s="668"/>
      <c r="D8" s="668"/>
      <c r="E8" s="669"/>
    </row>
    <row r="9" spans="1:5" x14ac:dyDescent="0.2">
      <c r="A9" s="667" t="s">
        <v>126</v>
      </c>
      <c r="B9" s="668"/>
      <c r="C9" s="668"/>
      <c r="D9" s="668"/>
      <c r="E9" s="669"/>
    </row>
    <row r="10" spans="1:5" x14ac:dyDescent="0.2">
      <c r="A10" s="667" t="s">
        <v>634</v>
      </c>
      <c r="B10" s="668"/>
      <c r="C10" s="668"/>
      <c r="D10" s="668"/>
      <c r="E10" s="669"/>
    </row>
    <row r="11" spans="1:5" ht="13.5" thickBot="1" x14ac:dyDescent="0.25">
      <c r="A11" s="670"/>
      <c r="B11" s="671"/>
      <c r="C11" s="671"/>
      <c r="D11" s="671"/>
      <c r="E11" s="669"/>
    </row>
    <row r="12" spans="1:5" ht="13.5" thickBot="1" x14ac:dyDescent="0.25">
      <c r="A12" s="672" t="s">
        <v>635</v>
      </c>
      <c r="B12" s="673">
        <f>B5+SUM(B7:B11)</f>
        <v>0</v>
      </c>
      <c r="C12" s="673">
        <f>C5+SUM(C7:C11)</f>
        <v>28614577</v>
      </c>
      <c r="D12" s="673">
        <f>D5+SUM(D7:D11)</f>
        <v>0</v>
      </c>
      <c r="E12" s="674">
        <f>E5+SUM(E7:E11)</f>
        <v>28614577</v>
      </c>
    </row>
    <row r="13" spans="1:5" ht="13.5" thickBot="1" x14ac:dyDescent="0.25">
      <c r="A13" s="675"/>
      <c r="B13" s="675"/>
      <c r="C13" s="675"/>
      <c r="D13" s="675"/>
      <c r="E13" s="675"/>
    </row>
    <row r="14" spans="1:5" ht="15" customHeight="1" thickBot="1" x14ac:dyDescent="0.25">
      <c r="A14" s="658" t="s">
        <v>636</v>
      </c>
      <c r="B14" s="659" t="s">
        <v>705</v>
      </c>
      <c r="C14" s="659">
        <v>2019</v>
      </c>
      <c r="D14" s="659" t="s">
        <v>706</v>
      </c>
      <c r="E14" s="660" t="s">
        <v>54</v>
      </c>
    </row>
    <row r="15" spans="1:5" x14ac:dyDescent="0.2">
      <c r="A15" s="661" t="s">
        <v>637</v>
      </c>
      <c r="B15" s="662"/>
      <c r="C15" s="662"/>
      <c r="D15" s="662"/>
      <c r="E15" s="663"/>
    </row>
    <row r="16" spans="1:5" x14ac:dyDescent="0.2">
      <c r="A16" s="676" t="s">
        <v>638</v>
      </c>
      <c r="B16" s="668"/>
      <c r="C16" s="668">
        <f>26852998+336608+1424971</f>
        <v>28614577</v>
      </c>
      <c r="D16" s="668"/>
      <c r="E16" s="669">
        <v>28614577</v>
      </c>
    </row>
    <row r="17" spans="1:5" x14ac:dyDescent="0.2">
      <c r="A17" s="667" t="s">
        <v>639</v>
      </c>
      <c r="B17" s="668"/>
      <c r="C17" s="668"/>
      <c r="D17" s="668"/>
      <c r="E17" s="669"/>
    </row>
    <row r="18" spans="1:5" x14ac:dyDescent="0.2">
      <c r="A18" s="667" t="s">
        <v>640</v>
      </c>
      <c r="B18" s="668"/>
      <c r="C18" s="668"/>
      <c r="D18" s="668"/>
      <c r="E18" s="669"/>
    </row>
    <row r="19" spans="1:5" x14ac:dyDescent="0.2">
      <c r="A19" s="677" t="s">
        <v>641</v>
      </c>
      <c r="B19" s="668"/>
      <c r="C19" s="668"/>
      <c r="D19" s="668"/>
      <c r="E19" s="669"/>
    </row>
    <row r="20" spans="1:5" x14ac:dyDescent="0.2">
      <c r="A20" s="677" t="s">
        <v>643</v>
      </c>
      <c r="B20" s="668"/>
      <c r="C20" s="668"/>
      <c r="D20" s="668"/>
      <c r="E20" s="669"/>
    </row>
    <row r="21" spans="1:5" ht="13.5" thickBot="1" x14ac:dyDescent="0.25">
      <c r="A21" s="670"/>
      <c r="B21" s="671"/>
      <c r="C21" s="671"/>
      <c r="D21" s="671"/>
      <c r="E21" s="669">
        <f t="shared" ref="E21" si="0">SUM(B21:D21)</f>
        <v>0</v>
      </c>
    </row>
    <row r="22" spans="1:5" ht="13.5" thickBot="1" x14ac:dyDescent="0.25">
      <c r="A22" s="672" t="s">
        <v>56</v>
      </c>
      <c r="B22" s="673">
        <f>SUM(B15:B21)</f>
        <v>0</v>
      </c>
      <c r="C22" s="673">
        <f>SUM(C15:C21)</f>
        <v>28614577</v>
      </c>
      <c r="D22" s="673">
        <f>SUM(D15:D21)</f>
        <v>0</v>
      </c>
      <c r="E22" s="674">
        <f>SUM(E15:E21)</f>
        <v>28614577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283" t="s">
        <v>861</v>
      </c>
      <c r="B24" s="1283"/>
      <c r="C24" s="1283"/>
      <c r="D24" s="1283"/>
      <c r="E24" s="1283"/>
    </row>
    <row r="25" spans="1:5" ht="14.25" thickBot="1" x14ac:dyDescent="0.3">
      <c r="A25" s="657"/>
      <c r="B25" s="657"/>
      <c r="C25" s="657"/>
      <c r="D25" s="1284" t="s">
        <v>578</v>
      </c>
      <c r="E25" s="128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1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>
        <v>24509303</v>
      </c>
      <c r="C29" s="668">
        <v>65441097</v>
      </c>
      <c r="D29" s="668">
        <v>51086432</v>
      </c>
      <c r="E29" s="669">
        <v>141036832</v>
      </c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1"/>
        <v>0</v>
      </c>
    </row>
    <row r="34" spans="1:5" ht="13.5" thickBot="1" x14ac:dyDescent="0.25">
      <c r="A34" s="672" t="s">
        <v>635</v>
      </c>
      <c r="B34" s="673">
        <f>B27+SUM(B29:B33)</f>
        <v>24509303</v>
      </c>
      <c r="C34" s="673">
        <f>C27+SUM(C29:C33)</f>
        <v>65441097</v>
      </c>
      <c r="D34" s="673">
        <f>D27+SUM(D29:D33)</f>
        <v>51086432</v>
      </c>
      <c r="E34" s="674">
        <f>E27+SUM(E29:E33)</f>
        <v>141036832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>
        <v>1093608</v>
      </c>
      <c r="C37" s="662">
        <v>2187216</v>
      </c>
      <c r="D37" s="662">
        <v>3178056</v>
      </c>
      <c r="E37" s="663">
        <v>6458880</v>
      </c>
    </row>
    <row r="38" spans="1:5" x14ac:dyDescent="0.2">
      <c r="A38" s="676" t="s">
        <v>638</v>
      </c>
      <c r="B38" s="668"/>
      <c r="C38" s="668">
        <v>47949076</v>
      </c>
      <c r="D38" s="668"/>
      <c r="E38" s="669">
        <v>47145076</v>
      </c>
    </row>
    <row r="39" spans="1:5" x14ac:dyDescent="0.2">
      <c r="A39" s="667" t="s">
        <v>639</v>
      </c>
      <c r="B39" s="668">
        <v>7556500</v>
      </c>
      <c r="C39" s="668">
        <v>31164000</v>
      </c>
      <c r="D39" s="668">
        <v>47908376</v>
      </c>
      <c r="E39" s="669">
        <v>87432876</v>
      </c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/>
      <c r="D42" s="668"/>
      <c r="E42" s="669"/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8650108</v>
      </c>
      <c r="C44" s="680">
        <f>SUM(C37:C43)</f>
        <v>81300292</v>
      </c>
      <c r="D44" s="680">
        <f>SUM(D37:D43)</f>
        <v>51086432</v>
      </c>
      <c r="E44" s="681">
        <f>SUM(E37:E43)</f>
        <v>141036832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H2" sqref="H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7"/>
      <c r="B1" s="657"/>
      <c r="C1" s="657"/>
      <c r="D1" s="657"/>
      <c r="E1" s="657"/>
    </row>
    <row r="2" spans="1:5" ht="74.25" customHeight="1" x14ac:dyDescent="0.25">
      <c r="A2" s="1383" t="s">
        <v>947</v>
      </c>
      <c r="B2" s="1383"/>
      <c r="C2" s="1383"/>
      <c r="D2" s="1383"/>
      <c r="E2" s="1383"/>
    </row>
    <row r="3" spans="1:5" ht="14.25" thickBot="1" x14ac:dyDescent="0.3">
      <c r="A3" s="1384"/>
      <c r="B3" s="1384"/>
      <c r="C3" s="1384"/>
      <c r="D3" s="1385" t="s">
        <v>578</v>
      </c>
      <c r="E3" s="1385"/>
    </row>
    <row r="4" spans="1:5" ht="15" customHeight="1" thickBot="1" x14ac:dyDescent="0.25">
      <c r="A4" s="1386" t="s">
        <v>629</v>
      </c>
      <c r="B4" s="1387" t="s">
        <v>705</v>
      </c>
      <c r="C4" s="1387">
        <v>2019</v>
      </c>
      <c r="D4" s="1387" t="s">
        <v>706</v>
      </c>
      <c r="E4" s="1388" t="s">
        <v>54</v>
      </c>
    </row>
    <row r="5" spans="1:5" x14ac:dyDescent="0.2">
      <c r="A5" s="1389" t="s">
        <v>630</v>
      </c>
      <c r="B5" s="1390"/>
      <c r="C5" s="1390"/>
      <c r="D5" s="1390"/>
      <c r="E5" s="1391">
        <f>B5+C5+D5</f>
        <v>0</v>
      </c>
    </row>
    <row r="6" spans="1:5" x14ac:dyDescent="0.2">
      <c r="A6" s="1392" t="s">
        <v>631</v>
      </c>
      <c r="B6" s="1393"/>
      <c r="C6" s="1393"/>
      <c r="D6" s="1393"/>
      <c r="E6" s="1394">
        <f t="shared" ref="E6:E11" si="0">B6+C6+D6</f>
        <v>0</v>
      </c>
    </row>
    <row r="7" spans="1:5" x14ac:dyDescent="0.2">
      <c r="A7" s="1395" t="s">
        <v>632</v>
      </c>
      <c r="B7" s="1396"/>
      <c r="C7" s="1396">
        <v>85000000</v>
      </c>
      <c r="D7" s="1396"/>
      <c r="E7" s="1397">
        <f t="shared" si="0"/>
        <v>85000000</v>
      </c>
    </row>
    <row r="8" spans="1:5" x14ac:dyDescent="0.2">
      <c r="A8" s="1395" t="s">
        <v>633</v>
      </c>
      <c r="B8" s="1396"/>
      <c r="C8" s="1396"/>
      <c r="D8" s="1396"/>
      <c r="E8" s="1397">
        <f t="shared" si="0"/>
        <v>0</v>
      </c>
    </row>
    <row r="9" spans="1:5" x14ac:dyDescent="0.2">
      <c r="A9" s="1395" t="s">
        <v>126</v>
      </c>
      <c r="B9" s="1396"/>
      <c r="C9" s="1396"/>
      <c r="D9" s="1396"/>
      <c r="E9" s="1397">
        <f t="shared" si="0"/>
        <v>0</v>
      </c>
    </row>
    <row r="10" spans="1:5" x14ac:dyDescent="0.2">
      <c r="A10" s="1395" t="s">
        <v>634</v>
      </c>
      <c r="B10" s="1396"/>
      <c r="C10" s="1396"/>
      <c r="D10" s="1396"/>
      <c r="E10" s="1397">
        <f t="shared" si="0"/>
        <v>0</v>
      </c>
    </row>
    <row r="11" spans="1:5" ht="13.5" thickBot="1" x14ac:dyDescent="0.25">
      <c r="A11" s="1398"/>
      <c r="B11" s="1399"/>
      <c r="C11" s="1399"/>
      <c r="D11" s="1399"/>
      <c r="E11" s="1397">
        <f t="shared" si="0"/>
        <v>0</v>
      </c>
    </row>
    <row r="12" spans="1:5" ht="13.5" thickBot="1" x14ac:dyDescent="0.25">
      <c r="A12" s="1400" t="s">
        <v>635</v>
      </c>
      <c r="B12" s="1401">
        <f>B5+SUM(B7:B11)</f>
        <v>0</v>
      </c>
      <c r="C12" s="1401">
        <f>C5+SUM(C7:C11)</f>
        <v>85000000</v>
      </c>
      <c r="D12" s="1401">
        <f>D5+SUM(D7:D11)</f>
        <v>0</v>
      </c>
      <c r="E12" s="1402">
        <f>E5+SUM(E7:E11)</f>
        <v>85000000</v>
      </c>
    </row>
    <row r="13" spans="1:5" ht="13.5" thickBot="1" x14ac:dyDescent="0.25">
      <c r="A13" s="1403"/>
      <c r="B13" s="1403"/>
      <c r="C13" s="1403"/>
      <c r="D13" s="1403"/>
      <c r="E13" s="1403"/>
    </row>
    <row r="14" spans="1:5" ht="15" customHeight="1" thickBot="1" x14ac:dyDescent="0.25">
      <c r="A14" s="1386" t="s">
        <v>636</v>
      </c>
      <c r="B14" s="1387" t="s">
        <v>705</v>
      </c>
      <c r="C14" s="1387">
        <v>2019</v>
      </c>
      <c r="D14" s="1387" t="s">
        <v>706</v>
      </c>
      <c r="E14" s="1388" t="s">
        <v>54</v>
      </c>
    </row>
    <row r="15" spans="1:5" x14ac:dyDescent="0.2">
      <c r="A15" s="1389" t="s">
        <v>637</v>
      </c>
      <c r="B15" s="1390"/>
      <c r="C15" s="1390">
        <f>1778250+346750</f>
        <v>2125000</v>
      </c>
      <c r="D15" s="1390"/>
      <c r="E15" s="1391">
        <f t="shared" ref="E15:E21" si="1">B15+C15+D15</f>
        <v>2125000</v>
      </c>
    </row>
    <row r="16" spans="1:5" x14ac:dyDescent="0.2">
      <c r="A16" s="1404" t="s">
        <v>638</v>
      </c>
      <c r="B16" s="1396"/>
      <c r="C16" s="1396">
        <v>82307980</v>
      </c>
      <c r="D16" s="1396"/>
      <c r="E16" s="1397">
        <f t="shared" si="1"/>
        <v>82307980</v>
      </c>
    </row>
    <row r="17" spans="1:5" x14ac:dyDescent="0.2">
      <c r="A17" s="1395" t="s">
        <v>639</v>
      </c>
      <c r="B17" s="1396">
        <v>567020</v>
      </c>
      <c r="C17" s="1396"/>
      <c r="D17" s="1396"/>
      <c r="E17" s="1397">
        <f t="shared" si="1"/>
        <v>567020</v>
      </c>
    </row>
    <row r="18" spans="1:5" x14ac:dyDescent="0.2">
      <c r="A18" s="1395" t="s">
        <v>640</v>
      </c>
      <c r="B18" s="1396"/>
      <c r="C18" s="1396"/>
      <c r="D18" s="1396"/>
      <c r="E18" s="1397">
        <f t="shared" si="1"/>
        <v>0</v>
      </c>
    </row>
    <row r="19" spans="1:5" x14ac:dyDescent="0.2">
      <c r="A19" s="1405" t="s">
        <v>641</v>
      </c>
      <c r="B19" s="1396"/>
      <c r="C19" s="1396"/>
      <c r="D19" s="1396"/>
      <c r="E19" s="1397">
        <f t="shared" si="1"/>
        <v>0</v>
      </c>
    </row>
    <row r="20" spans="1:5" x14ac:dyDescent="0.2">
      <c r="A20" s="1405" t="s">
        <v>643</v>
      </c>
      <c r="B20" s="1396"/>
      <c r="C20" s="1396"/>
      <c r="D20" s="1396"/>
      <c r="E20" s="1397">
        <f t="shared" si="1"/>
        <v>0</v>
      </c>
    </row>
    <row r="21" spans="1:5" ht="13.5" thickBot="1" x14ac:dyDescent="0.25">
      <c r="A21" s="1398"/>
      <c r="B21" s="1399"/>
      <c r="C21" s="1399"/>
      <c r="D21" s="1399"/>
      <c r="E21" s="1397">
        <f t="shared" si="1"/>
        <v>0</v>
      </c>
    </row>
    <row r="22" spans="1:5" ht="13.5" thickBot="1" x14ac:dyDescent="0.25">
      <c r="A22" s="1400" t="s">
        <v>56</v>
      </c>
      <c r="B22" s="1401">
        <f>SUM(B15:B21)</f>
        <v>567020</v>
      </c>
      <c r="C22" s="1401">
        <f>SUM(C15:C21)</f>
        <v>84432980</v>
      </c>
      <c r="D22" s="1401">
        <f>SUM(D15:D21)</f>
        <v>0</v>
      </c>
      <c r="E22" s="1402">
        <f>SUM(E15:E21)</f>
        <v>85000000</v>
      </c>
    </row>
    <row r="23" spans="1:5" x14ac:dyDescent="0.2">
      <c r="A23" s="657"/>
      <c r="B23" s="657"/>
      <c r="C23" s="657"/>
      <c r="D23" s="657"/>
      <c r="E23" s="657"/>
    </row>
    <row r="24" spans="1:5" ht="48.75" customHeight="1" x14ac:dyDescent="0.25">
      <c r="A24" s="1283" t="s">
        <v>946</v>
      </c>
      <c r="B24" s="1283"/>
      <c r="C24" s="1283"/>
      <c r="D24" s="1283"/>
      <c r="E24" s="1283"/>
    </row>
    <row r="25" spans="1:5" ht="14.25" thickBot="1" x14ac:dyDescent="0.3">
      <c r="A25" s="657"/>
      <c r="B25" s="657"/>
      <c r="C25" s="657"/>
      <c r="D25" s="1284" t="s">
        <v>578</v>
      </c>
      <c r="E25" s="1284"/>
    </row>
    <row r="26" spans="1:5" ht="13.5" thickBot="1" x14ac:dyDescent="0.25">
      <c r="A26" s="658" t="s">
        <v>629</v>
      </c>
      <c r="B26" s="659" t="s">
        <v>705</v>
      </c>
      <c r="C26" s="659">
        <v>2019</v>
      </c>
      <c r="D26" s="659" t="s">
        <v>706</v>
      </c>
      <c r="E26" s="660" t="s">
        <v>54</v>
      </c>
    </row>
    <row r="27" spans="1:5" x14ac:dyDescent="0.2">
      <c r="A27" s="661" t="s">
        <v>630</v>
      </c>
      <c r="B27" s="662"/>
      <c r="C27" s="662"/>
      <c r="D27" s="662"/>
      <c r="E27" s="663">
        <f t="shared" ref="E27:E33" si="2">SUM(B27:D27)</f>
        <v>0</v>
      </c>
    </row>
    <row r="28" spans="1:5" x14ac:dyDescent="0.2">
      <c r="A28" s="664" t="s">
        <v>631</v>
      </c>
      <c r="B28" s="665"/>
      <c r="C28" s="665"/>
      <c r="D28" s="665"/>
      <c r="E28" s="666"/>
    </row>
    <row r="29" spans="1:5" x14ac:dyDescent="0.2">
      <c r="A29" s="667" t="s">
        <v>632</v>
      </c>
      <c r="B29" s="668"/>
      <c r="C29" s="668"/>
      <c r="D29" s="668"/>
      <c r="E29" s="669"/>
    </row>
    <row r="30" spans="1:5" x14ac:dyDescent="0.2">
      <c r="A30" s="667" t="s">
        <v>633</v>
      </c>
      <c r="B30" s="668"/>
      <c r="C30" s="668"/>
      <c r="D30" s="668"/>
      <c r="E30" s="669"/>
    </row>
    <row r="31" spans="1:5" x14ac:dyDescent="0.2">
      <c r="A31" s="667" t="s">
        <v>126</v>
      </c>
      <c r="B31" s="678"/>
      <c r="C31" s="668"/>
      <c r="D31" s="668"/>
      <c r="E31" s="669"/>
    </row>
    <row r="32" spans="1:5" x14ac:dyDescent="0.2">
      <c r="A32" s="667" t="s">
        <v>634</v>
      </c>
      <c r="B32" s="668"/>
      <c r="C32" s="668"/>
      <c r="D32" s="668"/>
      <c r="E32" s="669"/>
    </row>
    <row r="33" spans="1:5" ht="13.5" thickBot="1" x14ac:dyDescent="0.25">
      <c r="A33" s="670"/>
      <c r="B33" s="671"/>
      <c r="C33" s="671"/>
      <c r="D33" s="671"/>
      <c r="E33" s="669">
        <f t="shared" si="2"/>
        <v>0</v>
      </c>
    </row>
    <row r="34" spans="1:5" ht="13.5" thickBot="1" x14ac:dyDescent="0.25">
      <c r="A34" s="672" t="s">
        <v>635</v>
      </c>
      <c r="B34" s="673">
        <f>B27+SUM(B29:B33)</f>
        <v>0</v>
      </c>
      <c r="C34" s="673">
        <f>C27+SUM(C29:C33)</f>
        <v>0</v>
      </c>
      <c r="D34" s="673">
        <f>D27+SUM(D29:D33)</f>
        <v>0</v>
      </c>
      <c r="E34" s="674">
        <f>E27+SUM(E29:E33)</f>
        <v>0</v>
      </c>
    </row>
    <row r="35" spans="1:5" ht="13.5" thickBot="1" x14ac:dyDescent="0.25">
      <c r="A35" s="675"/>
      <c r="B35" s="675"/>
      <c r="C35" s="675"/>
      <c r="D35" s="675"/>
      <c r="E35" s="675"/>
    </row>
    <row r="36" spans="1:5" ht="13.5" thickBot="1" x14ac:dyDescent="0.25">
      <c r="A36" s="658" t="s">
        <v>636</v>
      </c>
      <c r="B36" s="659" t="s">
        <v>705</v>
      </c>
      <c r="C36" s="659">
        <v>2019</v>
      </c>
      <c r="D36" s="659" t="s">
        <v>706</v>
      </c>
      <c r="E36" s="660" t="s">
        <v>54</v>
      </c>
    </row>
    <row r="37" spans="1:5" x14ac:dyDescent="0.2">
      <c r="A37" s="661" t="s">
        <v>637</v>
      </c>
      <c r="B37" s="662"/>
      <c r="C37" s="662"/>
      <c r="D37" s="662"/>
      <c r="E37" s="663"/>
    </row>
    <row r="38" spans="1:5" x14ac:dyDescent="0.2">
      <c r="A38" s="676" t="s">
        <v>638</v>
      </c>
      <c r="B38" s="668"/>
      <c r="C38" s="668"/>
      <c r="D38" s="668"/>
      <c r="E38" s="669"/>
    </row>
    <row r="39" spans="1:5" x14ac:dyDescent="0.2">
      <c r="A39" s="667" t="s">
        <v>639</v>
      </c>
      <c r="B39" s="668"/>
      <c r="C39" s="668"/>
      <c r="D39" s="668"/>
      <c r="E39" s="669"/>
    </row>
    <row r="40" spans="1:5" x14ac:dyDescent="0.2">
      <c r="A40" s="667" t="s">
        <v>640</v>
      </c>
      <c r="B40" s="668"/>
      <c r="C40" s="668"/>
      <c r="D40" s="668"/>
      <c r="E40" s="669"/>
    </row>
    <row r="41" spans="1:5" x14ac:dyDescent="0.2">
      <c r="A41" s="677" t="s">
        <v>641</v>
      </c>
      <c r="B41" s="668"/>
      <c r="C41" s="668"/>
      <c r="D41" s="668"/>
      <c r="E41" s="669"/>
    </row>
    <row r="42" spans="1:5" x14ac:dyDescent="0.2">
      <c r="A42" s="677" t="s">
        <v>643</v>
      </c>
      <c r="B42" s="679"/>
      <c r="C42" s="668"/>
      <c r="D42" s="668"/>
      <c r="E42" s="669"/>
    </row>
    <row r="43" spans="1:5" ht="13.5" thickBot="1" x14ac:dyDescent="0.25">
      <c r="A43" s="670"/>
      <c r="B43" s="671"/>
      <c r="C43" s="671"/>
      <c r="D43" s="671"/>
      <c r="E43" s="669"/>
    </row>
    <row r="44" spans="1:5" ht="13.5" thickBot="1" x14ac:dyDescent="0.25">
      <c r="A44" s="672" t="s">
        <v>56</v>
      </c>
      <c r="B44" s="680">
        <f>SUM(B37:B43)</f>
        <v>0</v>
      </c>
      <c r="C44" s="680">
        <f>SUM(C37:C43)</f>
        <v>0</v>
      </c>
      <c r="D44" s="680">
        <f>SUM(D37:D43)</f>
        <v>0</v>
      </c>
      <c r="E44" s="681">
        <f>SUM(E37:E43)</f>
        <v>0</v>
      </c>
    </row>
    <row r="45" spans="1:5" x14ac:dyDescent="0.2">
      <c r="A45" s="657"/>
      <c r="B45" s="657"/>
      <c r="C45" s="657"/>
      <c r="D45" s="657"/>
      <c r="E45" s="65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./....(......)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G7" sqref="G7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1460810310</v>
      </c>
      <c r="D8" s="458">
        <f>'9.1.1. sz. mell. '!C8+'9.1.2. sz. mell.'!C8</f>
        <v>1460810310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39">
        <f>29417493+205313443</f>
        <v>234730936</v>
      </c>
      <c r="D13" s="458">
        <f>'9.1.1. sz. mell. '!C13+'9.1.2. sz. mell.'!C13</f>
        <v>234730936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205850813</v>
      </c>
      <c r="D15" s="458">
        <f>'9.1.1. sz. mell. '!C15+'9.1.2. sz. mell.'!C15</f>
        <v>205850813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571">
        <f>102792540+24250000+3975280+5670000+67037993+2125000</f>
        <v>205850813</v>
      </c>
      <c r="D20" s="458">
        <f>'9.1.1. sz. mell. '!C20+'9.1.2. sz. mell.'!C20</f>
        <v>205850813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1373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571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1373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67315842</v>
      </c>
      <c r="D37" s="458">
        <f>'9.1.1. sz. mell. '!C37+'9.1.2. sz. mell.'!C37</f>
        <v>67315842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571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292">
        <f>20000+6000000+700000+1000000+1109692</f>
        <v>8829692</v>
      </c>
      <c r="D40" s="458">
        <f>'9.1.1. sz. mell. '!C40+'9.1.2. sz. mell.'!C40</f>
        <v>8829692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571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1373">
        <f>507601+335000+700000+2935064</f>
        <v>4477665</v>
      </c>
      <c r="D48" s="458">
        <f>'9.1.1. sz. mell. '!C48+'9.1.2. sz. mell.'!C48</f>
        <v>4477665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2182700</v>
      </c>
      <c r="D55" s="458">
        <f>'9.1.1. sz. mell. '!C55+'9.1.2. sz. mell.'!C55</f>
        <v>2182700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571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2404731731</v>
      </c>
      <c r="D65" s="458">
        <f>'9.1.1. sz. mell. '!C65+'9.1.2. sz. mell.'!C65</f>
        <v>2404731731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  <c r="D75" s="458">
        <f>'9.1.1. sz. mell. '!C75+'9.1.2. sz. mell.'!C75</f>
        <v>346583469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292">
        <f>346583469</f>
        <v>346583469</v>
      </c>
      <c r="D76" s="458">
        <f>'9.1.1. sz. mell. '!C76+'9.1.2. sz. mell.'!C76</f>
        <v>346583469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  <c r="D89" s="458">
        <f>'9.1.1. sz. mell. '!C89+'9.1.2. sz. mell.'!C89</f>
        <v>515852575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2920584306</v>
      </c>
      <c r="D90" s="458">
        <f>'9.1.1. sz. mell. '!C90+'9.1.2. sz. mell.'!C90</f>
        <v>2920584306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738871874</v>
      </c>
      <c r="D93" s="458">
        <f>'9.1.1. sz. mell. '!C93+'9.1.2. sz. mell.'!C93</f>
        <v>738871874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1406">
        <f>23173251+2787126+1407675+14384916+61829+2528076+5742073+47565+3199848+1778250</f>
        <v>55110609</v>
      </c>
      <c r="D94" s="458">
        <f>'9.1.1. sz. mell. '!C94+'9.1.2. sz. mell.'!C94</f>
        <v>55110609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571">
        <f>4364055+1409889+7817+2684650+14227+10944+444000+1007723+24592+561576+346750</f>
        <v>10876223</v>
      </c>
      <c r="D95" s="458">
        <f>'9.1.1. sz. mell. '!C95+'9.1.2. sz. mell.'!C95</f>
        <v>10876223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373">
        <f>415496+34588831+4192823+96000+889000+13277327+313996+3082677+698500+16688593+835000+27068590+825500+43854655+45600000+4500000+20525292+45669+157480+54851+3760587+437750+7125983+1438017+300000+49047304+2354100+10000+4070204+259082+8850000+91201-72157+400000-64842</f>
        <v>295717509</v>
      </c>
      <c r="D96" s="458">
        <f>'9.1.1. sz. mell. '!C96+'9.1.2. sz. mell.'!C96</f>
        <v>295717509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1373">
        <f>SUM(C99:C110)</f>
        <v>221964570</v>
      </c>
      <c r="D98" s="458">
        <f>'9.1.1. sz. mell. '!C98+'9.1.2. sz. mell.'!C98</f>
        <v>221964570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296">
        <v>100000</v>
      </c>
      <c r="D99" s="458">
        <f>'9.1.1. sz. mell. '!C99+'9.1.2. sz. mell.'!C99</f>
        <v>100000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1373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571">
        <f>1000000+47869145+6604733+15489215+46984511+23326783+69312000+7332000+1437616+580000+1338067</f>
        <v>221274070</v>
      </c>
      <c r="D110" s="458">
        <f>'9.1.1. sz. mell. '!C110+'9.1.2. sz. mell.'!C110</f>
        <v>221274070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292">
        <f>SUM(C112:C113)</f>
        <v>79352963</v>
      </c>
      <c r="D111" s="458">
        <f>'9.1.1. sz. mell. '!C111+'9.1.2. sz. mell.'!C111</f>
        <v>79352963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373">
        <f>15000000-580000+1410503</f>
        <v>15830503</v>
      </c>
      <c r="D112" s="458">
        <f>'9.1.1. sz. mell. '!C112+'9.1.2. sz. mell.'!C112</f>
        <v>15830503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407">
        <f>63390965+131495</f>
        <v>63522460</v>
      </c>
      <c r="D113" s="458">
        <f>'9.1.1. sz. mell. '!C113+'9.1.2. sz. mell.'!C113</f>
        <v>63522460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486938334</v>
      </c>
      <c r="D114" s="458">
        <f>'9.1.1. sz. mell. '!C114+'9.1.2. sz. mell.'!C114</f>
        <v>486938334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1249">
        <f>229989520+300000+13809000+835610+12076323+1270000+359410+4508500+2505001+5000+6704583+82307980</f>
        <v>354670927</v>
      </c>
      <c r="D115" s="458">
        <f>'9.1.1. sz. mell. '!C115+'9.1.2. sz. mell.'!C115</f>
        <v>354670927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1249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1225810208</v>
      </c>
      <c r="D128" s="458">
        <f>'9.1.1. sz. mell. '!C128+'9.1.2. sz. mell.'!C128</f>
        <v>1225810208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1384667040</v>
      </c>
      <c r="D154" s="458">
        <f>'9.1.1. sz. mell. '!C154+'9.1.2. sz. mell.'!C154</f>
        <v>1384667040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./....(......)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4" sqref="D4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1234265874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292">
        <v>234730936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99082993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571">
        <f>24250000+5670000+67037993+2125000</f>
        <v>99082993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1373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571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1373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52083728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292">
        <f>20000+6000000+700000+1000000+1109692</f>
        <v>8829692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1373">
        <f>507601+700000+2935064</f>
        <v>4142665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950000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/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2054954661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</row>
    <row r="76" spans="1:3" s="50" customFormat="1" ht="12" customHeight="1" x14ac:dyDescent="0.2">
      <c r="A76" s="227" t="s">
        <v>291</v>
      </c>
      <c r="B76" s="213" t="s">
        <v>269</v>
      </c>
      <c r="C76" s="292">
        <f>346583469</f>
        <v>346583469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2570807236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648970495</v>
      </c>
    </row>
    <row r="94" spans="1:6" ht="12" customHeight="1" x14ac:dyDescent="0.2">
      <c r="A94" s="235" t="s">
        <v>102</v>
      </c>
      <c r="B94" s="8" t="s">
        <v>52</v>
      </c>
      <c r="C94" s="1406">
        <f>23173251+1407675+14384916+5742073+3199848+1778250</f>
        <v>49686013</v>
      </c>
    </row>
    <row r="95" spans="1:6" ht="12" customHeight="1" x14ac:dyDescent="0.2">
      <c r="A95" s="228" t="s">
        <v>103</v>
      </c>
      <c r="B95" s="6" t="s">
        <v>151</v>
      </c>
      <c r="C95" s="571">
        <f>4364055+2684650+1007723+561576+346750</f>
        <v>8964754</v>
      </c>
    </row>
    <row r="96" spans="1:6" ht="12" customHeight="1" x14ac:dyDescent="0.2">
      <c r="A96" s="228" t="s">
        <v>104</v>
      </c>
      <c r="B96" s="6" t="s">
        <v>127</v>
      </c>
      <c r="C96" s="1373">
        <f>415496+34588831+889000+313996+698500+16688593+835000+27068590+825500+43854655+20525292+7125983+1438017+300000+49047304+2354100+10000+4070204+8850000+91201+400000</f>
        <v>220390262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1373">
        <f>SUM(C99:C110)</f>
        <v>214726503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1373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1000000+47869145+6604733+15489215+46984511+1500000+500000+6000000+200000+150000+9076783+69312000+7332000+1437616+580000</f>
        <v>214036003</v>
      </c>
    </row>
    <row r="111" spans="1:3" ht="12" customHeight="1" x14ac:dyDescent="0.2">
      <c r="A111" s="228" t="s">
        <v>476</v>
      </c>
      <c r="B111" s="9" t="s">
        <v>53</v>
      </c>
      <c r="C111" s="571">
        <f>SUM(C112:C113)</f>
        <v>79352963</v>
      </c>
    </row>
    <row r="112" spans="1:3" ht="12" customHeight="1" x14ac:dyDescent="0.2">
      <c r="A112" s="229" t="s">
        <v>477</v>
      </c>
      <c r="B112" s="6" t="s">
        <v>524</v>
      </c>
      <c r="C112" s="1373">
        <f>15000000-580000+1410503</f>
        <v>15830503</v>
      </c>
    </row>
    <row r="113" spans="1:6" ht="12" customHeight="1" thickBot="1" x14ac:dyDescent="0.25">
      <c r="A113" s="237" t="s">
        <v>479</v>
      </c>
      <c r="B113" s="74" t="s">
        <v>525</v>
      </c>
      <c r="C113" s="1407">
        <f>63390965+131495</f>
        <v>63522460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474557011</v>
      </c>
    </row>
    <row r="115" spans="1:6" ht="12" customHeight="1" x14ac:dyDescent="0.2">
      <c r="A115" s="227" t="s">
        <v>108</v>
      </c>
      <c r="B115" s="6" t="s">
        <v>175</v>
      </c>
      <c r="C115" s="1249">
        <f>229989520+13809000+835610+1270000+359410+4508500+2505001+6704583+82307980</f>
        <v>342289604</v>
      </c>
    </row>
    <row r="116" spans="1:6" ht="12" customHeight="1" x14ac:dyDescent="0.2">
      <c r="A116" s="227" t="s">
        <v>109</v>
      </c>
      <c r="B116" s="10" t="s">
        <v>315</v>
      </c>
      <c r="C116" s="1249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1123527506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1277106338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./....(......)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I3" sqref="I3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251" t="s">
        <v>19</v>
      </c>
      <c r="B1" s="1251"/>
      <c r="C1" s="1251"/>
    </row>
    <row r="2" spans="1:6" ht="15.95" customHeight="1" thickBot="1" x14ac:dyDescent="0.3">
      <c r="A2" s="1250" t="s">
        <v>131</v>
      </c>
      <c r="B2" s="1250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1234265874</v>
      </c>
      <c r="D5" s="311">
        <f>+D6+D7+D8+D9+D10+D11</f>
        <v>1234265874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566">
        <f t="shared" si="0"/>
        <v>234730936</v>
      </c>
      <c r="D10" s="292">
        <v>234730936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102667261</v>
      </c>
      <c r="D12" s="311">
        <f>+D13+D14+D15+D16+D17</f>
        <v>102667261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43">
        <f t="shared" si="0"/>
        <v>102667261</v>
      </c>
      <c r="D17" s="292">
        <f>24250000+5670000+67037993+2885193+2125000+699075</f>
        <v>102667261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372">
        <f t="shared" si="0"/>
        <v>69862068</v>
      </c>
      <c r="D18" s="123">
        <f>67037993+2125000+699075</f>
        <v>69862068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83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124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372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145280190</v>
      </c>
      <c r="D34" s="311">
        <f>SUM(D35:D45)</f>
        <v>52083728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7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14665692</v>
      </c>
      <c r="D37" s="292">
        <f>20000+6000000+700000+1000000+1109692</f>
        <v>8829692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372">
        <f t="shared" si="0"/>
        <v>4143665</v>
      </c>
      <c r="D45" s="296">
        <f>507601+700000+2935064</f>
        <v>4142665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2151735391</v>
      </c>
      <c r="D62" s="314">
        <f>+D5+D12+D19+D26+D34+D46+D52+D57</f>
        <v>2058538929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355220950</v>
      </c>
      <c r="D72" s="311">
        <f>SUM(D73:D74)</f>
        <v>346583469</v>
      </c>
      <c r="E72" s="135">
        <f>SUM(E73:E74)</f>
        <v>829764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355220950</v>
      </c>
      <c r="D73" s="292">
        <f>346583469</f>
        <v>346583469</v>
      </c>
      <c r="E73" s="139">
        <f>829764</f>
        <v>829764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524490056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2676225447</v>
      </c>
      <c r="D87" s="314">
        <f>+D62+D86</f>
        <v>2574391504</v>
      </c>
      <c r="E87" s="140">
        <f>+E62+E86</f>
        <v>2879592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1" t="s">
        <v>50</v>
      </c>
      <c r="B89" s="1251"/>
      <c r="C89" s="1251"/>
      <c r="D89" s="199"/>
      <c r="E89" s="199"/>
      <c r="F89" s="199"/>
    </row>
    <row r="90" spans="1:6" s="222" customFormat="1" ht="16.5" customHeight="1" thickBot="1" x14ac:dyDescent="0.3">
      <c r="A90" s="1252" t="s">
        <v>132</v>
      </c>
      <c r="B90" s="1252"/>
      <c r="C90" s="69" t="s">
        <v>569</v>
      </c>
      <c r="D90" s="785"/>
      <c r="E90" s="785"/>
      <c r="F90" s="785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1670050132</v>
      </c>
      <c r="D93" s="319">
        <f>+D94+D95+D96+D97+D98+D111</f>
        <v>653314372</v>
      </c>
      <c r="E93" s="134">
        <f>+E94+E95+E96+E97+E98+E111</f>
        <v>7107898</v>
      </c>
      <c r="F93" s="341">
        <f>F94+F95+F96+F97+F98+F111</f>
        <v>1009627862</v>
      </c>
    </row>
    <row r="94" spans="1:6" ht="12" customHeight="1" x14ac:dyDescent="0.25">
      <c r="A94" s="15" t="s">
        <v>102</v>
      </c>
      <c r="B94" s="8" t="s">
        <v>52</v>
      </c>
      <c r="C94" s="1374">
        <f t="shared" si="3"/>
        <v>564551142</v>
      </c>
      <c r="D94" s="346">
        <f>23173251+1407675+14384916+5742073+2081772+3199848+1778250+505000+720000</f>
        <v>52992785</v>
      </c>
      <c r="E94" s="301">
        <f>935085+4069918</f>
        <v>5005003</v>
      </c>
      <c r="F94" s="301">
        <f>60512486+64039486+48091292+208655734+125254356</f>
        <v>506553354</v>
      </c>
    </row>
    <row r="95" spans="1:6" ht="12" customHeight="1" x14ac:dyDescent="0.25">
      <c r="A95" s="12" t="s">
        <v>103</v>
      </c>
      <c r="B95" s="6" t="s">
        <v>151</v>
      </c>
      <c r="C95" s="1243">
        <f t="shared" si="3"/>
        <v>116689829</v>
      </c>
      <c r="D95" s="292">
        <f>4364055+2684650+1007723+436333+561576+346750+98475+126360</f>
        <v>9625922</v>
      </c>
      <c r="E95" s="139">
        <f>133681+815187</f>
        <v>948868</v>
      </c>
      <c r="F95" s="139">
        <f>13261042+12834203+9499320+44850807+25669667</f>
        <v>106115039</v>
      </c>
    </row>
    <row r="96" spans="1:6" ht="12" customHeight="1" x14ac:dyDescent="0.25">
      <c r="A96" s="12" t="s">
        <v>104</v>
      </c>
      <c r="B96" s="6" t="s">
        <v>127</v>
      </c>
      <c r="C96" s="1243">
        <f t="shared" si="3"/>
        <v>618879695</v>
      </c>
      <c r="D96" s="296">
        <f>415496+34588831+889000+313996+698500+16688593+835000+27068590+825500+43854655+20525292+7125983+1438017+300000+49047304+2354100+10000+4070204+8850000+91201+367088+8849+400000</f>
        <v>220766199</v>
      </c>
      <c r="E96" s="202">
        <f>150000+369027+635000</f>
        <v>1154027</v>
      </c>
      <c r="F96" s="139">
        <f>229985778+15749737+50573182+80125553+20525219</f>
        <v>396959469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1243">
        <f t="shared" si="3"/>
        <v>214726503</v>
      </c>
      <c r="D98" s="296">
        <f>SUM(D99:D110)</f>
        <v>214726503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124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7">
        <f t="shared" si="3"/>
        <v>214036003</v>
      </c>
      <c r="D110" s="292">
        <f>1000000+47869145+6604733+15489215+46984511+1500000+500000+6000000+200000+150000+9076783+69312000+7332000+1437616+580000</f>
        <v>214036003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79352963</v>
      </c>
      <c r="D111" s="292">
        <f>SUM(D112:D113)</f>
        <v>79352963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43">
        <f t="shared" si="3"/>
        <v>15830503</v>
      </c>
      <c r="D112" s="296">
        <f>15000000-580000+1410503</f>
        <v>15830503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43">
        <f t="shared" si="3"/>
        <v>63522460</v>
      </c>
      <c r="D113" s="347">
        <f>63390965+131495</f>
        <v>63522460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481551246</v>
      </c>
      <c r="D114" s="311">
        <f>+D115+D117+D119</f>
        <v>474557011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108</v>
      </c>
      <c r="B115" s="6" t="s">
        <v>175</v>
      </c>
      <c r="C115" s="1374">
        <f t="shared" si="3"/>
        <v>348318639</v>
      </c>
      <c r="D115" s="315">
        <f>229989520+13809000+835610+1270000+359410+4508500+2505001+6704583+82307980</f>
        <v>342289604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374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84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2151601378</v>
      </c>
      <c r="D128" s="311">
        <f>+D93+D114</f>
        <v>1127871383</v>
      </c>
      <c r="E128" s="135">
        <f>+E93+E114</f>
        <v>7337898</v>
      </c>
      <c r="F128" s="135">
        <f>+F93+F114</f>
        <v>1016392097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2305180210</v>
      </c>
      <c r="D154" s="322">
        <f>+D128+D153</f>
        <v>1281450215</v>
      </c>
      <c r="E154" s="223">
        <f>+E128+E153</f>
        <v>7337898</v>
      </c>
      <c r="F154" s="223">
        <f>+F128+F153</f>
        <v>1016392097</v>
      </c>
    </row>
    <row r="155" spans="1:9" ht="7.5" customHeight="1" x14ac:dyDescent="0.25"/>
    <row r="156" spans="1:9" x14ac:dyDescent="0.25">
      <c r="A156" s="1253" t="s">
        <v>324</v>
      </c>
      <c r="B156" s="1253"/>
      <c r="C156" s="1253"/>
    </row>
    <row r="157" spans="1:9" ht="15" customHeight="1" thickBot="1" x14ac:dyDescent="0.3">
      <c r="A157" s="1250" t="s">
        <v>133</v>
      </c>
      <c r="B157" s="125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134013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370911224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./....(......)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5" sqref="D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571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122"/>
    </row>
    <row r="42" spans="1:3" s="50" customFormat="1" ht="12" customHeight="1" x14ac:dyDescent="0.2">
      <c r="A42" s="228" t="s">
        <v>144</v>
      </c>
      <c r="B42" s="214" t="s">
        <v>229</v>
      </c>
      <c r="C42" s="122"/>
    </row>
    <row r="43" spans="1:3" s="50" customFormat="1" ht="12" customHeight="1" x14ac:dyDescent="0.2">
      <c r="A43" s="228" t="s">
        <v>145</v>
      </c>
      <c r="B43" s="214" t="s">
        <v>230</v>
      </c>
      <c r="C43" s="571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12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571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89901379</v>
      </c>
    </row>
    <row r="94" spans="1:3" ht="12" customHeight="1" x14ac:dyDescent="0.2">
      <c r="A94" s="235" t="s">
        <v>102</v>
      </c>
      <c r="B94" s="8" t="s">
        <v>52</v>
      </c>
      <c r="C94" s="1406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571">
        <f>1409889+7817+14227+10944+444000+24592</f>
        <v>1911469</v>
      </c>
    </row>
    <row r="96" spans="1:3" ht="12" customHeight="1" x14ac:dyDescent="0.2">
      <c r="A96" s="228" t="s">
        <v>104</v>
      </c>
      <c r="B96" s="549" t="s">
        <v>127</v>
      </c>
      <c r="C96" s="1377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2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202">
        <f>SUM(C99:C110)</f>
        <v>7238067</v>
      </c>
    </row>
    <row r="99" spans="1:3" ht="12" customHeight="1" x14ac:dyDescent="0.2">
      <c r="A99" s="228" t="s">
        <v>106</v>
      </c>
      <c r="B99" s="549" t="s">
        <v>523</v>
      </c>
      <c r="C99" s="202"/>
    </row>
    <row r="100" spans="1:3" ht="12" customHeight="1" x14ac:dyDescent="0.2">
      <c r="A100" s="228" t="s">
        <v>107</v>
      </c>
      <c r="B100" s="562" t="s">
        <v>472</v>
      </c>
      <c r="C100" s="202"/>
    </row>
    <row r="101" spans="1:3" ht="12" customHeight="1" x14ac:dyDescent="0.2">
      <c r="A101" s="228" t="s">
        <v>117</v>
      </c>
      <c r="B101" s="562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571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4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102282702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107560702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./....(......)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zoomScale="85" zoomScaleNormal="115" zoomScaleSheetLayoutView="100" zoomScalePageLayoutView="85" workbookViewId="0">
      <selection activeCell="B6" sqref="B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5" customWidth="1"/>
    <col min="10" max="19" width="9.33203125" style="775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71"/>
      <c r="G1" s="771"/>
      <c r="H1" s="771"/>
      <c r="I1" s="771"/>
      <c r="J1" s="771"/>
      <c r="K1" s="771"/>
      <c r="L1" s="771"/>
      <c r="M1" s="771"/>
      <c r="N1" s="771"/>
      <c r="O1" s="771"/>
      <c r="P1" s="771"/>
      <c r="Q1" s="771"/>
      <c r="R1" s="771"/>
      <c r="S1" s="771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  <c r="S2" s="772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72"/>
      <c r="G3" s="772"/>
      <c r="H3" s="772"/>
      <c r="I3" s="773"/>
      <c r="J3" s="772"/>
      <c r="K3" s="772"/>
      <c r="L3" s="772"/>
      <c r="M3" s="772"/>
      <c r="N3" s="772"/>
      <c r="O3" s="772"/>
      <c r="P3" s="772"/>
      <c r="Q3" s="772"/>
      <c r="R3" s="772"/>
      <c r="S3" s="772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74"/>
      <c r="G4" s="774"/>
      <c r="H4" s="774"/>
      <c r="I4" s="774"/>
      <c r="J4" s="774"/>
      <c r="K4" s="774"/>
      <c r="L4" s="774"/>
      <c r="M4" s="774"/>
      <c r="N4" s="774"/>
      <c r="O4" s="774"/>
      <c r="P4" s="774"/>
      <c r="Q4" s="774"/>
      <c r="R4" s="774"/>
      <c r="S4" s="774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6"/>
      <c r="G6" s="776"/>
      <c r="H6" s="776"/>
      <c r="I6" s="776"/>
      <c r="J6" s="776"/>
      <c r="K6" s="776"/>
      <c r="L6" s="776"/>
      <c r="M6" s="776"/>
      <c r="N6" s="776"/>
      <c r="O6" s="776"/>
      <c r="P6" s="776"/>
      <c r="Q6" s="776"/>
      <c r="R6" s="776"/>
      <c r="S6" s="776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6"/>
      <c r="G7" s="776"/>
      <c r="H7" s="776"/>
      <c r="I7" s="776"/>
      <c r="J7" s="776"/>
      <c r="K7" s="776"/>
      <c r="L7" s="776"/>
      <c r="M7" s="776"/>
      <c r="N7" s="776"/>
      <c r="O7" s="776"/>
      <c r="P7" s="776"/>
      <c r="Q7" s="776"/>
      <c r="R7" s="776"/>
      <c r="S7" s="776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7">
        <f t="shared" ref="E8:E42" si="0">C8-D8</f>
        <v>0</v>
      </c>
      <c r="F8" s="778"/>
      <c r="G8" s="778"/>
      <c r="H8" s="778"/>
      <c r="I8" s="778"/>
      <c r="J8" s="778"/>
      <c r="K8" s="778"/>
      <c r="L8" s="778"/>
      <c r="M8" s="778"/>
      <c r="N8" s="778"/>
      <c r="O8" s="778"/>
      <c r="P8" s="778"/>
      <c r="Q8" s="778"/>
      <c r="R8" s="778"/>
      <c r="S8" s="778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7">
        <f t="shared" si="0"/>
        <v>0</v>
      </c>
      <c r="F9" s="778"/>
      <c r="G9" s="778"/>
      <c r="H9" s="778"/>
      <c r="I9" s="778"/>
      <c r="J9" s="778"/>
      <c r="K9" s="778"/>
      <c r="L9" s="778"/>
      <c r="M9" s="778"/>
      <c r="N9" s="778"/>
      <c r="O9" s="778"/>
      <c r="P9" s="778"/>
      <c r="Q9" s="778"/>
      <c r="R9" s="778"/>
      <c r="S9" s="778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7">
        <f t="shared" si="0"/>
        <v>0</v>
      </c>
      <c r="F10" s="778"/>
      <c r="G10" s="778"/>
      <c r="H10" s="778"/>
      <c r="I10" s="778"/>
      <c r="J10" s="778"/>
      <c r="K10" s="778"/>
      <c r="L10" s="778"/>
      <c r="M10" s="778"/>
      <c r="N10" s="778"/>
      <c r="O10" s="778"/>
      <c r="P10" s="778"/>
      <c r="Q10" s="778"/>
      <c r="R10" s="778"/>
      <c r="S10" s="778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7">
        <f t="shared" si="0"/>
        <v>0</v>
      </c>
      <c r="F11" s="778"/>
      <c r="G11" s="778"/>
      <c r="H11" s="778"/>
      <c r="I11" s="778"/>
      <c r="J11" s="778"/>
      <c r="K11" s="778"/>
      <c r="L11" s="778"/>
      <c r="M11" s="778"/>
      <c r="N11" s="778"/>
      <c r="O11" s="778"/>
      <c r="P11" s="778"/>
      <c r="Q11" s="778"/>
      <c r="R11" s="778"/>
      <c r="S11" s="778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7">
        <f t="shared" si="0"/>
        <v>0</v>
      </c>
      <c r="F12" s="778"/>
      <c r="G12" s="778"/>
      <c r="H12" s="778"/>
      <c r="I12" s="778"/>
      <c r="J12" s="778"/>
      <c r="K12" s="778"/>
      <c r="L12" s="778"/>
      <c r="M12" s="778"/>
      <c r="N12" s="778"/>
      <c r="O12" s="778"/>
      <c r="P12" s="778"/>
      <c r="Q12" s="778"/>
      <c r="R12" s="778"/>
      <c r="S12" s="778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7">
        <f t="shared" si="0"/>
        <v>0</v>
      </c>
      <c r="F13" s="778"/>
      <c r="G13" s="778"/>
      <c r="H13" s="778"/>
      <c r="I13" s="778"/>
      <c r="J13" s="778"/>
      <c r="K13" s="778"/>
      <c r="L13" s="778"/>
      <c r="M13" s="778"/>
      <c r="N13" s="778"/>
      <c r="O13" s="778"/>
      <c r="P13" s="778"/>
      <c r="Q13" s="778"/>
      <c r="R13" s="778"/>
      <c r="S13" s="778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7">
        <f t="shared" si="0"/>
        <v>0</v>
      </c>
      <c r="F14" s="778"/>
      <c r="G14" s="778"/>
      <c r="H14" s="778"/>
      <c r="I14" s="778"/>
      <c r="J14" s="778"/>
      <c r="K14" s="778"/>
      <c r="L14" s="778"/>
      <c r="M14" s="778"/>
      <c r="N14" s="778"/>
      <c r="O14" s="778"/>
      <c r="P14" s="778"/>
      <c r="Q14" s="778"/>
      <c r="R14" s="778"/>
      <c r="S14" s="778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7">
        <f t="shared" si="0"/>
        <v>0</v>
      </c>
      <c r="F15" s="778"/>
      <c r="G15" s="778"/>
      <c r="H15" s="778"/>
      <c r="I15" s="778"/>
      <c r="J15" s="778"/>
      <c r="K15" s="778"/>
      <c r="L15" s="778"/>
      <c r="M15" s="778"/>
      <c r="N15" s="778"/>
      <c r="O15" s="778"/>
      <c r="P15" s="778"/>
      <c r="Q15" s="778"/>
      <c r="R15" s="778"/>
      <c r="S15" s="778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7">
        <f t="shared" si="0"/>
        <v>0</v>
      </c>
      <c r="F16" s="778"/>
      <c r="G16" s="778"/>
      <c r="H16" s="778"/>
      <c r="I16" s="778"/>
      <c r="J16" s="778"/>
      <c r="K16" s="778"/>
      <c r="L16" s="778"/>
      <c r="M16" s="778"/>
      <c r="N16" s="778"/>
      <c r="O16" s="778"/>
      <c r="P16" s="778"/>
      <c r="Q16" s="778"/>
      <c r="R16" s="778"/>
      <c r="S16" s="778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7">
        <f t="shared" si="0"/>
        <v>0</v>
      </c>
      <c r="F17" s="779"/>
      <c r="G17" s="779"/>
      <c r="H17" s="779"/>
      <c r="I17" s="779"/>
      <c r="J17" s="779"/>
      <c r="K17" s="779"/>
      <c r="L17" s="779"/>
      <c r="M17" s="779"/>
      <c r="N17" s="779"/>
      <c r="O17" s="779"/>
      <c r="P17" s="779"/>
      <c r="Q17" s="779"/>
      <c r="R17" s="779"/>
      <c r="S17" s="779"/>
    </row>
    <row r="18" spans="1:19" s="249" customFormat="1" ht="12" customHeight="1" x14ac:dyDescent="0.2">
      <c r="A18" s="241" t="s">
        <v>119</v>
      </c>
      <c r="B18" s="6" t="s">
        <v>463</v>
      </c>
      <c r="C18" s="572"/>
      <c r="D18" s="469">
        <f>'9.2.1. sz. mell'!C18+'9.2.2. sz.  mell'!C18+'9.2.3. sz. mell.'!C18</f>
        <v>0</v>
      </c>
      <c r="E18" s="777">
        <f t="shared" si="0"/>
        <v>0</v>
      </c>
      <c r="F18" s="779"/>
      <c r="G18" s="779"/>
      <c r="H18" s="779"/>
      <c r="I18" s="779"/>
      <c r="J18" s="779"/>
      <c r="K18" s="779"/>
      <c r="L18" s="779"/>
      <c r="M18" s="779"/>
      <c r="N18" s="779"/>
      <c r="O18" s="779"/>
      <c r="P18" s="779"/>
      <c r="Q18" s="779"/>
      <c r="R18" s="779"/>
      <c r="S18" s="779"/>
    </row>
    <row r="19" spans="1:19" s="249" customFormat="1" ht="12" customHeight="1" thickBot="1" x14ac:dyDescent="0.25">
      <c r="A19" s="241" t="s">
        <v>120</v>
      </c>
      <c r="B19" s="5" t="s">
        <v>234</v>
      </c>
      <c r="C19" s="572">
        <f>640000</f>
        <v>640000</v>
      </c>
      <c r="D19" s="469">
        <f>'9.2.1. sz. mell'!C19+'9.2.2. sz.  mell'!C19+'9.2.3. sz. mell.'!C19</f>
        <v>640000</v>
      </c>
      <c r="E19" s="777">
        <f t="shared" si="0"/>
        <v>0</v>
      </c>
      <c r="F19" s="779"/>
      <c r="G19" s="779"/>
      <c r="H19" s="779"/>
      <c r="I19" s="779"/>
      <c r="J19" s="779"/>
      <c r="K19" s="779"/>
      <c r="L19" s="779"/>
      <c r="M19" s="779"/>
      <c r="N19" s="779"/>
      <c r="O19" s="779"/>
      <c r="P19" s="779"/>
      <c r="Q19" s="779"/>
      <c r="R19" s="779"/>
      <c r="S19" s="779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7">
        <f t="shared" si="0"/>
        <v>0</v>
      </c>
      <c r="F20" s="778"/>
      <c r="G20" s="778"/>
      <c r="H20" s="778"/>
      <c r="I20" s="778"/>
      <c r="J20" s="778"/>
      <c r="K20" s="778"/>
      <c r="L20" s="778"/>
      <c r="M20" s="778"/>
      <c r="N20" s="778"/>
      <c r="O20" s="778"/>
      <c r="P20" s="778"/>
      <c r="Q20" s="778"/>
      <c r="R20" s="778"/>
      <c r="S20" s="778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7">
        <f t="shared" si="0"/>
        <v>0</v>
      </c>
      <c r="F21" s="779"/>
      <c r="G21" s="779"/>
      <c r="H21" s="779"/>
      <c r="I21" s="779"/>
      <c r="J21" s="779"/>
      <c r="K21" s="779"/>
      <c r="L21" s="779"/>
      <c r="M21" s="779"/>
      <c r="N21" s="779"/>
      <c r="O21" s="779"/>
      <c r="P21" s="779"/>
      <c r="Q21" s="779"/>
      <c r="R21" s="779"/>
      <c r="S21" s="779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7">
        <f t="shared" si="0"/>
        <v>0</v>
      </c>
      <c r="F22" s="779"/>
      <c r="G22" s="779"/>
      <c r="H22" s="779"/>
      <c r="I22" s="779"/>
      <c r="J22" s="779"/>
      <c r="K22" s="779"/>
      <c r="L22" s="779"/>
      <c r="M22" s="779"/>
      <c r="N22" s="779"/>
      <c r="O22" s="779"/>
      <c r="P22" s="779"/>
      <c r="Q22" s="779"/>
      <c r="R22" s="779"/>
      <c r="S22" s="779"/>
    </row>
    <row r="23" spans="1:19" s="249" customFormat="1" ht="12" customHeight="1" x14ac:dyDescent="0.2">
      <c r="A23" s="241" t="s">
        <v>110</v>
      </c>
      <c r="B23" s="6" t="s">
        <v>354</v>
      </c>
      <c r="C23" s="570">
        <f>2885193</f>
        <v>2885193</v>
      </c>
      <c r="D23" s="469">
        <f>'9.2.1. sz. mell'!C23+'9.2.2. sz.  mell'!C23+'9.2.3. sz. mell.'!C23</f>
        <v>2885193</v>
      </c>
      <c r="E23" s="777">
        <f t="shared" si="0"/>
        <v>0</v>
      </c>
      <c r="F23" s="779"/>
      <c r="G23" s="779"/>
      <c r="H23" s="779"/>
      <c r="I23" s="779"/>
      <c r="J23" s="779"/>
      <c r="K23" s="779"/>
      <c r="L23" s="779"/>
      <c r="M23" s="779"/>
      <c r="N23" s="779"/>
      <c r="O23" s="779"/>
      <c r="P23" s="779"/>
      <c r="Q23" s="779"/>
      <c r="R23" s="779"/>
      <c r="S23" s="779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7">
        <f t="shared" si="0"/>
        <v>0</v>
      </c>
      <c r="F24" s="779"/>
      <c r="G24" s="779"/>
      <c r="H24" s="779"/>
      <c r="I24" s="779"/>
      <c r="J24" s="779"/>
      <c r="K24" s="779"/>
      <c r="L24" s="779"/>
      <c r="M24" s="779"/>
      <c r="N24" s="779"/>
      <c r="O24" s="779"/>
      <c r="P24" s="779"/>
      <c r="Q24" s="779"/>
      <c r="R24" s="779"/>
      <c r="S24" s="779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7">
        <f t="shared" si="0"/>
        <v>0</v>
      </c>
      <c r="F25" s="779"/>
      <c r="G25" s="779"/>
      <c r="H25" s="779"/>
      <c r="I25" s="779"/>
      <c r="J25" s="779"/>
      <c r="K25" s="779"/>
      <c r="L25" s="779"/>
      <c r="M25" s="779"/>
      <c r="N25" s="779"/>
      <c r="O25" s="779"/>
      <c r="P25" s="779"/>
      <c r="Q25" s="779"/>
      <c r="R25" s="779"/>
      <c r="S25" s="779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7">
        <f t="shared" si="0"/>
        <v>0</v>
      </c>
      <c r="F26" s="779"/>
      <c r="G26" s="779"/>
      <c r="H26" s="779"/>
      <c r="I26" s="779"/>
      <c r="J26" s="779"/>
      <c r="K26" s="779"/>
      <c r="L26" s="779"/>
      <c r="M26" s="779"/>
      <c r="N26" s="779"/>
      <c r="O26" s="779"/>
      <c r="P26" s="779"/>
      <c r="Q26" s="779"/>
      <c r="R26" s="779"/>
      <c r="S26" s="779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7">
        <f t="shared" si="0"/>
        <v>0</v>
      </c>
      <c r="F27" s="779"/>
      <c r="G27" s="779"/>
      <c r="H27" s="779"/>
      <c r="I27" s="779"/>
      <c r="J27" s="779"/>
      <c r="K27" s="779"/>
      <c r="L27" s="779"/>
      <c r="M27" s="779"/>
      <c r="N27" s="779"/>
      <c r="O27" s="779"/>
      <c r="P27" s="779"/>
      <c r="Q27" s="779"/>
      <c r="R27" s="779"/>
      <c r="S27" s="779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7">
        <f t="shared" si="0"/>
        <v>0</v>
      </c>
      <c r="F28" s="779"/>
      <c r="G28" s="779"/>
      <c r="H28" s="779"/>
      <c r="I28" s="779"/>
      <c r="J28" s="779"/>
      <c r="K28" s="779"/>
      <c r="L28" s="779"/>
      <c r="M28" s="779"/>
      <c r="N28" s="779"/>
      <c r="O28" s="779"/>
      <c r="P28" s="779"/>
      <c r="Q28" s="779"/>
      <c r="R28" s="779"/>
      <c r="S28" s="779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7">
        <f t="shared" si="0"/>
        <v>0</v>
      </c>
      <c r="F29" s="779"/>
      <c r="G29" s="779"/>
      <c r="H29" s="779"/>
      <c r="I29" s="779"/>
      <c r="J29" s="779"/>
      <c r="K29" s="779"/>
      <c r="L29" s="779"/>
      <c r="M29" s="779"/>
      <c r="N29" s="779"/>
      <c r="O29" s="779"/>
      <c r="P29" s="779"/>
      <c r="Q29" s="779"/>
      <c r="R29" s="779"/>
      <c r="S29" s="779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7">
        <f t="shared" si="0"/>
        <v>0</v>
      </c>
      <c r="F30" s="779"/>
      <c r="G30" s="779"/>
      <c r="H30" s="779"/>
      <c r="I30" s="779"/>
      <c r="J30" s="779"/>
      <c r="K30" s="779"/>
      <c r="L30" s="779"/>
      <c r="M30" s="779"/>
      <c r="N30" s="779"/>
      <c r="O30" s="779"/>
      <c r="P30" s="779"/>
      <c r="Q30" s="779"/>
      <c r="R30" s="779"/>
      <c r="S30" s="779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7">
        <f t="shared" si="0"/>
        <v>0</v>
      </c>
      <c r="F31" s="779"/>
      <c r="G31" s="779"/>
      <c r="H31" s="779"/>
      <c r="I31" s="779"/>
      <c r="J31" s="779"/>
      <c r="K31" s="779"/>
      <c r="L31" s="779"/>
      <c r="M31" s="779"/>
      <c r="N31" s="779"/>
      <c r="O31" s="779"/>
      <c r="P31" s="779"/>
      <c r="Q31" s="779"/>
      <c r="R31" s="779"/>
      <c r="S31" s="779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7">
        <f t="shared" si="0"/>
        <v>0</v>
      </c>
      <c r="F32" s="779"/>
      <c r="G32" s="779"/>
      <c r="H32" s="779"/>
      <c r="I32" s="779"/>
      <c r="J32" s="779"/>
      <c r="K32" s="779"/>
      <c r="L32" s="779"/>
      <c r="M32" s="779"/>
      <c r="N32" s="779"/>
      <c r="O32" s="779"/>
      <c r="P32" s="779"/>
      <c r="Q32" s="779"/>
      <c r="R32" s="779"/>
      <c r="S32" s="779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7">
        <f t="shared" si="0"/>
        <v>0</v>
      </c>
      <c r="F33" s="779"/>
      <c r="G33" s="779"/>
      <c r="H33" s="779"/>
      <c r="I33" s="779"/>
      <c r="J33" s="779"/>
      <c r="K33" s="779"/>
      <c r="L33" s="779"/>
      <c r="M33" s="779"/>
      <c r="N33" s="779"/>
      <c r="O33" s="779"/>
      <c r="P33" s="779"/>
      <c r="Q33" s="779"/>
      <c r="R33" s="779"/>
      <c r="S33" s="779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7">
        <f t="shared" si="0"/>
        <v>0</v>
      </c>
      <c r="F34" s="779"/>
      <c r="G34" s="779"/>
      <c r="H34" s="779"/>
      <c r="I34" s="779"/>
      <c r="J34" s="779"/>
      <c r="K34" s="779"/>
      <c r="L34" s="779"/>
      <c r="M34" s="779"/>
      <c r="N34" s="779"/>
      <c r="O34" s="779"/>
      <c r="P34" s="779"/>
      <c r="Q34" s="779"/>
      <c r="R34" s="779"/>
      <c r="S34" s="779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7">
        <f t="shared" si="0"/>
        <v>0</v>
      </c>
      <c r="F35" s="778"/>
      <c r="G35" s="778"/>
      <c r="H35" s="778"/>
      <c r="I35" s="778"/>
      <c r="J35" s="778"/>
      <c r="K35" s="778"/>
      <c r="L35" s="778"/>
      <c r="M35" s="778"/>
      <c r="N35" s="778"/>
      <c r="O35" s="778"/>
      <c r="P35" s="778"/>
      <c r="Q35" s="778"/>
      <c r="R35" s="778"/>
      <c r="S35" s="778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7">
        <f t="shared" si="0"/>
        <v>0</v>
      </c>
      <c r="F36" s="778"/>
      <c r="G36" s="778"/>
      <c r="H36" s="778"/>
      <c r="I36" s="778"/>
      <c r="J36" s="778"/>
      <c r="K36" s="778"/>
      <c r="L36" s="778"/>
      <c r="M36" s="778"/>
      <c r="N36" s="778"/>
      <c r="O36" s="778"/>
      <c r="P36" s="778"/>
      <c r="Q36" s="778"/>
      <c r="R36" s="778"/>
      <c r="S36" s="778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7">
        <f t="shared" si="0"/>
        <v>0</v>
      </c>
      <c r="F37" s="778"/>
      <c r="G37" s="778"/>
      <c r="H37" s="778"/>
      <c r="I37" s="778"/>
      <c r="J37" s="778"/>
      <c r="K37" s="778"/>
      <c r="L37" s="778"/>
      <c r="M37" s="778"/>
      <c r="N37" s="778"/>
      <c r="O37" s="778"/>
      <c r="P37" s="778"/>
      <c r="Q37" s="778"/>
      <c r="R37" s="778"/>
      <c r="S37" s="778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215068505</v>
      </c>
      <c r="D38" s="469">
        <f>'9.2.1. sz. mell'!C38+'9.2.2. sz.  mell'!C38+'9.2.3. sz. mell.'!C38</f>
        <v>215068505</v>
      </c>
      <c r="E38" s="777">
        <f t="shared" si="0"/>
        <v>0</v>
      </c>
      <c r="F38" s="778"/>
      <c r="G38" s="778"/>
      <c r="H38" s="778"/>
      <c r="I38" s="778"/>
      <c r="J38" s="778"/>
      <c r="K38" s="778"/>
      <c r="L38" s="778"/>
      <c r="M38" s="778"/>
      <c r="N38" s="778"/>
      <c r="O38" s="778"/>
      <c r="P38" s="778"/>
      <c r="Q38" s="778"/>
      <c r="R38" s="778"/>
      <c r="S38" s="778"/>
    </row>
    <row r="39" spans="1:19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  <c r="D39" s="469">
        <f>'9.2.1. sz. mell'!C39+'9.2.2. sz.  mell'!C39+'9.2.3. sz. mell.'!C39</f>
        <v>829764</v>
      </c>
      <c r="E39" s="777">
        <f t="shared" si="0"/>
        <v>0</v>
      </c>
      <c r="F39" s="778"/>
      <c r="G39" s="778"/>
      <c r="H39" s="778"/>
      <c r="I39" s="778"/>
      <c r="J39" s="778"/>
      <c r="K39" s="778"/>
      <c r="L39" s="778"/>
      <c r="M39" s="778"/>
      <c r="N39" s="778"/>
      <c r="O39" s="778"/>
      <c r="P39" s="778"/>
      <c r="Q39" s="778"/>
      <c r="R39" s="778"/>
      <c r="S39" s="778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7">
        <f t="shared" si="0"/>
        <v>0</v>
      </c>
      <c r="F40" s="778"/>
      <c r="G40" s="778"/>
      <c r="H40" s="778"/>
      <c r="I40" s="778"/>
      <c r="J40" s="778"/>
      <c r="K40" s="778"/>
      <c r="L40" s="778"/>
      <c r="M40" s="778"/>
      <c r="N40" s="778"/>
      <c r="O40" s="778"/>
      <c r="P40" s="778"/>
      <c r="Q40" s="778"/>
      <c r="R40" s="778"/>
      <c r="S40" s="778"/>
    </row>
    <row r="41" spans="1:19" s="249" customFormat="1" ht="12" customHeight="1" thickBot="1" x14ac:dyDescent="0.25">
      <c r="A41" s="241" t="s">
        <v>362</v>
      </c>
      <c r="B41" s="70" t="s">
        <v>363</v>
      </c>
      <c r="C41" s="45">
        <f>217976265-3737524</f>
        <v>214238741</v>
      </c>
      <c r="D41" s="469">
        <f>'9.2.1. sz. mell'!C41+'9.2.2. sz.  mell'!C41+'9.2.3. sz. mell.'!C41</f>
        <v>214238741</v>
      </c>
      <c r="E41" s="777">
        <f t="shared" si="0"/>
        <v>0</v>
      </c>
      <c r="F41" s="779"/>
      <c r="G41" s="779"/>
      <c r="H41" s="779"/>
      <c r="I41" s="779"/>
      <c r="J41" s="779"/>
      <c r="K41" s="779"/>
      <c r="L41" s="779"/>
      <c r="M41" s="779"/>
      <c r="N41" s="779"/>
      <c r="O41" s="779"/>
      <c r="P41" s="779"/>
      <c r="Q41" s="779"/>
      <c r="R41" s="779"/>
      <c r="S41" s="779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226404526</v>
      </c>
      <c r="D42" s="469">
        <f>'9.2.1. sz. mell'!C42+'9.2.2. sz.  mell'!C42+'9.2.3. sz. mell.'!C42</f>
        <v>226404526</v>
      </c>
      <c r="E42" s="777">
        <f t="shared" si="0"/>
        <v>0</v>
      </c>
      <c r="F42" s="779"/>
      <c r="G42" s="779"/>
      <c r="H42" s="779"/>
      <c r="I42" s="779"/>
      <c r="J42" s="779"/>
      <c r="K42" s="779"/>
      <c r="L42" s="779"/>
      <c r="M42" s="779"/>
      <c r="N42" s="779"/>
      <c r="O42" s="779"/>
      <c r="P42" s="779"/>
      <c r="Q42" s="779"/>
      <c r="R42" s="779"/>
      <c r="S42" s="779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9"/>
      <c r="G43" s="779"/>
      <c r="H43" s="779"/>
      <c r="I43" s="779"/>
      <c r="J43" s="779"/>
      <c r="K43" s="779"/>
      <c r="L43" s="779"/>
      <c r="M43" s="779"/>
      <c r="N43" s="779"/>
      <c r="O43" s="779"/>
      <c r="P43" s="779"/>
      <c r="Q43" s="779"/>
      <c r="R43" s="779"/>
      <c r="S43" s="779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6"/>
      <c r="G45" s="776"/>
      <c r="H45" s="776"/>
      <c r="I45" s="776"/>
      <c r="J45" s="776"/>
      <c r="K45" s="776"/>
      <c r="L45" s="776"/>
      <c r="M45" s="776"/>
      <c r="N45" s="776"/>
      <c r="O45" s="776"/>
      <c r="P45" s="776"/>
      <c r="Q45" s="776"/>
      <c r="R45" s="776"/>
      <c r="S45" s="776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222818609</v>
      </c>
      <c r="D46" s="469">
        <f>'9.2.1. sz. mell'!C46+'9.2.2. sz.  mell'!C46+'9.2.3. sz. mell.'!C46</f>
        <v>222818609</v>
      </c>
      <c r="E46" s="777">
        <f t="shared" ref="E46:E58" si="1">C46-D46</f>
        <v>0</v>
      </c>
      <c r="F46" s="780"/>
      <c r="G46" s="780"/>
      <c r="H46" s="780"/>
      <c r="I46" s="780"/>
      <c r="J46" s="780"/>
      <c r="K46" s="780"/>
      <c r="L46" s="780"/>
      <c r="M46" s="780"/>
      <c r="N46" s="780"/>
      <c r="O46" s="780"/>
      <c r="P46" s="780"/>
      <c r="Q46" s="780"/>
      <c r="R46" s="780"/>
      <c r="S46" s="780"/>
    </row>
    <row r="47" spans="1:19" ht="12" customHeight="1" x14ac:dyDescent="0.2">
      <c r="A47" s="241" t="s">
        <v>102</v>
      </c>
      <c r="B47" s="7" t="s">
        <v>52</v>
      </c>
      <c r="C47" s="569">
        <f>147375885+935085+4069918+2081772-3199848+20000</f>
        <v>151282812</v>
      </c>
      <c r="D47" s="469">
        <f>'9.2.1. sz. mell'!C47+'9.2.2. sz.  mell'!C47+'9.2.3. sz. mell.'!C47</f>
        <v>151282812</v>
      </c>
      <c r="E47" s="777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70">
        <f>30406649+133681+815187+436333-561576+3900</f>
        <v>31234174</v>
      </c>
      <c r="D48" s="469">
        <f>'9.2.1. sz. mell'!C48+'9.2.2. sz.  mell'!C48+'9.2.3. sz. mell.'!C48</f>
        <v>31234174</v>
      </c>
      <c r="E48" s="777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570">
        <f>38780508+150000+369027+635000+367088</f>
        <v>40301623</v>
      </c>
      <c r="D49" s="469">
        <f>'9.2.1. sz. mell'!C49+'9.2.2. sz.  mell'!C49+'9.2.3. sz. mell.'!C49</f>
        <v>40301623</v>
      </c>
      <c r="E49" s="777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7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7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7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7">
        <f t="shared" si="1"/>
        <v>0</v>
      </c>
      <c r="F53" s="780"/>
      <c r="G53" s="780"/>
      <c r="H53" s="780"/>
      <c r="I53" s="780"/>
      <c r="J53" s="780"/>
      <c r="K53" s="780"/>
      <c r="L53" s="780"/>
      <c r="M53" s="780"/>
      <c r="N53" s="780"/>
      <c r="O53" s="780"/>
      <c r="P53" s="780"/>
      <c r="Q53" s="780"/>
      <c r="R53" s="780"/>
      <c r="S53" s="780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7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7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7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7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226404526</v>
      </c>
      <c r="D58" s="469">
        <f>'9.2.1. sz. mell'!C58+'9.2.2. sz.  mell'!C58+'9.2.3. sz. mell.'!C58</f>
        <v>226404526</v>
      </c>
      <c r="E58" s="777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45">
        <f>47.375+0.8333</f>
        <v>48.208300000000001</v>
      </c>
      <c r="D60" s="469">
        <f>'9.2.1. sz. mell'!C60+'9.2.2. sz.  mell'!C60+'9.2.3. sz. mell.'!C60</f>
        <v>48.21</v>
      </c>
      <c r="E60" s="777">
        <f>C60-D60</f>
        <v>-1.6999999999995907E-3</v>
      </c>
    </row>
    <row r="61" spans="1:19" x14ac:dyDescent="0.2">
      <c r="I61" s="781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./....(......)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5288070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>
        <f>C58-5764785</f>
        <v>4458306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10223091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9993091</v>
      </c>
    </row>
    <row r="47" spans="1:3" ht="12" customHeight="1" x14ac:dyDescent="0.2">
      <c r="A47" s="241" t="s">
        <v>102</v>
      </c>
      <c r="B47" s="7" t="s">
        <v>52</v>
      </c>
      <c r="C47" s="569">
        <f>935085+4069918+2081772</f>
        <v>7086775</v>
      </c>
    </row>
    <row r="48" spans="1:3" ht="12" customHeight="1" x14ac:dyDescent="0.2">
      <c r="A48" s="241" t="s">
        <v>103</v>
      </c>
      <c r="B48" s="6" t="s">
        <v>151</v>
      </c>
      <c r="C48" s="570">
        <f>133681+815187+436333</f>
        <v>1385201</v>
      </c>
    </row>
    <row r="49" spans="1:3" ht="12" customHeight="1" x14ac:dyDescent="0.2">
      <c r="A49" s="241" t="s">
        <v>104</v>
      </c>
      <c r="B49" s="6" t="s">
        <v>127</v>
      </c>
      <c r="C49" s="570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10223091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./....(......)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209780435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45">
        <f>C58-6401000</f>
        <v>209780435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216181435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212825518</v>
      </c>
    </row>
    <row r="47" spans="1:4" ht="12" customHeight="1" x14ac:dyDescent="0.2">
      <c r="A47" s="241" t="s">
        <v>102</v>
      </c>
      <c r="B47" s="7" t="s">
        <v>52</v>
      </c>
      <c r="C47" s="569">
        <f>147375885-3199848+20000</f>
        <v>144196037</v>
      </c>
    </row>
    <row r="48" spans="1:4" ht="12" customHeight="1" x14ac:dyDescent="0.2">
      <c r="A48" s="241" t="s">
        <v>103</v>
      </c>
      <c r="B48" s="6" t="s">
        <v>151</v>
      </c>
      <c r="C48" s="570">
        <f>30406649-561576+3900</f>
        <v>29848973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216181435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./....(......)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9.83203125" style="766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1410">
        <f>SUM(C9:C19)</f>
        <v>7426009</v>
      </c>
      <c r="E8" s="769">
        <f>'9.3.1. sz. mell EOI'!C8+'9.3.2.sz.mell EOI'!C8</f>
        <v>7426009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'9.3.1. sz. mell EOI'!C9+'9.3.2.sz.mell EOI'!C9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570">
        <f>616000+35063</f>
        <v>651063</v>
      </c>
      <c r="E10" s="769">
        <f>'9.3.1. sz. mell EOI'!C10+'9.3.2.sz.mell EOI'!C10</f>
        <v>651063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4200000</v>
      </c>
      <c r="E11" s="769">
        <f>'9.3.1. sz. mell EOI'!C11+'9.3.2.sz.mell EOI'!C11</f>
        <v>4200000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'9.3.1. sz. mell EOI'!C12+'9.3.2.sz.mell EOI'!C12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862330</v>
      </c>
      <c r="E13" s="769">
        <f>'9.3.1. sz. mell EOI'!C13+'9.3.2.sz.mell EOI'!C13</f>
        <v>862330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70">
        <f>1533149+9467</f>
        <v>1542616</v>
      </c>
      <c r="E14" s="769">
        <f>'9.3.1. sz. mell EOI'!C14+'9.3.2.sz.mell EOI'!C14</f>
        <v>1542616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169000</v>
      </c>
      <c r="E15" s="769">
        <f>'9.3.1. sz. mell EOI'!C15+'9.3.2.sz.mell EOI'!C15</f>
        <v>169000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'9.3.1. sz. mell EOI'!C16+'9.3.2.sz.mell EOI'!C16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'9.3.1. sz. mell EOI'!C17+'9.3.2.sz.mell EOI'!C17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'9.3.1. sz. mell EOI'!C18+'9.3.2.sz.mell EOI'!C18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>
        <v>1000</v>
      </c>
      <c r="E19" s="769">
        <f>'9.3.1. sz. mell EOI'!C19+'9.3.2.sz.mell EOI'!C19</f>
        <v>1000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410">
        <f>SUM(C21:C23)</f>
        <v>699075</v>
      </c>
      <c r="E20" s="769">
        <f>'9.3.1. sz. mell EOI'!C20+'9.3.2.sz.mell EOI'!C20</f>
        <v>699075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'9.3.1. sz. mell EOI'!C21+'9.3.2.sz.mell EOI'!C21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'9.3.1. sz. mell EOI'!C22+'9.3.2.sz.mell EOI'!C22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70">
        <v>699075</v>
      </c>
      <c r="E23" s="769">
        <f>'9.3.1. sz. mell EOI'!C23+'9.3.2.sz.mell EOI'!C23</f>
        <v>699075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1409">
        <v>699075</v>
      </c>
      <c r="E24" s="769">
        <f>'9.3.1. sz. mell EOI'!C24+'9.3.2.sz.mell EOI'!C24</f>
        <v>699075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'9.3.1. sz. mell EOI'!C25+'9.3.2.sz.mell EOI'!C25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'9.3.1. sz. mell EOI'!C26+'9.3.2.sz.mell EOI'!C26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'9.3.1. sz. mell EOI'!C27+'9.3.2.sz.mell EOI'!C27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'9.3.1. sz. mell EOI'!C28+'9.3.2.sz.mell EOI'!C28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'9.3.1. sz. mell EOI'!C29+'9.3.2.sz.mell EOI'!C29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'9.3.1. sz. mell EOI'!C30+'9.3.2.sz.mell EOI'!C30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'9.3.1. sz. mell EOI'!C31+'9.3.2.sz.mell EOI'!C31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'9.3.1. sz. mell EOI'!C32+'9.3.2.sz.mell EOI'!C32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'9.3.1. sz. mell EOI'!C33+'9.3.2.sz.mell EOI'!C33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'9.3.1. sz. mell EOI'!C34+'9.3.2.sz.mell EOI'!C34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'9.3.1. sz. mell EOI'!C35+'9.3.2.sz.mell EOI'!C35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'9.3.1. sz. mell EOI'!C36+'9.3.2.sz.mell EOI'!C36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411">
        <f>+C8+C20+C25+C26+C31+C35+C36</f>
        <v>8125084</v>
      </c>
      <c r="E37" s="769">
        <f>'9.3.1. sz. mell EOI'!C37+'9.3.2.sz.mell EOI'!C37</f>
        <v>8125084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329162725</v>
      </c>
      <c r="E38" s="769">
        <f>'9.3.1. sz. mell EOI'!C38+'9.3.2.sz.mell EOI'!C38</f>
        <v>329162725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1054835</v>
      </c>
      <c r="E39" s="769">
        <f>'9.3.1. sz. mell EOI'!C39+'9.3.2.sz.mell EOI'!C39</f>
        <v>1054835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'9.3.1. sz. mell EOI'!C40+'9.3.2.sz.mell EOI'!C40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1">
        <v>328107890</v>
      </c>
      <c r="E41" s="769">
        <f>'9.3.1. sz. mell EOI'!C41+'9.3.2.sz.mell EOI'!C41</f>
        <v>328107890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412">
        <f>+C37+C38</f>
        <v>337287809</v>
      </c>
      <c r="E42" s="769">
        <f>'9.3.1. sz. mell EOI'!C42+'9.3.2.sz.mell EOI'!C42</f>
        <v>337287809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'9.3.1. sz. mell EOI'!C43+'9.3.2.sz.mell EOI'!C43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'9.3.1. sz. mell EOI'!C44+'9.3.2.sz.mell EOI'!C44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'9.3.1. sz. mell EOI'!C45+'9.3.2.sz.mell EOI'!C45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10">
        <f>SUM(C47:C51)</f>
        <v>334396019</v>
      </c>
      <c r="E46" s="769">
        <f>'9.3.1. sz. mell EOI'!C46+'9.3.2.sz.mell EOI'!C46</f>
        <v>334396019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208655734+585000</f>
        <v>209240734</v>
      </c>
      <c r="E47" s="769">
        <f>'9.3.1. sz. mell EOI'!C47+'9.3.2.sz.mell EOI'!C47</f>
        <v>209240734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44850807+114075</f>
        <v>44964882</v>
      </c>
      <c r="E48" s="769">
        <f>'9.3.1. sz. mell EOI'!C48+'9.3.2.sz.mell EOI'!C48</f>
        <v>44964882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70">
        <f>80145873+44530</f>
        <v>80190403</v>
      </c>
      <c r="E49" s="769">
        <f>'9.3.1. sz. mell EOI'!C49+'9.3.2.sz.mell EOI'!C49</f>
        <v>80190403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'9.3.1. sz. mell EOI'!C50+'9.3.2.sz.mell EOI'!C50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'9.3.1. sz. mell EOI'!C51+'9.3.2.sz.mell EOI'!C51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2891790</v>
      </c>
      <c r="E52" s="769">
        <f>'9.3.1. sz. mell EOI'!C52+'9.3.2.sz.mell EOI'!C52</f>
        <v>2891790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1926590</v>
      </c>
      <c r="E53" s="769">
        <f>'9.3.1. sz. mell EOI'!C53+'9.3.2.sz.mell EOI'!C53</f>
        <v>1926590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>
        <v>965200</v>
      </c>
      <c r="E54" s="769">
        <f>'9.3.1. sz. mell EOI'!C54+'9.3.2.sz.mell EOI'!C54</f>
        <v>965200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'9.3.1. sz. mell EOI'!C55+'9.3.2.sz.mell EOI'!C55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'9.3.1. sz. mell EOI'!C56+'9.3.2.sz.mell EOI'!C56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'9.3.1. sz. mell EOI'!C57+'9.3.2.sz.mell EOI'!C57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413">
        <f>+C46+C52+C57</f>
        <v>337287809</v>
      </c>
      <c r="E58" s="769">
        <f>'9.3.1. sz. mell EOI'!C58+'9.3.2.sz.mell EOI'!C58</f>
        <v>337287809</v>
      </c>
      <c r="F58" s="769">
        <f t="shared" si="0"/>
        <v>0</v>
      </c>
    </row>
    <row r="59" spans="1:6" ht="14.25" customHeight="1" thickBot="1" x14ac:dyDescent="0.25">
      <c r="C59" s="988"/>
      <c r="E59" s="769">
        <f>'9.3.1. sz. mell EOI'!C59+'9.3.2.sz.mell EOI'!C59</f>
        <v>0</v>
      </c>
      <c r="F59" s="769">
        <f t="shared" si="0"/>
        <v>0</v>
      </c>
    </row>
    <row r="60" spans="1:6" x14ac:dyDescent="0.2">
      <c r="A60" s="1414" t="s">
        <v>531</v>
      </c>
      <c r="B60" s="1415"/>
      <c r="C60" s="1416">
        <v>55</v>
      </c>
      <c r="E60" s="769">
        <f>'9.3.1. sz. mell EOI'!C60+'9.3.2.sz.mell EOI'!C60</f>
        <v>55</v>
      </c>
      <c r="F60" s="769">
        <f t="shared" si="0"/>
        <v>0</v>
      </c>
    </row>
    <row r="61" spans="1:6" ht="13.5" thickBot="1" x14ac:dyDescent="0.25">
      <c r="A61" s="1417" t="s">
        <v>948</v>
      </c>
      <c r="B61" s="1418"/>
      <c r="C61" s="1419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./....(......)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7361159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4200000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>
        <v>1000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570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1409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8060234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411">
        <f>+C39+C40+C41</f>
        <v>329162725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420">
        <f>328107890</f>
        <v>328107890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411">
        <f>+C37+C38</f>
        <v>337222959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410">
        <f>SUM(C47:C51)</f>
        <v>334340018</v>
      </c>
    </row>
    <row r="47" spans="1:3" ht="12" customHeight="1" x14ac:dyDescent="0.2">
      <c r="A47" s="241" t="s">
        <v>102</v>
      </c>
      <c r="B47" s="7" t="s">
        <v>52</v>
      </c>
      <c r="C47" s="569">
        <f>208655734+585000</f>
        <v>209240734</v>
      </c>
    </row>
    <row r="48" spans="1:3" ht="12" customHeight="1" x14ac:dyDescent="0.2">
      <c r="A48" s="241" t="s">
        <v>103</v>
      </c>
      <c r="B48" s="6" t="s">
        <v>151</v>
      </c>
      <c r="C48" s="570">
        <f>44850807+114075</f>
        <v>44964882</v>
      </c>
    </row>
    <row r="49" spans="1:3" ht="12" customHeight="1" x14ac:dyDescent="0.2">
      <c r="A49" s="241" t="s">
        <v>104</v>
      </c>
      <c r="B49" s="6" t="s">
        <v>127</v>
      </c>
      <c r="C49" s="570">
        <f>80125553+8849</f>
        <v>80134402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2891790</v>
      </c>
    </row>
    <row r="53" spans="1:3" ht="12" customHeight="1" x14ac:dyDescent="0.2">
      <c r="A53" s="241" t="s">
        <v>108</v>
      </c>
      <c r="B53" s="7" t="s">
        <v>175</v>
      </c>
      <c r="C53" s="980">
        <v>1926590</v>
      </c>
    </row>
    <row r="54" spans="1:3" ht="12" customHeight="1" x14ac:dyDescent="0.2">
      <c r="A54" s="241" t="s">
        <v>109</v>
      </c>
      <c r="B54" s="6" t="s">
        <v>155</v>
      </c>
      <c r="C54" s="974">
        <v>965200</v>
      </c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413">
        <f>+C46+C52+C57</f>
        <v>337231808</v>
      </c>
    </row>
    <row r="59" spans="1:3" ht="14.25" customHeight="1" thickBot="1" x14ac:dyDescent="0.25">
      <c r="C59" s="988"/>
    </row>
    <row r="60" spans="1:3" x14ac:dyDescent="0.2">
      <c r="A60" s="1414" t="s">
        <v>531</v>
      </c>
      <c r="B60" s="1415"/>
      <c r="C60" s="1416">
        <v>55</v>
      </c>
    </row>
    <row r="61" spans="1:3" ht="15.6" customHeight="1" thickBot="1" x14ac:dyDescent="0.25">
      <c r="A61" s="1417" t="s">
        <v>948</v>
      </c>
      <c r="B61" s="1418"/>
      <c r="C61" s="1419">
        <v>1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./....(......)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3.75" customHeight="1" x14ac:dyDescent="0.2">
      <c r="A2" s="203" t="s">
        <v>169</v>
      </c>
      <c r="B2" s="180" t="s">
        <v>406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10">
        <f>SUM(C9:C19)</f>
        <v>64850</v>
      </c>
    </row>
    <row r="9" spans="1:3" x14ac:dyDescent="0.2">
      <c r="A9" s="240" t="s">
        <v>102</v>
      </c>
      <c r="B9" s="8" t="s">
        <v>225</v>
      </c>
      <c r="C9" s="1421"/>
    </row>
    <row r="10" spans="1:3" x14ac:dyDescent="0.2">
      <c r="A10" s="241" t="s">
        <v>103</v>
      </c>
      <c r="B10" s="6" t="s">
        <v>226</v>
      </c>
      <c r="C10" s="570">
        <f>16000+35063</f>
        <v>51063</v>
      </c>
    </row>
    <row r="11" spans="1:3" x14ac:dyDescent="0.2">
      <c r="A11" s="241" t="s">
        <v>104</v>
      </c>
      <c r="B11" s="6" t="s">
        <v>227</v>
      </c>
      <c r="C11" s="570"/>
    </row>
    <row r="12" spans="1:3" x14ac:dyDescent="0.2">
      <c r="A12" s="241" t="s">
        <v>105</v>
      </c>
      <c r="B12" s="6" t="s">
        <v>228</v>
      </c>
      <c r="C12" s="570"/>
    </row>
    <row r="13" spans="1:3" x14ac:dyDescent="0.2">
      <c r="A13" s="241" t="s">
        <v>128</v>
      </c>
      <c r="B13" s="6" t="s">
        <v>229</v>
      </c>
      <c r="C13" s="570"/>
    </row>
    <row r="14" spans="1:3" x14ac:dyDescent="0.2">
      <c r="A14" s="241" t="s">
        <v>106</v>
      </c>
      <c r="B14" s="6" t="s">
        <v>350</v>
      </c>
      <c r="C14" s="570">
        <f>4320+9467</f>
        <v>13787</v>
      </c>
    </row>
    <row r="15" spans="1:3" x14ac:dyDescent="0.2">
      <c r="A15" s="241" t="s">
        <v>107</v>
      </c>
      <c r="B15" s="5" t="s">
        <v>351</v>
      </c>
      <c r="C15" s="44"/>
    </row>
    <row r="16" spans="1:3" x14ac:dyDescent="0.2">
      <c r="A16" s="241" t="s">
        <v>117</v>
      </c>
      <c r="B16" s="6" t="s">
        <v>232</v>
      </c>
      <c r="C16" s="150"/>
    </row>
    <row r="17" spans="1:3" x14ac:dyDescent="0.2">
      <c r="A17" s="241" t="s">
        <v>118</v>
      </c>
      <c r="B17" s="6" t="s">
        <v>233</v>
      </c>
      <c r="C17" s="44"/>
    </row>
    <row r="18" spans="1:3" x14ac:dyDescent="0.2">
      <c r="A18" s="241" t="s">
        <v>119</v>
      </c>
      <c r="B18" s="6" t="s">
        <v>463</v>
      </c>
      <c r="C18" s="572"/>
    </row>
    <row r="19" spans="1:3" ht="13.5" thickBot="1" x14ac:dyDescent="0.25">
      <c r="A19" s="241" t="s">
        <v>120</v>
      </c>
      <c r="B19" s="5" t="s">
        <v>234</v>
      </c>
      <c r="C19" s="572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44"/>
    </row>
    <row r="23" spans="1:3" x14ac:dyDescent="0.2">
      <c r="A23" s="241" t="s">
        <v>110</v>
      </c>
      <c r="B23" s="6" t="s">
        <v>354</v>
      </c>
      <c r="C23" s="570"/>
    </row>
    <row r="24" spans="1:3" ht="13.5" thickBot="1" x14ac:dyDescent="0.25">
      <c r="A24" s="241" t="s">
        <v>111</v>
      </c>
      <c r="B24" s="6" t="s">
        <v>534</v>
      </c>
      <c r="C24" s="44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x14ac:dyDescent="0.2">
      <c r="A27" s="242" t="s">
        <v>213</v>
      </c>
      <c r="B27" s="243" t="s">
        <v>208</v>
      </c>
      <c r="C27" s="42"/>
    </row>
    <row r="28" spans="1:3" x14ac:dyDescent="0.2">
      <c r="A28" s="242" t="s">
        <v>216</v>
      </c>
      <c r="B28" s="243" t="s">
        <v>353</v>
      </c>
      <c r="C28" s="147"/>
    </row>
    <row r="29" spans="1:3" x14ac:dyDescent="0.2">
      <c r="A29" s="242" t="s">
        <v>217</v>
      </c>
      <c r="B29" s="244" t="s">
        <v>355</v>
      </c>
      <c r="C29" s="147"/>
    </row>
    <row r="30" spans="1:3" ht="13.5" thickBot="1" x14ac:dyDescent="0.25">
      <c r="A30" s="241" t="s">
        <v>218</v>
      </c>
      <c r="B30" s="70" t="s">
        <v>536</v>
      </c>
      <c r="C30" s="45"/>
    </row>
    <row r="31" spans="1:3" ht="13.5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x14ac:dyDescent="0.2">
      <c r="A32" s="242" t="s">
        <v>95</v>
      </c>
      <c r="B32" s="243" t="s">
        <v>239</v>
      </c>
      <c r="C32" s="42"/>
    </row>
    <row r="33" spans="1:3" x14ac:dyDescent="0.2">
      <c r="A33" s="242" t="s">
        <v>96</v>
      </c>
      <c r="B33" s="244" t="s">
        <v>240</v>
      </c>
      <c r="C33" s="150"/>
    </row>
    <row r="34" spans="1:3" ht="13.5" thickBot="1" x14ac:dyDescent="0.25">
      <c r="A34" s="241" t="s">
        <v>97</v>
      </c>
      <c r="B34" s="70" t="s">
        <v>241</v>
      </c>
      <c r="C34" s="45"/>
    </row>
    <row r="35" spans="1:3" ht="13.5" thickBot="1" x14ac:dyDescent="0.25">
      <c r="A35" s="91" t="s">
        <v>27</v>
      </c>
      <c r="B35" s="67" t="s">
        <v>327</v>
      </c>
      <c r="C35" s="170"/>
    </row>
    <row r="36" spans="1:3" ht="13.5" thickBot="1" x14ac:dyDescent="0.25">
      <c r="A36" s="91" t="s">
        <v>28</v>
      </c>
      <c r="B36" s="67" t="s">
        <v>357</v>
      </c>
      <c r="C36" s="187"/>
    </row>
    <row r="37" spans="1:3" ht="13.5" thickBot="1" x14ac:dyDescent="0.25">
      <c r="A37" s="88" t="s">
        <v>29</v>
      </c>
      <c r="B37" s="67" t="s">
        <v>358</v>
      </c>
      <c r="C37" s="1411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1411">
        <f>+C39+C40+C41</f>
        <v>0</v>
      </c>
    </row>
    <row r="39" spans="1:3" x14ac:dyDescent="0.2">
      <c r="A39" s="242" t="s">
        <v>360</v>
      </c>
      <c r="B39" s="243" t="s">
        <v>184</v>
      </c>
      <c r="C39" s="1408"/>
    </row>
    <row r="40" spans="1:3" x14ac:dyDescent="0.2">
      <c r="A40" s="242" t="s">
        <v>361</v>
      </c>
      <c r="B40" s="244" t="s">
        <v>10</v>
      </c>
      <c r="C40" s="1422"/>
    </row>
    <row r="41" spans="1:3" ht="13.5" thickBot="1" x14ac:dyDescent="0.25">
      <c r="A41" s="241" t="s">
        <v>362</v>
      </c>
      <c r="B41" s="70" t="s">
        <v>363</v>
      </c>
      <c r="C41" s="1423"/>
    </row>
    <row r="42" spans="1:3" ht="13.5" thickBot="1" x14ac:dyDescent="0.25">
      <c r="A42" s="107" t="s">
        <v>31</v>
      </c>
      <c r="B42" s="108" t="s">
        <v>364</v>
      </c>
      <c r="C42" s="1411">
        <f>+C37+C38</f>
        <v>64850</v>
      </c>
    </row>
    <row r="43" spans="1:3" x14ac:dyDescent="0.2">
      <c r="A43" s="109"/>
      <c r="B43" s="110"/>
      <c r="C43" s="1424"/>
    </row>
    <row r="44" spans="1:3" ht="13.5" thickBot="1" x14ac:dyDescent="0.25">
      <c r="A44" s="111"/>
      <c r="B44" s="112"/>
      <c r="C44" s="1425"/>
    </row>
    <row r="45" spans="1:3" ht="13.5" thickBot="1" x14ac:dyDescent="0.25">
      <c r="A45" s="113"/>
      <c r="B45" s="114" t="s">
        <v>61</v>
      </c>
      <c r="C45" s="1411"/>
    </row>
    <row r="46" spans="1:3" ht="13.5" thickBot="1" x14ac:dyDescent="0.25">
      <c r="A46" s="91" t="s">
        <v>22</v>
      </c>
      <c r="B46" s="67" t="s">
        <v>365</v>
      </c>
      <c r="C46" s="1410">
        <f>SUM(C47:C51)</f>
        <v>56001</v>
      </c>
    </row>
    <row r="47" spans="1:3" x14ac:dyDescent="0.2">
      <c r="A47" s="241" t="s">
        <v>102</v>
      </c>
      <c r="B47" s="7" t="s">
        <v>52</v>
      </c>
      <c r="C47" s="569"/>
    </row>
    <row r="48" spans="1:3" x14ac:dyDescent="0.2">
      <c r="A48" s="241" t="s">
        <v>103</v>
      </c>
      <c r="B48" s="6" t="s">
        <v>151</v>
      </c>
      <c r="C48" s="570"/>
    </row>
    <row r="49" spans="1:3" x14ac:dyDescent="0.2">
      <c r="A49" s="241" t="s">
        <v>104</v>
      </c>
      <c r="B49" s="6" t="s">
        <v>127</v>
      </c>
      <c r="C49" s="570">
        <f>20320+35681</f>
        <v>56001</v>
      </c>
    </row>
    <row r="50" spans="1:3" x14ac:dyDescent="0.2">
      <c r="A50" s="241" t="s">
        <v>105</v>
      </c>
      <c r="B50" s="6" t="s">
        <v>152</v>
      </c>
      <c r="C50" s="1409"/>
    </row>
    <row r="51" spans="1:3" ht="13.5" thickBot="1" x14ac:dyDescent="0.25">
      <c r="A51" s="241" t="s">
        <v>128</v>
      </c>
      <c r="B51" s="6" t="s">
        <v>153</v>
      </c>
      <c r="C51" s="1409"/>
    </row>
    <row r="52" spans="1:3" ht="13.5" thickBot="1" x14ac:dyDescent="0.25">
      <c r="A52" s="91" t="s">
        <v>23</v>
      </c>
      <c r="B52" s="67" t="s">
        <v>366</v>
      </c>
      <c r="C52" s="1410">
        <f>SUM(C53:C55)</f>
        <v>0</v>
      </c>
    </row>
    <row r="53" spans="1:3" x14ac:dyDescent="0.2">
      <c r="A53" s="241" t="s">
        <v>108</v>
      </c>
      <c r="B53" s="7" t="s">
        <v>175</v>
      </c>
      <c r="C53" s="569"/>
    </row>
    <row r="54" spans="1:3" x14ac:dyDescent="0.2">
      <c r="A54" s="241" t="s">
        <v>109</v>
      </c>
      <c r="B54" s="6" t="s">
        <v>155</v>
      </c>
      <c r="C54" s="1409"/>
    </row>
    <row r="55" spans="1:3" x14ac:dyDescent="0.2">
      <c r="A55" s="241" t="s">
        <v>110</v>
      </c>
      <c r="B55" s="6" t="s">
        <v>62</v>
      </c>
      <c r="C55" s="1409"/>
    </row>
    <row r="56" spans="1:3" ht="13.5" thickBot="1" x14ac:dyDescent="0.25">
      <c r="A56" s="241" t="s">
        <v>111</v>
      </c>
      <c r="B56" s="6" t="s">
        <v>537</v>
      </c>
      <c r="C56" s="1409"/>
    </row>
    <row r="57" spans="1:3" ht="13.5" thickBot="1" x14ac:dyDescent="0.25">
      <c r="A57" s="91" t="s">
        <v>24</v>
      </c>
      <c r="B57" s="67" t="s">
        <v>16</v>
      </c>
      <c r="C57" s="1426"/>
    </row>
    <row r="58" spans="1:3" ht="13.5" thickBot="1" x14ac:dyDescent="0.25">
      <c r="A58" s="91" t="s">
        <v>25</v>
      </c>
      <c r="B58" s="115" t="s">
        <v>538</v>
      </c>
      <c r="C58" s="1410">
        <f>+C46+C52+C57</f>
        <v>56001</v>
      </c>
    </row>
    <row r="59" spans="1:3" ht="13.5" thickBot="1" x14ac:dyDescent="0.25">
      <c r="A59" s="116"/>
      <c r="B59" s="117"/>
      <c r="C59" s="1427"/>
    </row>
    <row r="60" spans="1:3" ht="13.5" thickBot="1" x14ac:dyDescent="0.25">
      <c r="A60" s="118" t="s">
        <v>531</v>
      </c>
      <c r="B60" s="119"/>
      <c r="C60" s="576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./....(......)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664062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10409400</v>
      </c>
      <c r="E8" s="769">
        <f>'9.4.1. sz. mell EKIK'!C8+'9.4.2. sz. mell EKIK'!C8</f>
        <v>10409400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>
        <v>20000</v>
      </c>
      <c r="E9" s="769">
        <f>'9.4.1. sz. mell EKIK'!C9+'9.4.2. sz. mell EKIK'!C9</f>
        <v>20000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8820000</v>
      </c>
      <c r="E10" s="769">
        <f>'9.4.1. sz. mell EKIK'!C10+'9.4.2. sz. mell EKIK'!C10</f>
        <v>8820000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50000</v>
      </c>
      <c r="E11" s="769">
        <f>'9.4.1. sz. mell EKIK'!C11+'9.4.2. sz. mell EKIK'!C11</f>
        <v>50000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'9.4.1. sz. mell EKIK'!C12+'9.4.2. sz. mell EKIK'!C12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/>
      <c r="E13" s="769">
        <f>'9.4.1. sz. mell EKIK'!C13+'9.4.2. sz. mell EKIK'!C13</f>
        <v>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869400</v>
      </c>
      <c r="E14" s="769">
        <f>'9.4.1. sz. mell EKIK'!C14+'9.4.2. sz. mell EKIK'!C14</f>
        <v>869400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650000</v>
      </c>
      <c r="E15" s="769">
        <f>'9.4.1. sz. mell EKIK'!C15+'9.4.2. sz. mell EKIK'!C15</f>
        <v>650000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'9.4.1. sz. mell EKIK'!C16+'9.4.2. sz. mell EKIK'!C16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'9.4.1. sz. mell EKIK'!C17+'9.4.2. sz. mell EKIK'!C17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'9.4.1. sz. mell EKIK'!C18+'9.4.2. sz. mell EKIK'!C18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'9.4.1. sz. mell EKIK'!C19+'9.4.2. sz. mell EKIK'!C19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'9.4.1. sz. mell EKIK'!C20+'9.4.2. sz. mell EKIK'!C20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'9.4.1. sz. mell EKIK'!C21+'9.4.2. sz. mell EKIK'!C21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'9.4.1. sz. mell EKIK'!C22+'9.4.2. sz. mell EKIK'!C22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'9.4.1. sz. mell EKIK'!C23+'9.4.2. sz. mell EKIK'!C23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'9.4.1. sz. mell EKIK'!C24+'9.4.2. sz. mell EKIK'!C24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'9.4.1. sz. mell EKIK'!C25+'9.4.2. sz. mell EKIK'!C25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'9.4.1. sz. mell EKIK'!C26+'9.4.2. sz. mell EKIK'!C26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'9.4.1. sz. mell EKIK'!C27+'9.4.2. sz. mell EKIK'!C27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'9.4.1. sz. mell EKIK'!C28+'9.4.2. sz. mell EKIK'!C28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'9.4.1. sz. mell EKIK'!C29+'9.4.2. sz. mell EKIK'!C29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'9.4.1. sz. mell EKIK'!C30+'9.4.2. sz. mell EKIK'!C30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'9.4.1. sz. mell EKIK'!C31+'9.4.2. sz. mell EKIK'!C31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'9.4.1. sz. mell EKIK'!C32+'9.4.2. sz. mell EKIK'!C32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'9.4.1. sz. mell EKIK'!C33+'9.4.2. sz. mell EKIK'!C33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'9.4.1. sz. mell EKIK'!C34+'9.4.2. sz. mell EKIK'!C34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'9.4.1. sz. mell EKIK'!C35+'9.4.2. sz. mell EKIK'!C35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'9.4.1. sz. mell EKIK'!C36+'9.4.2. sz. mell EKIK'!C36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10409400</v>
      </c>
      <c r="E37" s="769">
        <f>'9.4.1. sz. mell EKIK'!C37+'9.4.2. sz. mell EKIK'!C37</f>
        <v>10409400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99956508</v>
      </c>
      <c r="E38" s="769">
        <f>'9.4.1. sz. mell EKIK'!C38+'9.4.2. sz. mell EKIK'!C38</f>
        <v>99956508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435258</v>
      </c>
      <c r="E39" s="769">
        <f>'9.4.1. sz. mell EKIK'!C39+'9.4.2. sz. mell EKIK'!C39</f>
        <v>435258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'9.4.1. sz. mell EKIK'!C40+'9.4.2. sz. mell EKIK'!C40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1">
        <v>99521250</v>
      </c>
      <c r="E41" s="769">
        <f>'9.4.1. sz. mell EKIK'!C41+'9.4.2. sz. mell EKIK'!C41</f>
        <v>99521250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4">
        <f>+C37+C38</f>
        <v>110365908</v>
      </c>
      <c r="E42" s="769">
        <f>'9.4.1. sz. mell EKIK'!C42+'9.4.2. sz. mell EKIK'!C42</f>
        <v>110365908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'9.4.1. sz. mell EKIK'!C43+'9.4.2. sz. mell EKIK'!C43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'9.4.1. sz. mell EKIK'!C44+'9.4.2. sz. mell EKIK'!C44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'9.4.1. sz. mell EKIK'!C45+'9.4.2. sz. mell EKIK'!C45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2">
        <f>SUM(C47:C51)</f>
        <v>108379694</v>
      </c>
      <c r="E46" s="769">
        <f>'9.4.1. sz. mell EKIK'!C46+'9.4.2. sz. mell EKIK'!C46</f>
        <v>108379694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0">
        <v>48091292</v>
      </c>
      <c r="E47" s="769">
        <f>'9.4.1. sz. mell EKIK'!C47+'9.4.2. sz. mell EKIK'!C47</f>
        <v>48091292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4">
        <v>9499320</v>
      </c>
      <c r="E48" s="769">
        <f>'9.4.1. sz. mell EKIK'!C48+'9.4.2. sz. mell EKIK'!C48</f>
        <v>9499320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50789082</v>
      </c>
      <c r="E49" s="769">
        <f>'9.4.1. sz. mell EKIK'!C49+'9.4.2. sz. mell EKIK'!C49</f>
        <v>50789082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'9.4.1. sz. mell EKIK'!C50+'9.4.2. sz. mell EKIK'!C50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'9.4.1. sz. mell EKIK'!C51+'9.4.2. sz. mell EKIK'!C51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1986214</v>
      </c>
      <c r="E52" s="769">
        <f>'9.4.1. sz. mell EKIK'!C52+'9.4.2. sz. mell EKIK'!C52</f>
        <v>1986214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0">
        <v>1986214</v>
      </c>
      <c r="E53" s="769">
        <f>'9.4.1. sz. mell EKIK'!C53+'9.4.2. sz. mell EKIK'!C53</f>
        <v>1986214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'9.4.1. sz. mell EKIK'!C54+'9.4.2. sz. mell EKIK'!C54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'9.4.1. sz. mell EKIK'!C55+'9.4.2. sz. mell EKIK'!C55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'9.4.1. sz. mell EKIK'!C56+'9.4.2. sz. mell EKIK'!C56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'9.4.1. sz. mell EKIK'!C57+'9.4.2. sz. mell EKIK'!C57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87">
        <f>+C46+C52+C57</f>
        <v>110365908</v>
      </c>
      <c r="E58" s="769">
        <f>'9.4.1. sz. mell EKIK'!C58+'9.4.2. sz. mell EKIK'!C58</f>
        <v>110365908</v>
      </c>
      <c r="F58" s="769">
        <f t="shared" si="0"/>
        <v>0</v>
      </c>
    </row>
    <row r="59" spans="1:6" ht="14.25" customHeight="1" thickBot="1" x14ac:dyDescent="0.25">
      <c r="C59" s="988"/>
      <c r="E59" s="769">
        <f>'9.4.1. sz. mell EKIK'!C59+'9.4.2. sz. mell EKIK'!C59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18.25</v>
      </c>
      <c r="E60" s="769">
        <f>'9.4.1. sz. mell EKIK'!C60+'9.4.2. sz. mell EKIK'!C60</f>
        <v>39.42</v>
      </c>
      <c r="F60" s="769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 számú melléklet a 4/2019.(II.19.)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73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74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99956508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981">
        <v>99521250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4">
        <f>+C37+C38</f>
        <v>110150008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972">
        <f>SUM(C47:C51)</f>
        <v>108163794</v>
      </c>
    </row>
    <row r="47" spans="1:3" ht="12" customHeight="1" x14ac:dyDescent="0.2">
      <c r="A47" s="241" t="s">
        <v>102</v>
      </c>
      <c r="B47" s="7" t="s">
        <v>52</v>
      </c>
      <c r="C47" s="980">
        <v>48091292</v>
      </c>
    </row>
    <row r="48" spans="1:3" ht="12" customHeight="1" x14ac:dyDescent="0.2">
      <c r="A48" s="241" t="s">
        <v>103</v>
      </c>
      <c r="B48" s="6" t="s">
        <v>151</v>
      </c>
      <c r="C48" s="974">
        <v>9499320</v>
      </c>
    </row>
    <row r="49" spans="1:3" ht="12" customHeight="1" x14ac:dyDescent="0.2">
      <c r="A49" s="241" t="s">
        <v>104</v>
      </c>
      <c r="B49" s="6" t="s">
        <v>127</v>
      </c>
      <c r="C49" s="974">
        <v>50573182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1986214</v>
      </c>
    </row>
    <row r="53" spans="1:3" ht="12" customHeight="1" x14ac:dyDescent="0.2">
      <c r="A53" s="241" t="s">
        <v>108</v>
      </c>
      <c r="B53" s="7" t="s">
        <v>175</v>
      </c>
      <c r="C53" s="980">
        <v>1986214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987">
        <f>+C46+C52+C57</f>
        <v>110150008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9.4.1. számú melléklet a 4/2019.(II.19.)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abSelected="1" view="pageLayout" zoomScaleNormal="115" zoomScaleSheetLayoutView="100" workbookViewId="0">
      <selection activeCell="H5" sqref="H5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251" t="s">
        <v>19</v>
      </c>
      <c r="B1" s="1251"/>
      <c r="C1" s="1251"/>
      <c r="D1" s="199"/>
      <c r="E1" s="199"/>
      <c r="F1" s="199"/>
    </row>
    <row r="2" spans="1:6" ht="15.95" customHeight="1" thickBot="1" x14ac:dyDescent="0.3">
      <c r="A2" s="1254"/>
      <c r="B2" s="1254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566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83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183484514</v>
      </c>
      <c r="D34" s="311">
        <f>SUM(D35:D45)</f>
        <v>15276644</v>
      </c>
      <c r="E34" s="135">
        <f>SUM(E35:E45)</f>
        <v>0</v>
      </c>
      <c r="F34" s="135">
        <f>SUM(F35:F45)</f>
        <v>168207870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1243">
        <f t="shared" si="0"/>
        <v>2575394</v>
      </c>
      <c r="D36" s="292">
        <f>787402+500000+66929+35063</f>
        <v>1389394</v>
      </c>
      <c r="E36" s="139"/>
      <c r="F36" s="137">
        <f>170000+16000+1000000</f>
        <v>1186000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152500000</v>
      </c>
      <c r="D39" s="122"/>
      <c r="E39" s="139"/>
      <c r="F39" s="137">
        <v>152500000</v>
      </c>
    </row>
    <row r="40" spans="1:6" s="212" customFormat="1" ht="12" customHeight="1" x14ac:dyDescent="0.2">
      <c r="A40" s="12" t="s">
        <v>145</v>
      </c>
      <c r="B40" s="214" t="s">
        <v>230</v>
      </c>
      <c r="C40" s="124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124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540784413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190962813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550231063</v>
      </c>
      <c r="D87" s="314">
        <f>+D62+D86</f>
        <v>349821600</v>
      </c>
      <c r="E87" s="140">
        <f>+E62+E86</f>
        <v>0</v>
      </c>
      <c r="F87" s="140">
        <f>+F62+F86</f>
        <v>200409463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1" t="s">
        <v>50</v>
      </c>
      <c r="B89" s="1251"/>
      <c r="C89" s="1251"/>
    </row>
    <row r="90" spans="1:6" s="222" customFormat="1" ht="16.5" customHeight="1" thickBot="1" x14ac:dyDescent="0.3">
      <c r="A90" s="1252" t="s">
        <v>132</v>
      </c>
      <c r="B90" s="1252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681656741</v>
      </c>
      <c r="D93" s="319">
        <f>+D94+D95+D96+D97+D98+D111</f>
        <v>90128260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102</v>
      </c>
      <c r="B94" s="8" t="s">
        <v>52</v>
      </c>
      <c r="C94" s="1374">
        <f t="shared" si="3"/>
        <v>350144473</v>
      </c>
      <c r="D94" s="346">
        <f>2787126+61829+2528076+47565+80000+80000</f>
        <v>5584596</v>
      </c>
      <c r="E94" s="301"/>
      <c r="F94" s="301">
        <v>344559877</v>
      </c>
    </row>
    <row r="95" spans="1:6" ht="12" customHeight="1" x14ac:dyDescent="0.25">
      <c r="A95" s="12" t="s">
        <v>103</v>
      </c>
      <c r="B95" s="6" t="s">
        <v>151</v>
      </c>
      <c r="C95" s="1243">
        <f t="shared" si="3"/>
        <v>74081396</v>
      </c>
      <c r="D95" s="292">
        <f>1409889+7817+14227+10944+444000+24592+15600+15600</f>
        <v>1942669</v>
      </c>
      <c r="E95" s="139"/>
      <c r="F95" s="139">
        <v>72138727</v>
      </c>
    </row>
    <row r="96" spans="1:6" ht="12" customHeight="1" x14ac:dyDescent="0.25">
      <c r="A96" s="12" t="s">
        <v>104</v>
      </c>
      <c r="B96" s="6" t="s">
        <v>127</v>
      </c>
      <c r="C96" s="1243">
        <f t="shared" si="3"/>
        <v>250192805</v>
      </c>
      <c r="D96" s="296">
        <f>4192823+96000+13277327+3082677+45600000+4500000+45669+157480+54851+3760587+259082+437750-72157-64842+35681</f>
        <v>75362928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1243">
        <f t="shared" si="3"/>
        <v>7238067</v>
      </c>
      <c r="D98" s="296">
        <f>SUM(D99:D110)</f>
        <v>7238067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0</v>
      </c>
      <c r="D99" s="296"/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124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25498642</v>
      </c>
      <c r="D114" s="311">
        <f>+D115+D117+D119</f>
        <v>12381323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208">
        <f t="shared" si="3"/>
        <v>25498642</v>
      </c>
      <c r="D115" s="315">
        <f>300000+12076323+5000</f>
        <v>12381323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707155383</v>
      </c>
      <c r="D128" s="311">
        <f>+D93+D114</f>
        <v>102509583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712433383</v>
      </c>
      <c r="D154" s="322">
        <f>+D128+D153</f>
        <v>107787583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253" t="s">
        <v>324</v>
      </c>
      <c r="B156" s="1253"/>
      <c r="C156" s="1253"/>
    </row>
    <row r="157" spans="1:9" ht="15" customHeight="1" thickBot="1" x14ac:dyDescent="0.3">
      <c r="A157" s="1250" t="s">
        <v>133</v>
      </c>
      <c r="B157" s="1250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-166370970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./....(......)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37" sqref="C37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80"/>
    </row>
    <row r="48" spans="1:3" ht="12" customHeight="1" x14ac:dyDescent="0.2">
      <c r="A48" s="241" t="s">
        <v>103</v>
      </c>
      <c r="B48" s="6" t="s">
        <v>151</v>
      </c>
      <c r="C48" s="974"/>
    </row>
    <row r="49" spans="1:3" ht="12" customHeight="1" x14ac:dyDescent="0.2">
      <c r="A49" s="241" t="s">
        <v>104</v>
      </c>
      <c r="B49" s="6" t="s">
        <v>127</v>
      </c>
      <c r="C49" s="974">
        <v>215900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1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63757253</v>
      </c>
      <c r="E8" s="769">
        <f>'9.5.1. sz. mell VK '!C8+'9.5.2. sz. mell VK'!C8</f>
        <v>63757253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'9.5.1. sz. mell VK '!C9+'9.5.2. sz. mell VK'!C9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32107480</v>
      </c>
      <c r="E10" s="769">
        <f>'9.5.1. sz. mell VK '!C10+'9.5.2. sz. mell VK'!C10</f>
        <v>32107480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1586000</v>
      </c>
      <c r="E11" s="769">
        <f>'9.5.1. sz. mell VK '!C11+'9.5.2. sz. mell VK'!C11</f>
        <v>1586000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'9.5.1. sz. mell VK '!C12+'9.5.2. sz. mell VK'!C12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17535396</v>
      </c>
      <c r="E13" s="769">
        <f>'9.5.1. sz. mell VK '!C13+'9.5.2. sz. mell VK'!C13</f>
        <v>17535396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4914377</v>
      </c>
      <c r="E14" s="769">
        <f>'9.5.1. sz. mell VK '!C14+'9.5.2. sz. mell VK'!C14</f>
        <v>4914377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>
        <v>7614000</v>
      </c>
      <c r="E15" s="769">
        <f>'9.5.1. sz. mell VK '!C15+'9.5.2. sz. mell VK'!C15</f>
        <v>7614000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'9.5.1. sz. mell VK '!C16+'9.5.2. sz. mell VK'!C16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'9.5.1. sz. mell VK '!C17+'9.5.2. sz. mell VK'!C17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'9.5.1. sz. mell VK '!C18+'9.5.2. sz. mell VK'!C18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'9.5.1. sz. mell VK '!C19+'9.5.2. sz. mell VK'!C19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'9.5.1. sz. mell VK '!C20+'9.5.2. sz. mell VK'!C20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'9.5.1. sz. mell VK '!C21+'9.5.2. sz. mell VK'!C21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'9.5.1. sz. mell VK '!C22+'9.5.2. sz. mell VK'!C22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'9.5.1. sz. mell VK '!C23+'9.5.2. sz. mell VK'!C23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'9.5.1. sz. mell VK '!C24+'9.5.2. sz. mell VK'!C24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'9.5.1. sz. mell VK '!C25+'9.5.2. sz. mell VK'!C25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'9.5.1. sz. mell VK '!C26+'9.5.2. sz. mell VK'!C26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'9.5.1. sz. mell VK '!C27+'9.5.2. sz. mell VK'!C27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'9.5.1. sz. mell VK '!C28+'9.5.2. sz. mell VK'!C28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'9.5.1. sz. mell VK '!C29+'9.5.2. sz. mell VK'!C29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'9.5.1. sz. mell VK '!C30+'9.5.2. sz. mell VK'!C30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'9.5.1. sz. mell VK '!C31+'9.5.2. sz. mell VK'!C31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'9.5.1. sz. mell VK '!C32+'9.5.2. sz. mell VK'!C32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'9.5.1. sz. mell VK '!C33+'9.5.2. sz. mell VK'!C33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'9.5.1. sz. mell VK '!C34+'9.5.2. sz. mell VK'!C34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'9.5.1. sz. mell VK '!C35+'9.5.2. sz. mell VK'!C35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'9.5.1. sz. mell VK '!C36+'9.5.2. sz. mell VK'!C36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63757253</v>
      </c>
      <c r="E37" s="769">
        <f>'9.5.1. sz. mell VK '!C37+'9.5.2. sz. mell VK'!C37</f>
        <v>63757253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411">
        <f>+C39+C40+C41</f>
        <v>241354463</v>
      </c>
      <c r="E38" s="769">
        <f>'9.5.1. sz. mell VK '!C38+'9.5.2. sz. mell VK'!C38</f>
        <v>241354463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1550858</v>
      </c>
      <c r="E39" s="769">
        <f>'9.5.1. sz. mell VK '!C39+'9.5.2. sz. mell VK'!C39</f>
        <v>1550858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'9.5.1. sz. mell VK '!C40+'9.5.2. sz. mell VK'!C40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420">
        <f>238957245+846360</f>
        <v>239803605</v>
      </c>
      <c r="E41" s="769">
        <f>'9.5.1. sz. mell VK '!C41+'9.5.2. sz. mell VK'!C41</f>
        <v>239803605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412">
        <f>+C37+C38</f>
        <v>305111716</v>
      </c>
      <c r="E42" s="769">
        <f>'9.5.1. sz. mell VK '!C42+'9.5.2. sz. mell VK'!C42</f>
        <v>305111716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'9.5.1. sz. mell VK '!C43+'9.5.2. sz. mell VK'!C43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'9.5.1. sz. mell VK '!C44+'9.5.2. sz. mell VK'!C44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'9.5.1. sz. mell VK '!C45+'9.5.2. sz. mell VK'!C45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10">
        <f>SUM(C47:C51)</f>
        <v>304605666</v>
      </c>
      <c r="E46" s="769">
        <f>'9.5.1. sz. mell VK '!C46+'9.5.2. sz. mell VK'!C46</f>
        <v>304605666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60512486+720000</f>
        <v>61232486</v>
      </c>
      <c r="E47" s="769">
        <f>'9.5.1. sz. mell VK '!C47+'9.5.2. sz. mell VK'!C47</f>
        <v>61232486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13261042+126360</f>
        <v>13387402</v>
      </c>
      <c r="E48" s="769">
        <f>'9.5.1. sz. mell VK '!C48+'9.5.2. sz. mell VK'!C48</f>
        <v>13387402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229985778</v>
      </c>
      <c r="E49" s="769">
        <f>'9.5.1. sz. mell VK '!C49+'9.5.2. sz. mell VK'!C49</f>
        <v>229985778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'9.5.1. sz. mell VK '!C50+'9.5.2. sz. mell VK'!C50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'9.5.1. sz. mell VK '!C51+'9.5.2. sz. mell VK'!C51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506050</v>
      </c>
      <c r="E52" s="769">
        <f>'9.5.1. sz. mell VK '!C52+'9.5.2. sz. mell VK'!C52</f>
        <v>506050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0">
        <v>506050</v>
      </c>
      <c r="E53" s="769">
        <f>'9.5.1. sz. mell VK '!C53+'9.5.2. sz. mell VK'!C53</f>
        <v>506050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'9.5.1. sz. mell VK '!C54+'9.5.2. sz. mell VK'!C54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'9.5.1. sz. mell VK '!C55+'9.5.2. sz. mell VK'!C55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'9.5.1. sz. mell VK '!C56+'9.5.2. sz. mell VK'!C56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'9.5.1. sz. mell VK '!C57+'9.5.2. sz. mell VK'!C57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413">
        <f>+C46+C52+C57</f>
        <v>305111716</v>
      </c>
      <c r="E58" s="769">
        <f>'9.5.1. sz. mell VK '!C58+'9.5.2. sz. mell VK'!C58</f>
        <v>305111716</v>
      </c>
      <c r="F58" s="769">
        <f t="shared" si="0"/>
        <v>0</v>
      </c>
    </row>
    <row r="59" spans="1:6" ht="14.25" customHeight="1" thickBot="1" x14ac:dyDescent="0.25">
      <c r="C59" s="988"/>
      <c r="E59" s="769">
        <f>'9.5.1. sz. mell VK '!C59+'9.5.2. sz. mell VK'!C59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21.17</v>
      </c>
      <c r="E60" s="769">
        <f>'9.5.1. sz. mell VK '!C60+'9.5.2. sz. mell VK'!C60</f>
        <v>21.17</v>
      </c>
      <c r="F60" s="769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./....(......)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63757253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74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63757253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411">
        <f>+C39+C40+C41</f>
        <v>241354463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420">
        <f>238957245+846360</f>
        <v>239803605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412">
        <f>+C37+C38</f>
        <v>305111716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410">
        <f>SUM(C47:C51)</f>
        <v>304605666</v>
      </c>
    </row>
    <row r="47" spans="1:3" ht="12" customHeight="1" x14ac:dyDescent="0.2">
      <c r="A47" s="241" t="s">
        <v>102</v>
      </c>
      <c r="B47" s="7" t="s">
        <v>52</v>
      </c>
      <c r="C47" s="569">
        <f>60512486+720000</f>
        <v>61232486</v>
      </c>
    </row>
    <row r="48" spans="1:3" ht="12" customHeight="1" x14ac:dyDescent="0.2">
      <c r="A48" s="241" t="s">
        <v>103</v>
      </c>
      <c r="B48" s="6" t="s">
        <v>151</v>
      </c>
      <c r="C48" s="570">
        <f>13261042+126360</f>
        <v>13387402</v>
      </c>
    </row>
    <row r="49" spans="1:3" ht="12" customHeight="1" x14ac:dyDescent="0.2">
      <c r="A49" s="241" t="s">
        <v>104</v>
      </c>
      <c r="B49" s="6" t="s">
        <v>127</v>
      </c>
      <c r="C49" s="974">
        <v>229985778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90">
        <v>506050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413">
        <f>+C46+C52+C57</f>
        <v>305111716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./....(......)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4" zoomScaleNormal="145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183703416</v>
      </c>
      <c r="E8" s="769">
        <f>'9.6.1. sz. mell Kornisné Kp. '!C8+'9.6.2. sz. mell Kornisné Kp.'!C8+'9.6.3. sz. mell Kornisné Kp '!C8</f>
        <v>183703416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'9.6.1. sz. mell Kornisné Kp. '!C9+'9.6.2. sz. mell Kornisné Kp.'!C9+'9.6.3. sz. mell Kornisné Kp '!C9</f>
        <v>0</v>
      </c>
      <c r="F9" s="769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>
        <v>13688512</v>
      </c>
      <c r="E10" s="769">
        <f>'9.6.1. sz. mell Kornisné Kp. '!C10+'9.6.2. sz. mell Kornisné Kp.'!C10+'9.6.3. sz. mell Kornisné Kp '!C10</f>
        <v>13688512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>
        <v>12700000</v>
      </c>
      <c r="E11" s="769">
        <f>'9.6.1. sz. mell Kornisné Kp. '!C11+'9.6.2. sz. mell Kornisné Kp.'!C11+'9.6.3. sz. mell Kornisné Kp '!C11</f>
        <v>12700000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'9.6.1. sz. mell Kornisné Kp. '!C12+'9.6.2. sz. mell Kornisné Kp.'!C12+'9.6.3. sz. mell Kornisné Kp 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4">
        <v>152500000</v>
      </c>
      <c r="E13" s="769">
        <f>'9.6.1. sz. mell Kornisné Kp. '!C13+'9.6.2. sz. mell Kornisné Kp.'!C13+'9.6.3. sz. mell Kornisné Kp '!C13</f>
        <v>152500000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4">
        <v>4814904</v>
      </c>
      <c r="E14" s="769">
        <f>'9.6.1. sz. mell Kornisné Kp. '!C14+'9.6.2. sz. mell Kornisné Kp.'!C14+'9.6.3. sz. mell Kornisné Kp '!C14</f>
        <v>4814904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/>
      <c r="E15" s="769">
        <f>'9.6.1. sz. mell Kornisné Kp. '!C15+'9.6.2. sz. mell Kornisné Kp.'!C15+'9.6.3. sz. mell Kornisné Kp '!C15</f>
        <v>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'9.6.1. sz. mell Kornisné Kp. '!C16+'9.6.2. sz. mell Kornisné Kp.'!C16+'9.6.3. sz. mell Kornisné Kp 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'9.6.1. sz. mell Kornisné Kp. '!C17+'9.6.2. sz. mell Kornisné Kp.'!C17+'9.6.3. sz. mell Kornisné Kp 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'9.6.1. sz. mell Kornisné Kp. '!C18+'9.6.2. sz. mell Kornisné Kp.'!C18+'9.6.3. sz. mell Kornisné Kp 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'9.6.1. sz. mell Kornisné Kp. '!C19+'9.6.2. sz. mell Kornisné Kp.'!C19+'9.6.3. sz. mell Kornisné Kp 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22754943</v>
      </c>
      <c r="E20" s="769">
        <f>'9.6.1. sz. mell Kornisné Kp. '!C20+'9.6.2. sz. mell Kornisné Kp.'!C20+'9.6.3. sz. mell Kornisné Kp '!C20</f>
        <v>22754943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4"/>
      <c r="E21" s="769">
        <f>'9.6.1. sz. mell Kornisné Kp. '!C21+'9.6.2. sz. mell Kornisné Kp.'!C21+'9.6.3. sz. mell Kornisné Kp 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'9.6.1. sz. mell Kornisné Kp. '!C22+'9.6.2. sz. mell Kornisné Kp.'!C22+'9.6.3. sz. mell Kornisné Kp 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4">
        <v>22754943</v>
      </c>
      <c r="E23" s="769">
        <f>'9.6.1. sz. mell Kornisné Kp. '!C23+'9.6.2. sz. mell Kornisné Kp.'!C23+'9.6.3. sz. mell Kornisné Kp '!C23</f>
        <v>22754943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>
        <v>754943</v>
      </c>
      <c r="E24" s="769">
        <f>'9.6.1. sz. mell Kornisné Kp. '!C24+'9.6.2. sz. mell Kornisné Kp.'!C24+'9.6.3. sz. mell Kornisné Kp '!C24</f>
        <v>754943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'9.6.1. sz. mell Kornisné Kp. '!C25+'9.6.2. sz. mell Kornisné Kp.'!C25+'9.6.3. sz. mell Kornisné Kp 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'9.6.1. sz. mell Kornisné Kp. '!C26+'9.6.2. sz. mell Kornisné Kp.'!C26+'9.6.3. sz. mell Kornisné Kp 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'9.6.1. sz. mell Kornisné Kp. '!C27+'9.6.2. sz. mell Kornisné Kp.'!C27+'9.6.3. sz. mell Kornisné Kp 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'9.6.1. sz. mell Kornisné Kp. '!C28+'9.6.2. sz. mell Kornisné Kp.'!C28+'9.6.3. sz. mell Kornisné Kp 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'9.6.1. sz. mell Kornisné Kp. '!C29+'9.6.2. sz. mell Kornisné Kp.'!C29+'9.6.3. sz. mell Kornisné Kp 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'9.6.1. sz. mell Kornisné Kp. '!C30+'9.6.2. sz. mell Kornisné Kp.'!C30+'9.6.3. sz. mell Kornisné Kp 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'9.6.1. sz. mell Kornisné Kp. '!C31+'9.6.2. sz. mell Kornisné Kp.'!C31+'9.6.3. sz. mell Kornisné Kp 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'9.6.1. sz. mell Kornisné Kp. '!C32+'9.6.2. sz. mell Kornisné Kp.'!C32+'9.6.3. sz. mell Kornisné Kp 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'9.6.1. sz. mell Kornisné Kp. '!C33+'9.6.2. sz. mell Kornisné Kp.'!C33+'9.6.3. sz. mell Kornisné Kp 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'9.6.1. sz. mell Kornisné Kp. '!C34+'9.6.2. sz. mell Kornisné Kp.'!C34+'9.6.3. sz. mell Kornisné Kp 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'9.6.1. sz. mell Kornisné Kp. '!C35+'9.6.2. sz. mell Kornisné Kp.'!C35+'9.6.3. sz. mell Kornisné Kp 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'9.6.1. sz. mell Kornisné Kp. '!C36+'9.6.2. sz. mell Kornisné Kp.'!C36+'9.6.3. sz. mell Kornisné Kp 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206458359</v>
      </c>
      <c r="E37" s="769">
        <f>'9.6.1. sz. mell Kornisné Kp. '!C37+'9.6.2. sz. mell Kornisné Kp.'!C37+'9.6.3. sz. mell Kornisné Kp '!C37</f>
        <v>206458359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411">
        <f>+C39+C40+C41</f>
        <v>576094844</v>
      </c>
      <c r="E38" s="769">
        <f>'9.6.1. sz. mell Kornisné Kp. '!C38+'9.6.2. sz. mell Kornisné Kp.'!C38+'9.6.3. sz. mell Kornisné Kp '!C38</f>
        <v>576094844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13840612</v>
      </c>
      <c r="E39" s="769">
        <f>'9.6.1. sz. mell Kornisné Kp. '!C39+'9.6.2. sz. mell Kornisné Kp.'!C39+'9.6.3. sz. mell Kornisné Kp '!C39</f>
        <v>13840612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'9.6.1. sz. mell Kornisné Kp. '!C40+'9.6.2. sz. mell Kornisné Kp.'!C40+'9.6.3. sz. mell Kornisné Kp 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420">
        <f>562158632+95600</f>
        <v>562254232</v>
      </c>
      <c r="E41" s="769">
        <f>'9.6.1. sz. mell Kornisné Kp. '!C41+'9.6.2. sz. mell Kornisné Kp.'!C41+'9.6.3. sz. mell Kornisné Kp '!C41</f>
        <v>562254232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411">
        <f>+C37+C38</f>
        <v>782553203</v>
      </c>
      <c r="E42" s="769">
        <f>'9.6.1. sz. mell Kornisné Kp. '!C42+'9.6.2. sz. mell Kornisné Kp.'!C42+'9.6.3. sz. mell Kornisné Kp '!C42</f>
        <v>782553203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'9.6.1. sz. mell Kornisné Kp. '!C43+'9.6.2. sz. mell Kornisné Kp.'!C43+'9.6.3. sz. mell Kornisné Kp 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'9.6.1. sz. mell Kornisné Kp. '!C44+'9.6.2. sz. mell Kornisné Kp.'!C44+'9.6.3. sz. mell Kornisné Kp 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'9.6.1. sz. mell Kornisné Kp. '!C45+'9.6.2. sz. mell Kornisné Kp.'!C45+'9.6.3. sz. mell Kornisné Kp 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410">
        <f>SUM(C47:C51)</f>
        <v>768628520</v>
      </c>
      <c r="E46" s="769">
        <f>'9.6.1. sz. mell Kornisné Kp. '!C46+'9.6.2. sz. mell Kornisné Kp.'!C46+'9.6.3. sz. mell Kornisné Kp '!C46</f>
        <v>768628520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9">
        <f>471445483+80000</f>
        <v>471525483</v>
      </c>
      <c r="E47" s="769">
        <f>'9.6.1. sz. mell Kornisné Kp. '!C47+'9.6.2. sz. mell Kornisné Kp.'!C47+'9.6.3. sz. mell Kornisné Kp '!C47</f>
        <v>471525483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70">
        <f>98130166+15600</f>
        <v>98145766</v>
      </c>
      <c r="E48" s="769">
        <f>'9.6.1. sz. mell Kornisné Kp. '!C48+'9.6.2. sz. mell Kornisné Kp.'!C48+'9.6.3. sz. mell Kornisné Kp '!C48</f>
        <v>98145766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198957271</v>
      </c>
      <c r="E49" s="769">
        <f>'9.6.1. sz. mell Kornisné Kp. '!C49+'9.6.2. sz. mell Kornisné Kp.'!C49+'9.6.3. sz. mell Kornisné Kp '!C49</f>
        <v>198957271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'9.6.1. sz. mell Kornisné Kp. '!C50+'9.6.2. sz. mell Kornisné Kp.'!C50+'9.6.3. sz. mell Kornisné Kp 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'9.6.1. sz. mell Kornisné Kp. '!C51+'9.6.2. sz. mell Kornisné Kp.'!C51+'9.6.3. sz. mell Kornisné Kp 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13924683</v>
      </c>
      <c r="E52" s="769">
        <f>'9.6.1. sz. mell Kornisné Kp. '!C52+'9.6.2. sz. mell Kornisné Kp.'!C52+'9.6.3. sz. mell Kornisné Kp '!C52</f>
        <v>13924683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13924683</v>
      </c>
      <c r="E53" s="769">
        <f>'9.6.1. sz. mell Kornisné Kp. '!C53+'9.6.2. sz. mell Kornisné Kp.'!C53+'9.6.3. sz. mell Kornisné Kp '!C53</f>
        <v>13924683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'9.6.1. sz. mell Kornisné Kp. '!C54+'9.6.2. sz. mell Kornisné Kp.'!C54+'9.6.3. sz. mell Kornisné Kp 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'9.6.1. sz. mell Kornisné Kp. '!C55+'9.6.2. sz. mell Kornisné Kp.'!C55+'9.6.3. sz. mell Kornisné Kp 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'9.6.1. sz. mell Kornisné Kp. '!C56+'9.6.2. sz. mell Kornisné Kp.'!C56+'9.6.3. sz. mell Kornisné Kp 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'9.6.1. sz. mell Kornisné Kp. '!C57+'9.6.2. sz. mell Kornisné Kp.'!C57+'9.6.3. sz. mell Kornisné Kp 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413">
        <f>+C46+C52+C57</f>
        <v>782553203</v>
      </c>
      <c r="E58" s="769">
        <f>'9.6.1. sz. mell Kornisné Kp. '!C58+'9.6.2. sz. mell Kornisné Kp.'!C58+'9.6.3. sz. mell Kornisné Kp '!C58</f>
        <v>782553203</v>
      </c>
      <c r="F58" s="769">
        <f t="shared" si="0"/>
        <v>0</v>
      </c>
    </row>
    <row r="59" spans="1:6" ht="14.25" customHeight="1" thickBot="1" x14ac:dyDescent="0.25">
      <c r="C59" s="988"/>
      <c r="E59" s="769">
        <f>'9.6.1. sz. mell Kornisné Kp. '!C59+'9.6.2. sz. mell Kornisné Kp.'!C59+'9.6.3. sz. mell Kornisné Kp 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149.37</v>
      </c>
      <c r="E60" s="769">
        <f>'9.6.1. sz. mell Kornisné Kp. '!C60+'9.6.2. sz. mell Kornisné Kp.'!C60+'9.6.3. sz. mell Kornisné Kp '!C60</f>
        <v>149.37</v>
      </c>
      <c r="F60" s="769">
        <f t="shared" si="0"/>
        <v>0</v>
      </c>
    </row>
    <row r="61" spans="1:6" s="445" customFormat="1" ht="13.9" customHeight="1" thickBot="1" x14ac:dyDescent="0.25">
      <c r="A61" s="1083" t="s">
        <v>821</v>
      </c>
      <c r="B61" s="1082"/>
      <c r="C61" s="1084">
        <v>0.5</v>
      </c>
      <c r="E61" s="769"/>
      <c r="F61" s="769"/>
    </row>
    <row r="62" spans="1:6" s="445" customFormat="1" ht="13.9" customHeight="1" thickBot="1" x14ac:dyDescent="0.25">
      <c r="A62" s="1285" t="s">
        <v>615</v>
      </c>
      <c r="B62" s="1286"/>
      <c r="C62" s="1085">
        <v>4</v>
      </c>
      <c r="E62" s="769">
        <f>'9.6.1. sz. mell Kornisné Kp. '!C61+'9.6.2. sz. mell Kornisné Kp.'!C62+'9.6.3. sz. mell Kornisné Kp '!C61</f>
        <v>4</v>
      </c>
      <c r="F62" s="769">
        <f t="shared" si="0"/>
        <v>0</v>
      </c>
    </row>
    <row r="63" spans="1:6" s="445" customFormat="1" ht="19.899999999999999" customHeight="1" thickBot="1" x14ac:dyDescent="0.25">
      <c r="A63" s="1287" t="s">
        <v>613</v>
      </c>
      <c r="B63" s="1288"/>
      <c r="C63" s="587">
        <v>1.5</v>
      </c>
      <c r="E63" s="769">
        <f>'9.6.1. sz. mell Kornisné Kp. '!C62+'9.6.2. sz. mell Kornisné Kp.'!C63+'9.6.3. sz. mell Kornisné Kp '!C62</f>
        <v>1.5</v>
      </c>
      <c r="F63" s="769">
        <f t="shared" si="0"/>
        <v>0</v>
      </c>
    </row>
    <row r="64" spans="1:6" ht="13.5" thickBot="1" x14ac:dyDescent="0.25">
      <c r="A64" s="1289" t="s">
        <v>822</v>
      </c>
      <c r="B64" s="1290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./....(......)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8934298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74"/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8934298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411">
        <f>+C39+C40+C41</f>
        <v>163158175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420">
        <f>158859813-95600</f>
        <v>158764213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411">
        <f>+C37+C38</f>
        <v>172092473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410">
        <f>SUM(C47:C51)</f>
        <v>171353642</v>
      </c>
    </row>
    <row r="47" spans="1:3" ht="12" customHeight="1" x14ac:dyDescent="0.2">
      <c r="A47" s="241" t="s">
        <v>102</v>
      </c>
      <c r="B47" s="7" t="s">
        <v>52</v>
      </c>
      <c r="C47" s="569">
        <f>125254356-80000</f>
        <v>125174356</v>
      </c>
    </row>
    <row r="48" spans="1:3" ht="12" customHeight="1" x14ac:dyDescent="0.2">
      <c r="A48" s="241" t="s">
        <v>103</v>
      </c>
      <c r="B48" s="6" t="s">
        <v>151</v>
      </c>
      <c r="C48" s="570">
        <f>25669667-15600</f>
        <v>25654067</v>
      </c>
    </row>
    <row r="49" spans="1:3" ht="12" customHeight="1" x14ac:dyDescent="0.2">
      <c r="A49" s="241" t="s">
        <v>104</v>
      </c>
      <c r="B49" s="6" t="s">
        <v>127</v>
      </c>
      <c r="C49" s="974">
        <v>20525219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972">
        <f>SUM(C53:C55)</f>
        <v>738831</v>
      </c>
    </row>
    <row r="53" spans="1:3" ht="12" customHeight="1" x14ac:dyDescent="0.2">
      <c r="A53" s="241" t="s">
        <v>108</v>
      </c>
      <c r="B53" s="7" t="s">
        <v>175</v>
      </c>
      <c r="C53" s="980">
        <v>738831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974"/>
    </row>
    <row r="56" spans="1:3" ht="15" customHeight="1" thickBot="1" x14ac:dyDescent="0.25">
      <c r="A56" s="241" t="s">
        <v>111</v>
      </c>
      <c r="B56" s="6" t="s">
        <v>537</v>
      </c>
      <c r="C56" s="974"/>
    </row>
    <row r="57" spans="1:3" ht="13.5" thickBot="1" x14ac:dyDescent="0.25">
      <c r="A57" s="91" t="s">
        <v>24</v>
      </c>
      <c r="B57" s="67" t="s">
        <v>16</v>
      </c>
      <c r="C57" s="979"/>
    </row>
    <row r="58" spans="1:3" ht="15" customHeight="1" thickBot="1" x14ac:dyDescent="0.25">
      <c r="A58" s="91" t="s">
        <v>25</v>
      </c>
      <c r="B58" s="115" t="s">
        <v>538</v>
      </c>
      <c r="C58" s="1413">
        <f>+C46+C52+C57</f>
        <v>172092473</v>
      </c>
    </row>
    <row r="59" spans="1:3" ht="14.25" customHeight="1" thickBot="1" x14ac:dyDescent="0.25">
      <c r="C59" s="988"/>
    </row>
    <row r="60" spans="1:3" ht="13.5" thickBot="1" x14ac:dyDescent="0.25">
      <c r="A60" s="118" t="s">
        <v>531</v>
      </c>
      <c r="B60" s="119"/>
      <c r="C60" s="989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./....(......)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D4" sqref="D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167971650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1000000</v>
      </c>
    </row>
    <row r="11" spans="1:3" s="196" customFormat="1" ht="12" customHeight="1" x14ac:dyDescent="0.2">
      <c r="A11" s="241" t="s">
        <v>104</v>
      </c>
      <c r="B11" s="6" t="s">
        <v>227</v>
      </c>
      <c r="C11" s="974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>
        <v>152500000</v>
      </c>
    </row>
    <row r="14" spans="1:3" s="196" customFormat="1" ht="12" customHeight="1" x14ac:dyDescent="0.2">
      <c r="A14" s="241" t="s">
        <v>106</v>
      </c>
      <c r="B14" s="6" t="s">
        <v>350</v>
      </c>
      <c r="C14" s="974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22754943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4">
        <v>22754943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74">
        <v>754943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190726593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412936669</v>
      </c>
    </row>
    <row r="39" spans="1:3" s="196" customFormat="1" ht="12" customHeight="1" x14ac:dyDescent="0.2">
      <c r="A39" s="242" t="s">
        <v>360</v>
      </c>
      <c r="B39" s="243" t="s">
        <v>184</v>
      </c>
      <c r="C39" s="980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1420">
        <f>403298819+95600+95600</f>
        <v>403490019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411">
        <f>+C37+C38</f>
        <v>603663262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1410">
        <f>SUM(C47:C51)</f>
        <v>591483461</v>
      </c>
    </row>
    <row r="47" spans="1:3" ht="12" customHeight="1" x14ac:dyDescent="0.2">
      <c r="A47" s="241" t="s">
        <v>102</v>
      </c>
      <c r="B47" s="7" t="s">
        <v>52</v>
      </c>
      <c r="C47" s="569">
        <f>344559877+80000+80000</f>
        <v>344719877</v>
      </c>
    </row>
    <row r="48" spans="1:3" ht="12" customHeight="1" x14ac:dyDescent="0.2">
      <c r="A48" s="241" t="s">
        <v>103</v>
      </c>
      <c r="B48" s="6" t="s">
        <v>151</v>
      </c>
      <c r="C48" s="570">
        <f>72138727+15600+15600</f>
        <v>72169927</v>
      </c>
    </row>
    <row r="49" spans="1:5" ht="12" customHeight="1" x14ac:dyDescent="0.2">
      <c r="A49" s="241" t="s">
        <v>104</v>
      </c>
      <c r="B49" s="6" t="s">
        <v>127</v>
      </c>
      <c r="C49" s="570">
        <v>174593657</v>
      </c>
    </row>
    <row r="50" spans="1:5" ht="12" customHeight="1" x14ac:dyDescent="0.2">
      <c r="A50" s="241" t="s">
        <v>105</v>
      </c>
      <c r="B50" s="6" t="s">
        <v>152</v>
      </c>
      <c r="C50" s="974"/>
    </row>
    <row r="51" spans="1:5" ht="12" customHeight="1" thickBot="1" x14ac:dyDescent="0.25">
      <c r="A51" s="241" t="s">
        <v>128</v>
      </c>
      <c r="B51" s="6" t="s">
        <v>153</v>
      </c>
      <c r="C51" s="974"/>
    </row>
    <row r="52" spans="1:5" s="250" customFormat="1" ht="12" customHeight="1" thickBot="1" x14ac:dyDescent="0.25">
      <c r="A52" s="91" t="s">
        <v>23</v>
      </c>
      <c r="B52" s="67" t="s">
        <v>366</v>
      </c>
      <c r="C52" s="972">
        <f>SUM(C53:C55)</f>
        <v>13117319</v>
      </c>
    </row>
    <row r="53" spans="1:5" ht="12" customHeight="1" x14ac:dyDescent="0.2">
      <c r="A53" s="241" t="s">
        <v>108</v>
      </c>
      <c r="B53" s="7" t="s">
        <v>175</v>
      </c>
      <c r="C53" s="980">
        <v>13117319</v>
      </c>
    </row>
    <row r="54" spans="1:5" ht="12" customHeight="1" x14ac:dyDescent="0.2">
      <c r="A54" s="241" t="s">
        <v>109</v>
      </c>
      <c r="B54" s="6" t="s">
        <v>155</v>
      </c>
      <c r="C54" s="974"/>
    </row>
    <row r="55" spans="1:5" ht="12" customHeight="1" x14ac:dyDescent="0.2">
      <c r="A55" s="241" t="s">
        <v>110</v>
      </c>
      <c r="B55" s="6" t="s">
        <v>62</v>
      </c>
      <c r="C55" s="974"/>
    </row>
    <row r="56" spans="1:5" ht="15" customHeight="1" thickBot="1" x14ac:dyDescent="0.25">
      <c r="A56" s="241" t="s">
        <v>111</v>
      </c>
      <c r="B56" s="6" t="s">
        <v>537</v>
      </c>
      <c r="C56" s="974"/>
    </row>
    <row r="57" spans="1:5" ht="13.5" thickBot="1" x14ac:dyDescent="0.25">
      <c r="A57" s="91" t="s">
        <v>24</v>
      </c>
      <c r="B57" s="67" t="s">
        <v>16</v>
      </c>
      <c r="C57" s="979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413">
        <f>+C46+C52+C57</f>
        <v>604600780</v>
      </c>
    </row>
    <row r="59" spans="1:5" ht="14.25" customHeight="1" thickBot="1" x14ac:dyDescent="0.25">
      <c r="C59" s="988"/>
    </row>
    <row r="60" spans="1:5" ht="13.5" thickBot="1" x14ac:dyDescent="0.25">
      <c r="A60" s="118" t="s">
        <v>531</v>
      </c>
      <c r="B60" s="119"/>
      <c r="C60" s="989">
        <v>109</v>
      </c>
    </row>
    <row r="61" spans="1:5" ht="13.5" thickBot="1" x14ac:dyDescent="0.25">
      <c r="A61" s="1083" t="s">
        <v>821</v>
      </c>
      <c r="B61" s="1082"/>
      <c r="C61" s="1084">
        <v>0.5</v>
      </c>
    </row>
    <row r="62" spans="1:5" s="445" customFormat="1" ht="13.9" customHeight="1" thickBot="1" x14ac:dyDescent="0.25">
      <c r="A62" s="1285" t="s">
        <v>615</v>
      </c>
      <c r="B62" s="1286"/>
      <c r="C62" s="1085">
        <v>4</v>
      </c>
    </row>
    <row r="63" spans="1:5" s="445" customFormat="1" ht="13.5" thickBot="1" x14ac:dyDescent="0.25">
      <c r="A63" s="1287" t="s">
        <v>613</v>
      </c>
      <c r="B63" s="1288"/>
      <c r="C63" s="587">
        <v>1.5</v>
      </c>
    </row>
    <row r="64" spans="1:5" ht="13.5" thickBot="1" x14ac:dyDescent="0.25">
      <c r="A64" s="1289" t="s">
        <v>822</v>
      </c>
      <c r="B64" s="1290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./....(......)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15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2">
        <f>SUM(C9:C19)</f>
        <v>6797468</v>
      </c>
    </row>
    <row r="9" spans="1:3" s="196" customFormat="1" ht="12" customHeight="1" x14ac:dyDescent="0.2">
      <c r="A9" s="240" t="s">
        <v>102</v>
      </c>
      <c r="B9" s="8" t="s">
        <v>225</v>
      </c>
      <c r="C9" s="973"/>
    </row>
    <row r="10" spans="1:3" s="196" customFormat="1" ht="12" customHeight="1" x14ac:dyDescent="0.2">
      <c r="A10" s="241" t="s">
        <v>103</v>
      </c>
      <c r="B10" s="6" t="s">
        <v>226</v>
      </c>
      <c r="C10" s="974">
        <v>5653632</v>
      </c>
    </row>
    <row r="11" spans="1:3" s="196" customFormat="1" ht="12" customHeight="1" x14ac:dyDescent="0.2">
      <c r="A11" s="241" t="s">
        <v>104</v>
      </c>
      <c r="B11" s="6" t="s">
        <v>227</v>
      </c>
      <c r="C11" s="974"/>
    </row>
    <row r="12" spans="1:3" s="196" customFormat="1" ht="12" customHeight="1" x14ac:dyDescent="0.2">
      <c r="A12" s="241" t="s">
        <v>105</v>
      </c>
      <c r="B12" s="6" t="s">
        <v>228</v>
      </c>
      <c r="C12" s="974"/>
    </row>
    <row r="13" spans="1:3" s="196" customFormat="1" ht="12" customHeight="1" x14ac:dyDescent="0.2">
      <c r="A13" s="241" t="s">
        <v>128</v>
      </c>
      <c r="B13" s="6" t="s">
        <v>229</v>
      </c>
      <c r="C13" s="974"/>
    </row>
    <row r="14" spans="1:3" s="196" customFormat="1" ht="12" customHeight="1" x14ac:dyDescent="0.2">
      <c r="A14" s="241" t="s">
        <v>106</v>
      </c>
      <c r="B14" s="6" t="s">
        <v>350</v>
      </c>
      <c r="C14" s="974">
        <v>1143836</v>
      </c>
    </row>
    <row r="15" spans="1:3" s="196" customFormat="1" ht="12" customHeight="1" x14ac:dyDescent="0.2">
      <c r="A15" s="241" t="s">
        <v>107</v>
      </c>
      <c r="B15" s="5" t="s">
        <v>351</v>
      </c>
      <c r="C15" s="974"/>
    </row>
    <row r="16" spans="1:3" s="196" customFormat="1" ht="12" customHeight="1" x14ac:dyDescent="0.2">
      <c r="A16" s="241" t="s">
        <v>117</v>
      </c>
      <c r="B16" s="6" t="s">
        <v>232</v>
      </c>
      <c r="C16" s="975"/>
    </row>
    <row r="17" spans="1:3" s="249" customFormat="1" ht="12" customHeight="1" x14ac:dyDescent="0.2">
      <c r="A17" s="241" t="s">
        <v>118</v>
      </c>
      <c r="B17" s="6" t="s">
        <v>233</v>
      </c>
      <c r="C17" s="974"/>
    </row>
    <row r="18" spans="1:3" s="249" customFormat="1" ht="12" customHeight="1" x14ac:dyDescent="0.2">
      <c r="A18" s="241" t="s">
        <v>119</v>
      </c>
      <c r="B18" s="6" t="s">
        <v>463</v>
      </c>
      <c r="C18" s="976"/>
    </row>
    <row r="19" spans="1:3" s="249" customFormat="1" ht="12" customHeight="1" thickBot="1" x14ac:dyDescent="0.25">
      <c r="A19" s="241" t="s">
        <v>120</v>
      </c>
      <c r="B19" s="5" t="s">
        <v>234</v>
      </c>
      <c r="C19" s="976"/>
    </row>
    <row r="20" spans="1:3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77"/>
    </row>
    <row r="22" spans="1:3" s="249" customFormat="1" ht="12" customHeight="1" x14ac:dyDescent="0.2">
      <c r="A22" s="241" t="s">
        <v>109</v>
      </c>
      <c r="B22" s="6" t="s">
        <v>353</v>
      </c>
      <c r="C22" s="974"/>
    </row>
    <row r="23" spans="1:3" s="249" customFormat="1" ht="12" customHeight="1" x14ac:dyDescent="0.2">
      <c r="A23" s="241" t="s">
        <v>110</v>
      </c>
      <c r="B23" s="6" t="s">
        <v>354</v>
      </c>
      <c r="C23" s="978"/>
    </row>
    <row r="24" spans="1:3" s="249" customFormat="1" ht="12" customHeight="1" thickBot="1" x14ac:dyDescent="0.25">
      <c r="A24" s="241" t="s">
        <v>111</v>
      </c>
      <c r="B24" s="6" t="s">
        <v>534</v>
      </c>
      <c r="C24" s="974"/>
    </row>
    <row r="25" spans="1:3" s="249" customFormat="1" ht="12" customHeight="1" thickBot="1" x14ac:dyDescent="0.25">
      <c r="A25" s="91" t="s">
        <v>24</v>
      </c>
      <c r="B25" s="67" t="s">
        <v>142</v>
      </c>
      <c r="C25" s="979"/>
    </row>
    <row r="26" spans="1:3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0"/>
    </row>
    <row r="28" spans="1:3" s="249" customFormat="1" ht="12" customHeight="1" x14ac:dyDescent="0.2">
      <c r="A28" s="242" t="s">
        <v>216</v>
      </c>
      <c r="B28" s="243" t="s">
        <v>353</v>
      </c>
      <c r="C28" s="977"/>
    </row>
    <row r="29" spans="1:3" s="249" customFormat="1" ht="12" customHeight="1" x14ac:dyDescent="0.2">
      <c r="A29" s="242" t="s">
        <v>217</v>
      </c>
      <c r="B29" s="244" t="s">
        <v>355</v>
      </c>
      <c r="C29" s="977"/>
    </row>
    <row r="30" spans="1:3" s="249" customFormat="1" ht="12" customHeight="1" thickBot="1" x14ac:dyDescent="0.25">
      <c r="A30" s="241" t="s">
        <v>218</v>
      </c>
      <c r="B30" s="70" t="s">
        <v>536</v>
      </c>
      <c r="C30" s="981"/>
    </row>
    <row r="31" spans="1:3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0"/>
    </row>
    <row r="33" spans="1:3" s="249" customFormat="1" ht="12" customHeight="1" x14ac:dyDescent="0.2">
      <c r="A33" s="242" t="s">
        <v>96</v>
      </c>
      <c r="B33" s="244" t="s">
        <v>240</v>
      </c>
      <c r="C33" s="975"/>
    </row>
    <row r="34" spans="1:3" s="196" customFormat="1" ht="12" customHeight="1" thickBot="1" x14ac:dyDescent="0.25">
      <c r="A34" s="241" t="s">
        <v>97</v>
      </c>
      <c r="B34" s="70" t="s">
        <v>241</v>
      </c>
      <c r="C34" s="981"/>
    </row>
    <row r="35" spans="1:3" s="196" customFormat="1" ht="12" customHeight="1" thickBot="1" x14ac:dyDescent="0.25">
      <c r="A35" s="91" t="s">
        <v>27</v>
      </c>
      <c r="B35" s="67" t="s">
        <v>327</v>
      </c>
      <c r="C35" s="979"/>
    </row>
    <row r="36" spans="1:3" s="196" customFormat="1" ht="12" customHeight="1" thickBot="1" x14ac:dyDescent="0.25">
      <c r="A36" s="91" t="s">
        <v>28</v>
      </c>
      <c r="B36" s="67" t="s">
        <v>357</v>
      </c>
      <c r="C36" s="982"/>
    </row>
    <row r="37" spans="1:3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6797468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3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980"/>
    </row>
    <row r="40" spans="1:3" s="249" customFormat="1" ht="12" customHeight="1" x14ac:dyDescent="0.2">
      <c r="A40" s="242" t="s">
        <v>361</v>
      </c>
      <c r="B40" s="244" t="s">
        <v>10</v>
      </c>
      <c r="C40" s="975"/>
    </row>
    <row r="41" spans="1:3" s="249" customFormat="1" ht="15" customHeight="1" thickBot="1" x14ac:dyDescent="0.25">
      <c r="A41" s="241" t="s">
        <v>362</v>
      </c>
      <c r="B41" s="70" t="s">
        <v>363</v>
      </c>
      <c r="C41" s="981"/>
    </row>
    <row r="42" spans="1:3" s="249" customFormat="1" ht="15" customHeight="1" thickBot="1" x14ac:dyDescent="0.25">
      <c r="A42" s="107" t="s">
        <v>31</v>
      </c>
      <c r="B42" s="108" t="s">
        <v>364</v>
      </c>
      <c r="C42" s="984">
        <f>+C37+C38</f>
        <v>6797468</v>
      </c>
    </row>
    <row r="43" spans="1:3" x14ac:dyDescent="0.2">
      <c r="A43" s="109"/>
      <c r="B43" s="110"/>
      <c r="C43" s="985"/>
    </row>
    <row r="44" spans="1:3" s="248" customFormat="1" ht="16.5" customHeight="1" thickBot="1" x14ac:dyDescent="0.25">
      <c r="A44" s="111"/>
      <c r="B44" s="112"/>
      <c r="C44" s="986"/>
    </row>
    <row r="45" spans="1:3" s="250" customFormat="1" ht="12" customHeight="1" thickBot="1" x14ac:dyDescent="0.25">
      <c r="A45" s="113"/>
      <c r="B45" s="114" t="s">
        <v>61</v>
      </c>
      <c r="C45" s="984"/>
    </row>
    <row r="46" spans="1:3" ht="12" customHeight="1" thickBot="1" x14ac:dyDescent="0.25">
      <c r="A46" s="91" t="s">
        <v>22</v>
      </c>
      <c r="B46" s="67" t="s">
        <v>365</v>
      </c>
      <c r="C46" s="972">
        <f>SUM(C47:C51)</f>
        <v>5791417</v>
      </c>
    </row>
    <row r="47" spans="1:3" ht="12" customHeight="1" x14ac:dyDescent="0.2">
      <c r="A47" s="241" t="s">
        <v>102</v>
      </c>
      <c r="B47" s="7" t="s">
        <v>52</v>
      </c>
      <c r="C47" s="980">
        <v>1631250</v>
      </c>
    </row>
    <row r="48" spans="1:3" ht="12" customHeight="1" x14ac:dyDescent="0.2">
      <c r="A48" s="241" t="s">
        <v>103</v>
      </c>
      <c r="B48" s="6" t="s">
        <v>151</v>
      </c>
      <c r="C48" s="974">
        <v>321772</v>
      </c>
    </row>
    <row r="49" spans="1:4" ht="12" customHeight="1" x14ac:dyDescent="0.2">
      <c r="A49" s="241" t="s">
        <v>104</v>
      </c>
      <c r="B49" s="6" t="s">
        <v>127</v>
      </c>
      <c r="C49" s="974">
        <v>3838395</v>
      </c>
    </row>
    <row r="50" spans="1:4" ht="12" customHeight="1" x14ac:dyDescent="0.2">
      <c r="A50" s="241" t="s">
        <v>105</v>
      </c>
      <c r="B50" s="6" t="s">
        <v>152</v>
      </c>
      <c r="C50" s="974"/>
    </row>
    <row r="51" spans="1:4" ht="12" customHeight="1" thickBot="1" x14ac:dyDescent="0.25">
      <c r="A51" s="241" t="s">
        <v>128</v>
      </c>
      <c r="B51" s="6" t="s">
        <v>153</v>
      </c>
      <c r="C51" s="974"/>
    </row>
    <row r="52" spans="1:4" s="250" customFormat="1" ht="12" customHeight="1" thickBot="1" x14ac:dyDescent="0.25">
      <c r="A52" s="91" t="s">
        <v>23</v>
      </c>
      <c r="B52" s="67" t="s">
        <v>366</v>
      </c>
      <c r="C52" s="972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980">
        <v>68533</v>
      </c>
    </row>
    <row r="54" spans="1:4" ht="12" customHeight="1" x14ac:dyDescent="0.2">
      <c r="A54" s="241" t="s">
        <v>109</v>
      </c>
      <c r="B54" s="6" t="s">
        <v>155</v>
      </c>
      <c r="C54" s="974"/>
    </row>
    <row r="55" spans="1:4" ht="12" customHeight="1" x14ac:dyDescent="0.2">
      <c r="A55" s="241" t="s">
        <v>110</v>
      </c>
      <c r="B55" s="6" t="s">
        <v>62</v>
      </c>
      <c r="C55" s="974"/>
    </row>
    <row r="56" spans="1:4" ht="15" customHeight="1" thickBot="1" x14ac:dyDescent="0.25">
      <c r="A56" s="241" t="s">
        <v>111</v>
      </c>
      <c r="B56" s="6" t="s">
        <v>537</v>
      </c>
      <c r="C56" s="974"/>
    </row>
    <row r="57" spans="1:4" ht="13.5" thickBot="1" x14ac:dyDescent="0.25">
      <c r="A57" s="91" t="s">
        <v>24</v>
      </c>
      <c r="B57" s="67" t="s">
        <v>16</v>
      </c>
      <c r="C57" s="979"/>
      <c r="D57" s="38"/>
    </row>
    <row r="58" spans="1:4" ht="15" customHeight="1" thickBot="1" x14ac:dyDescent="0.25">
      <c r="A58" s="91" t="s">
        <v>25</v>
      </c>
      <c r="B58" s="115" t="s">
        <v>538</v>
      </c>
      <c r="C58" s="987">
        <f>+C46+C52+C57</f>
        <v>5859950</v>
      </c>
    </row>
    <row r="59" spans="1:4" ht="14.25" customHeight="1" thickBot="1" x14ac:dyDescent="0.25">
      <c r="C59" s="988"/>
    </row>
    <row r="60" spans="1:4" ht="13.5" thickBot="1" x14ac:dyDescent="0.25">
      <c r="A60" s="118" t="s">
        <v>531</v>
      </c>
      <c r="B60" s="119"/>
      <c r="C60" s="989"/>
    </row>
    <row r="61" spans="1:4" ht="13.5" thickBot="1" x14ac:dyDescent="0.25">
      <c r="A61" s="1291"/>
      <c r="B61" s="1292"/>
      <c r="C61" s="682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9.6.3. számú melléklet a 4/2019.(II.19.)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view="pageLayout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6" hidden="1" customWidth="1"/>
    <col min="6" max="6" width="12.5" style="766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6"/>
      <c r="F1" s="766"/>
    </row>
    <row r="2" spans="1:6" s="246" customFormat="1" ht="36" customHeight="1" x14ac:dyDescent="0.2">
      <c r="A2" s="203" t="s">
        <v>169</v>
      </c>
      <c r="B2" s="180" t="s">
        <v>548</v>
      </c>
      <c r="C2" s="439" t="s">
        <v>65</v>
      </c>
      <c r="E2" s="767"/>
      <c r="F2" s="767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7"/>
      <c r="F3" s="767"/>
    </row>
    <row r="4" spans="1:6" s="247" customFormat="1" ht="15.95" customHeight="1" thickBot="1" x14ac:dyDescent="0.3">
      <c r="A4" s="99"/>
      <c r="B4" s="99"/>
      <c r="C4" s="441" t="s">
        <v>570</v>
      </c>
      <c r="E4" s="767"/>
      <c r="F4" s="767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8"/>
      <c r="F6" s="768"/>
    </row>
    <row r="7" spans="1:6" s="248" customFormat="1" ht="15.95" customHeight="1" thickBot="1" x14ac:dyDescent="0.25">
      <c r="A7" s="103"/>
      <c r="B7" s="104" t="s">
        <v>60</v>
      </c>
      <c r="C7" s="444"/>
      <c r="E7" s="768"/>
      <c r="F7" s="768"/>
    </row>
    <row r="8" spans="1:6" s="196" customFormat="1" ht="12" customHeight="1" thickBot="1" x14ac:dyDescent="0.25">
      <c r="A8" s="88" t="s">
        <v>22</v>
      </c>
      <c r="B8" s="106" t="s">
        <v>533</v>
      </c>
      <c r="C8" s="972">
        <f>SUM(C9:C19)</f>
        <v>900424</v>
      </c>
      <c r="E8" s="769">
        <f>'9.7.1. sz. mell TIB  '!C8+'9.7.2. sz. mell TIB'!C8</f>
        <v>900424</v>
      </c>
      <c r="F8" s="769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3"/>
      <c r="E9" s="769">
        <f>'9.7.1. sz. mell TIB  '!C9+'9.7.2. sz. mell TIB'!C9</f>
        <v>0</v>
      </c>
      <c r="F9" s="769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4"/>
      <c r="E10" s="769">
        <f>'9.7.1. sz. mell TIB  '!C10+'9.7.2. sz. mell TIB'!C10</f>
        <v>0</v>
      </c>
      <c r="F10" s="769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4"/>
      <c r="E11" s="769">
        <f>'9.7.1. sz. mell TIB  '!C11+'9.7.2. sz. mell TIB'!C11</f>
        <v>0</v>
      </c>
      <c r="F11" s="769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4"/>
      <c r="E12" s="769">
        <f>'9.7.1. sz. mell TIB  '!C12+'9.7.2. sz. mell TIB'!C12</f>
        <v>0</v>
      </c>
      <c r="F12" s="769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570">
        <f>708995+191429</f>
        <v>900424</v>
      </c>
      <c r="E13" s="769">
        <f>'9.7.1. sz. mell TIB  '!C13+'9.7.2. sz. mell TIB'!C13</f>
        <v>900424</v>
      </c>
      <c r="F13" s="769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70">
        <f>191429-191429</f>
        <v>0</v>
      </c>
      <c r="E14" s="769">
        <f>'9.7.1. sz. mell TIB  '!C14+'9.7.2. sz. mell TIB'!C14</f>
        <v>0</v>
      </c>
      <c r="F14" s="769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4"/>
      <c r="E15" s="769">
        <f>'9.7.1. sz. mell TIB  '!C15+'9.7.2. sz. mell TIB'!C15</f>
        <v>0</v>
      </c>
      <c r="F15" s="769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5"/>
      <c r="E16" s="769">
        <f>'9.7.1. sz. mell TIB  '!C16+'9.7.2. sz. mell TIB'!C16</f>
        <v>0</v>
      </c>
      <c r="F16" s="769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4"/>
      <c r="E17" s="769">
        <f>'9.7.1. sz. mell TIB  '!C17+'9.7.2. sz. mell TIB'!C17</f>
        <v>0</v>
      </c>
      <c r="F17" s="769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76"/>
      <c r="E18" s="769">
        <f>'9.7.1. sz. mell TIB  '!C18+'9.7.2. sz. mell TIB'!C18</f>
        <v>0</v>
      </c>
      <c r="F18" s="769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76"/>
      <c r="E19" s="769">
        <f>'9.7.1. sz. mell TIB  '!C19+'9.7.2. sz. mell TIB'!C19</f>
        <v>0</v>
      </c>
      <c r="F19" s="769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2">
        <f>SUM(C21:C23)</f>
        <v>0</v>
      </c>
      <c r="E20" s="769">
        <f>'9.7.1. sz. mell TIB  '!C20+'9.7.2. sz. mell TIB'!C20</f>
        <v>0</v>
      </c>
      <c r="F20" s="769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7"/>
      <c r="E21" s="769">
        <f>'9.7.1. sz. mell TIB  '!C21+'9.7.2. sz. mell TIB'!C21</f>
        <v>0</v>
      </c>
      <c r="F21" s="769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4"/>
      <c r="E22" s="769">
        <f>'9.7.1. sz. mell TIB  '!C22+'9.7.2. sz. mell TIB'!C22</f>
        <v>0</v>
      </c>
      <c r="F22" s="769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/>
      <c r="E23" s="769">
        <f>'9.7.1. sz. mell TIB  '!C23+'9.7.2. sz. mell TIB'!C23</f>
        <v>0</v>
      </c>
      <c r="F23" s="769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4"/>
      <c r="E24" s="769">
        <f>'9.7.1. sz. mell TIB  '!C24+'9.7.2. sz. mell TIB'!C24</f>
        <v>0</v>
      </c>
      <c r="F24" s="769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9"/>
      <c r="E25" s="769">
        <f>'9.7.1. sz. mell TIB  '!C25+'9.7.2. sz. mell TIB'!C25</f>
        <v>0</v>
      </c>
      <c r="F25" s="769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2">
        <f>+C27+C28+C29</f>
        <v>0</v>
      </c>
      <c r="E26" s="769">
        <f>'9.7.1. sz. mell TIB  '!C26+'9.7.2. sz. mell TIB'!C26</f>
        <v>0</v>
      </c>
      <c r="F26" s="769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0"/>
      <c r="E27" s="769">
        <f>'9.7.1. sz. mell TIB  '!C27+'9.7.2. sz. mell TIB'!C27</f>
        <v>0</v>
      </c>
      <c r="F27" s="769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77"/>
      <c r="E28" s="769">
        <f>'9.7.1. sz. mell TIB  '!C28+'9.7.2. sz. mell TIB'!C28</f>
        <v>0</v>
      </c>
      <c r="F28" s="769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77"/>
      <c r="E29" s="769">
        <f>'9.7.1. sz. mell TIB  '!C29+'9.7.2. sz. mell TIB'!C29</f>
        <v>0</v>
      </c>
      <c r="F29" s="769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1"/>
      <c r="E30" s="769">
        <f>'9.7.1. sz. mell TIB  '!C30+'9.7.2. sz. mell TIB'!C30</f>
        <v>0</v>
      </c>
      <c r="F30" s="769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2">
        <f>+C32+C33+C34</f>
        <v>0</v>
      </c>
      <c r="E31" s="769">
        <f>'9.7.1. sz. mell TIB  '!C31+'9.7.2. sz. mell TIB'!C31</f>
        <v>0</v>
      </c>
      <c r="F31" s="769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0"/>
      <c r="E32" s="769">
        <f>'9.7.1. sz. mell TIB  '!C32+'9.7.2. sz. mell TIB'!C32</f>
        <v>0</v>
      </c>
      <c r="F32" s="769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5"/>
      <c r="E33" s="769">
        <f>'9.7.1. sz. mell TIB  '!C33+'9.7.2. sz. mell TIB'!C33</f>
        <v>0</v>
      </c>
      <c r="F33" s="769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1"/>
      <c r="E34" s="769">
        <f>'9.7.1. sz. mell TIB  '!C34+'9.7.2. sz. mell TIB'!C34</f>
        <v>0</v>
      </c>
      <c r="F34" s="769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9"/>
      <c r="E35" s="769">
        <f>'9.7.1. sz. mell TIB  '!C35+'9.7.2. sz. mell TIB'!C35</f>
        <v>0</v>
      </c>
      <c r="F35" s="769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2"/>
      <c r="E36" s="769">
        <f>'9.7.1. sz. mell TIB  '!C36+'9.7.2. sz. mell TIB'!C36</f>
        <v>0</v>
      </c>
      <c r="F36" s="769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3">
        <f>+C8+C20+C25+C26+C31+C35+C36</f>
        <v>900424</v>
      </c>
      <c r="E37" s="769">
        <f>'9.7.1. sz. mell TIB  '!C37+'9.7.2. sz. mell TIB'!C37</f>
        <v>900424</v>
      </c>
      <c r="F37" s="769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3">
        <f>+C39+C40+C41</f>
        <v>92364352</v>
      </c>
      <c r="E38" s="769">
        <f>'9.7.1. sz. mell TIB  '!C38+'9.7.2. sz. mell TIB'!C38</f>
        <v>92364352</v>
      </c>
      <c r="F38" s="769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0">
        <v>372804</v>
      </c>
      <c r="E39" s="769">
        <f>'9.7.1. sz. mell TIB  '!C39+'9.7.2. sz. mell TIB'!C39</f>
        <v>372804</v>
      </c>
      <c r="F39" s="769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5"/>
      <c r="E40" s="769">
        <f>'9.7.1. sz. mell TIB  '!C40+'9.7.2. sz. mell TIB'!C40</f>
        <v>0</v>
      </c>
      <c r="F40" s="769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1">
        <v>91991548</v>
      </c>
      <c r="E41" s="769">
        <f>'9.7.1. sz. mell TIB  '!C41+'9.7.2. sz. mell TIB'!C41</f>
        <v>91991548</v>
      </c>
      <c r="F41" s="769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4">
        <f>+C37+C38</f>
        <v>93264776</v>
      </c>
      <c r="E42" s="769">
        <f>'9.7.1. sz. mell TIB  '!C42+'9.7.2. sz. mell TIB'!C42</f>
        <v>93264776</v>
      </c>
      <c r="F42" s="769">
        <f t="shared" si="0"/>
        <v>0</v>
      </c>
    </row>
    <row r="43" spans="1:6" x14ac:dyDescent="0.2">
      <c r="A43" s="109"/>
      <c r="B43" s="110"/>
      <c r="C43" s="985"/>
      <c r="E43" s="769">
        <f>'9.7.1. sz. mell TIB  '!C43+'9.7.2. sz. mell TIB'!C43</f>
        <v>0</v>
      </c>
      <c r="F43" s="769">
        <f t="shared" si="0"/>
        <v>0</v>
      </c>
    </row>
    <row r="44" spans="1:6" s="248" customFormat="1" ht="16.5" customHeight="1" thickBot="1" x14ac:dyDescent="0.25">
      <c r="A44" s="111"/>
      <c r="B44" s="112"/>
      <c r="C44" s="986"/>
      <c r="E44" s="769">
        <f>'9.7.1. sz. mell TIB  '!C44+'9.7.2. sz. mell TIB'!C44</f>
        <v>0</v>
      </c>
      <c r="F44" s="769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4"/>
      <c r="E45" s="769">
        <f>'9.7.1. sz. mell TIB  '!C45+'9.7.2. sz. mell TIB'!C45</f>
        <v>0</v>
      </c>
      <c r="F45" s="769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2">
        <f>SUM(C47:C51)</f>
        <v>92623426</v>
      </c>
      <c r="E46" s="769">
        <f>'9.7.1. sz. mell TIB  '!C46+'9.7.2. sz. mell TIB'!C46</f>
        <v>92623426</v>
      </c>
      <c r="F46" s="769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0">
        <v>64039486</v>
      </c>
      <c r="E47" s="769">
        <f>'9.7.1. sz. mell TIB  '!C47+'9.7.2. sz. mell TIB'!C47</f>
        <v>64039486</v>
      </c>
      <c r="F47" s="769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4">
        <v>12834203</v>
      </c>
      <c r="E48" s="769">
        <f>'9.7.1. sz. mell TIB  '!C48+'9.7.2. sz. mell TIB'!C48</f>
        <v>12834203</v>
      </c>
      <c r="F48" s="769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4">
        <v>15749737</v>
      </c>
      <c r="E49" s="769">
        <f>'9.7.1. sz. mell TIB  '!C49+'9.7.2. sz. mell TIB'!C49</f>
        <v>15749737</v>
      </c>
      <c r="F49" s="769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4"/>
      <c r="E50" s="769">
        <f>'9.7.1. sz. mell TIB  '!C50+'9.7.2. sz. mell TIB'!C50</f>
        <v>0</v>
      </c>
      <c r="F50" s="769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4"/>
      <c r="E51" s="769">
        <f>'9.7.1. sz. mell TIB  '!C51+'9.7.2. sz. mell TIB'!C51</f>
        <v>0</v>
      </c>
      <c r="F51" s="769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2">
        <f>SUM(C53:C55)</f>
        <v>641350</v>
      </c>
      <c r="E52" s="769">
        <f>'9.7.1. sz. mell TIB  '!C52+'9.7.2. sz. mell TIB'!C52</f>
        <v>641350</v>
      </c>
      <c r="F52" s="769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0">
        <v>641350</v>
      </c>
      <c r="E53" s="769">
        <f>'9.7.1. sz. mell TIB  '!C53+'9.7.2. sz. mell TIB'!C53</f>
        <v>641350</v>
      </c>
      <c r="F53" s="769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4"/>
      <c r="E54" s="769">
        <f>'9.7.1. sz. mell TIB  '!C54+'9.7.2. sz. mell TIB'!C54</f>
        <v>0</v>
      </c>
      <c r="F54" s="769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4"/>
      <c r="E55" s="769">
        <f>'9.7.1. sz. mell TIB  '!C55+'9.7.2. sz. mell TIB'!C55</f>
        <v>0</v>
      </c>
      <c r="F55" s="769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4"/>
      <c r="E56" s="769">
        <f>'9.7.1. sz. mell TIB  '!C56+'9.7.2. sz. mell TIB'!C56</f>
        <v>0</v>
      </c>
      <c r="F56" s="769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9"/>
      <c r="E57" s="769">
        <f>'9.7.1. sz. mell TIB  '!C57+'9.7.2. sz. mell TIB'!C57</f>
        <v>0</v>
      </c>
      <c r="F57" s="769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87">
        <f>+C46+C52+C57</f>
        <v>93264776</v>
      </c>
      <c r="E58" s="769">
        <f>'9.7.1. sz. mell TIB  '!C58+'9.7.2. sz. mell TIB'!C58</f>
        <v>93264776</v>
      </c>
      <c r="F58" s="769">
        <f t="shared" si="0"/>
        <v>0</v>
      </c>
    </row>
    <row r="59" spans="1:6" ht="14.25" customHeight="1" thickBot="1" x14ac:dyDescent="0.25">
      <c r="C59" s="988"/>
      <c r="E59" s="769">
        <f>'9.7.1. sz. mell TIB  '!C59+'9.7.2. sz. mell TIB'!C59</f>
        <v>0</v>
      </c>
      <c r="F59" s="769">
        <f t="shared" si="0"/>
        <v>0</v>
      </c>
    </row>
    <row r="60" spans="1:6" ht="13.5" thickBot="1" x14ac:dyDescent="0.25">
      <c r="A60" s="118" t="s">
        <v>531</v>
      </c>
      <c r="B60" s="119"/>
      <c r="C60" s="989">
        <v>21</v>
      </c>
      <c r="E60" s="769" t="e">
        <f>'9.7.1. sz. mell TIB  '!C60+'9.7.2. sz. mell TIB'!#REF!</f>
        <v>#REF!</v>
      </c>
      <c r="F60" s="769" t="e">
        <f t="shared" si="0"/>
        <v>#REF!</v>
      </c>
    </row>
    <row r="61" spans="1:6" x14ac:dyDescent="0.2">
      <c r="E61" s="769"/>
      <c r="F61" s="769"/>
    </row>
    <row r="62" spans="1:6" x14ac:dyDescent="0.2">
      <c r="E62" s="769"/>
      <c r="F62" s="76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./....(......)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900424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570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44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900424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93264776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92623426</v>
      </c>
    </row>
    <row r="47" spans="1:3" ht="12" customHeight="1" x14ac:dyDescent="0.2">
      <c r="A47" s="241" t="s">
        <v>102</v>
      </c>
      <c r="B47" s="7" t="s">
        <v>52</v>
      </c>
      <c r="C47" s="980">
        <v>64039486</v>
      </c>
    </row>
    <row r="48" spans="1:3" ht="12" customHeight="1" x14ac:dyDescent="0.2">
      <c r="A48" s="241" t="s">
        <v>103</v>
      </c>
      <c r="B48" s="6" t="s">
        <v>151</v>
      </c>
      <c r="C48" s="974">
        <v>12834203</v>
      </c>
    </row>
    <row r="49" spans="1:3" ht="12" customHeight="1" x14ac:dyDescent="0.2">
      <c r="A49" s="241" t="s">
        <v>104</v>
      </c>
      <c r="B49" s="6" t="s">
        <v>127</v>
      </c>
      <c r="C49" s="974">
        <v>15749737</v>
      </c>
    </row>
    <row r="50" spans="1:3" ht="12" customHeight="1" x14ac:dyDescent="0.2">
      <c r="A50" s="241" t="s">
        <v>105</v>
      </c>
      <c r="B50" s="6" t="s">
        <v>152</v>
      </c>
      <c r="C50" s="974"/>
    </row>
    <row r="51" spans="1:3" ht="12" customHeight="1" thickBot="1" x14ac:dyDescent="0.25">
      <c r="A51" s="241" t="s">
        <v>128</v>
      </c>
      <c r="B51" s="6" t="s">
        <v>153</v>
      </c>
      <c r="C51" s="97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641350</v>
      </c>
    </row>
    <row r="53" spans="1:3" ht="12" customHeight="1" x14ac:dyDescent="0.2">
      <c r="A53" s="241" t="s">
        <v>108</v>
      </c>
      <c r="B53" s="7" t="s">
        <v>175</v>
      </c>
      <c r="C53" s="980">
        <v>641350</v>
      </c>
    </row>
    <row r="54" spans="1:3" ht="12" customHeight="1" x14ac:dyDescent="0.2">
      <c r="A54" s="241" t="s">
        <v>109</v>
      </c>
      <c r="B54" s="6" t="s">
        <v>155</v>
      </c>
      <c r="C54" s="97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93264776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</v>
      </c>
    </row>
    <row r="61" spans="1:3" x14ac:dyDescent="0.2">
      <c r="C61" s="500"/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./....(......)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6" sqref="D6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1" t="s">
        <v>19</v>
      </c>
      <c r="B1" s="1251"/>
      <c r="C1" s="1251"/>
    </row>
    <row r="2" spans="1:3" ht="15.95" customHeight="1" thickBot="1" x14ac:dyDescent="0.3">
      <c r="A2" s="1250" t="s">
        <v>131</v>
      </c>
      <c r="B2" s="125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1" t="s">
        <v>50</v>
      </c>
      <c r="B89" s="1251"/>
      <c r="C89" s="1251"/>
    </row>
    <row r="90" spans="1:3" s="222" customFormat="1" ht="16.5" customHeight="1" thickBot="1" x14ac:dyDescent="0.3">
      <c r="A90" s="1252" t="s">
        <v>132</v>
      </c>
      <c r="B90" s="125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212825518</v>
      </c>
    </row>
    <row r="94" spans="1:3" ht="12" customHeight="1" x14ac:dyDescent="0.25">
      <c r="A94" s="15" t="s">
        <v>102</v>
      </c>
      <c r="B94" s="8" t="s">
        <v>52</v>
      </c>
      <c r="C94" s="1375">
        <f>147375885-3199848+20000</f>
        <v>144196037</v>
      </c>
    </row>
    <row r="95" spans="1:3" ht="12" customHeight="1" x14ac:dyDescent="0.25">
      <c r="A95" s="12" t="s">
        <v>103</v>
      </c>
      <c r="B95" s="6" t="s">
        <v>151</v>
      </c>
      <c r="C95" s="1376">
        <f>30406649-561576+3900</f>
        <v>29848973</v>
      </c>
    </row>
    <row r="96" spans="1:3" ht="12" customHeight="1" x14ac:dyDescent="0.25">
      <c r="A96" s="12" t="s">
        <v>104</v>
      </c>
      <c r="B96" s="6" t="s">
        <v>127</v>
      </c>
      <c r="C96" s="202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216181435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216181435</v>
      </c>
    </row>
    <row r="155" spans="1:6" ht="7.5" customHeight="1" x14ac:dyDescent="0.25"/>
    <row r="156" spans="1:6" x14ac:dyDescent="0.25">
      <c r="A156" s="1253" t="s">
        <v>324</v>
      </c>
      <c r="B156" s="1253"/>
      <c r="C156" s="1253"/>
    </row>
    <row r="157" spans="1:6" ht="15" customHeight="1" thickBot="1" x14ac:dyDescent="0.3">
      <c r="A157" s="1250" t="s">
        <v>133</v>
      </c>
      <c r="B157" s="125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-209780435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./....(......)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topLeftCell="A43" zoomScaleNormal="100" workbookViewId="0">
      <selection activeCell="C37" sqref="C3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7"/>
  <sheetViews>
    <sheetView view="pageLayout" zoomScaleNormal="100" zoomScaleSheetLayoutView="115" workbookViewId="0">
      <selection activeCell="K3" sqref="K3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4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4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31"/>
      <c r="E1" s="364"/>
      <c r="F1" s="364"/>
      <c r="I1" s="832"/>
      <c r="J1" s="832"/>
      <c r="K1" s="833"/>
    </row>
    <row r="2" spans="1:12" x14ac:dyDescent="0.2">
      <c r="A2" s="364"/>
      <c r="B2" s="364"/>
      <c r="C2" s="364"/>
      <c r="D2" s="831"/>
      <c r="E2" s="364"/>
      <c r="F2" s="364"/>
      <c r="G2" s="834"/>
      <c r="H2" s="834"/>
      <c r="I2" s="834"/>
      <c r="J2" s="834"/>
      <c r="K2" s="835"/>
    </row>
    <row r="3" spans="1:12" x14ac:dyDescent="0.2">
      <c r="A3" s="364"/>
      <c r="B3" s="364"/>
      <c r="C3" s="364"/>
      <c r="D3" s="831"/>
      <c r="E3" s="364"/>
      <c r="F3" s="364"/>
      <c r="G3" s="834"/>
      <c r="H3" s="834"/>
      <c r="I3" s="834"/>
      <c r="J3" s="834"/>
      <c r="K3" s="836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31"/>
      <c r="E6" s="364"/>
      <c r="F6" s="364"/>
      <c r="G6" s="364"/>
      <c r="H6" s="364"/>
      <c r="I6" s="364"/>
      <c r="J6" s="364"/>
      <c r="K6" s="837" t="s">
        <v>5</v>
      </c>
    </row>
    <row r="7" spans="1:12" ht="15.95" customHeight="1" x14ac:dyDescent="0.2">
      <c r="A7" s="1293" t="s">
        <v>2</v>
      </c>
      <c r="B7" s="1296" t="s">
        <v>388</v>
      </c>
      <c r="C7" s="1297"/>
      <c r="D7" s="1297"/>
      <c r="E7" s="1298" t="s">
        <v>590</v>
      </c>
      <c r="F7" s="1299"/>
      <c r="G7" s="1299"/>
      <c r="H7" s="1299"/>
      <c r="I7" s="1299"/>
      <c r="J7" s="1299"/>
      <c r="K7" s="1300"/>
    </row>
    <row r="8" spans="1:12" ht="15.95" customHeight="1" x14ac:dyDescent="0.2">
      <c r="A8" s="1294"/>
      <c r="B8" s="838" t="s">
        <v>389</v>
      </c>
      <c r="C8" s="838" t="s">
        <v>390</v>
      </c>
      <c r="D8" s="838" t="s">
        <v>391</v>
      </c>
      <c r="E8" s="838" t="s">
        <v>392</v>
      </c>
      <c r="F8" s="838" t="s">
        <v>393</v>
      </c>
      <c r="G8" s="838" t="s">
        <v>394</v>
      </c>
      <c r="H8" s="1301" t="s">
        <v>614</v>
      </c>
      <c r="I8" s="838" t="s">
        <v>395</v>
      </c>
      <c r="J8" s="838" t="s">
        <v>396</v>
      </c>
      <c r="K8" s="839" t="s">
        <v>391</v>
      </c>
    </row>
    <row r="9" spans="1:12" ht="15.95" customHeight="1" x14ac:dyDescent="0.2">
      <c r="A9" s="1295"/>
      <c r="B9" s="838" t="s">
        <v>397</v>
      </c>
      <c r="C9" s="838" t="s">
        <v>398</v>
      </c>
      <c r="D9" s="838" t="s">
        <v>399</v>
      </c>
      <c r="E9" s="838" t="s">
        <v>400</v>
      </c>
      <c r="F9" s="838" t="s">
        <v>401</v>
      </c>
      <c r="G9" s="838" t="s">
        <v>402</v>
      </c>
      <c r="H9" s="1302"/>
      <c r="I9" s="838" t="s">
        <v>403</v>
      </c>
      <c r="J9" s="838" t="s">
        <v>402</v>
      </c>
      <c r="K9" s="839" t="s">
        <v>404</v>
      </c>
    </row>
    <row r="10" spans="1:12" ht="15.95" customHeight="1" x14ac:dyDescent="0.2">
      <c r="A10" s="366" t="s">
        <v>405</v>
      </c>
      <c r="B10" s="966">
        <v>65308111</v>
      </c>
      <c r="C10" s="1428">
        <f t="shared" ref="C10:C14" si="0">K10-B10</f>
        <v>239803605</v>
      </c>
      <c r="D10" s="1428">
        <f t="shared" ref="D10:D14" si="1">SUM(B10:C10)</f>
        <v>305111716</v>
      </c>
      <c r="E10" s="1428">
        <f>60512486+720000</f>
        <v>61232486</v>
      </c>
      <c r="F10" s="1428">
        <f>13261042+126360</f>
        <v>13387402</v>
      </c>
      <c r="G10" s="966">
        <v>229985778</v>
      </c>
      <c r="H10" s="966"/>
      <c r="I10" s="966"/>
      <c r="J10" s="966">
        <v>506050</v>
      </c>
      <c r="K10" s="1429">
        <f t="shared" ref="K10:K14" si="2">SUM(E10:J10)</f>
        <v>305111716</v>
      </c>
    </row>
    <row r="11" spans="1:12" ht="15.95" customHeight="1" x14ac:dyDescent="0.2">
      <c r="A11" s="366" t="s">
        <v>0</v>
      </c>
      <c r="B11" s="1428">
        <f>8436314+44530+699075</f>
        <v>9179919</v>
      </c>
      <c r="C11" s="966">
        <f>K11-B11</f>
        <v>328107890</v>
      </c>
      <c r="D11" s="1428">
        <f t="shared" si="1"/>
        <v>337287809</v>
      </c>
      <c r="E11" s="1428">
        <f>208655734+585000</f>
        <v>209240734</v>
      </c>
      <c r="F11" s="1428">
        <f>44850807+114075</f>
        <v>44964882</v>
      </c>
      <c r="G11" s="1428">
        <f>80145873+44530</f>
        <v>80190403</v>
      </c>
      <c r="H11" s="966"/>
      <c r="I11" s="966"/>
      <c r="J11" s="966">
        <v>2891790</v>
      </c>
      <c r="K11" s="1429">
        <f t="shared" si="2"/>
        <v>337287809</v>
      </c>
    </row>
    <row r="12" spans="1:12" ht="15.95" customHeight="1" x14ac:dyDescent="0.2">
      <c r="A12" s="366" t="s">
        <v>579</v>
      </c>
      <c r="B12" s="966">
        <v>10844658</v>
      </c>
      <c r="C12" s="966">
        <f t="shared" si="0"/>
        <v>99521250</v>
      </c>
      <c r="D12" s="967">
        <f t="shared" si="1"/>
        <v>110365908</v>
      </c>
      <c r="E12" s="966">
        <v>48091292</v>
      </c>
      <c r="F12" s="966">
        <v>9499320</v>
      </c>
      <c r="G12" s="966">
        <v>50789082</v>
      </c>
      <c r="H12" s="966"/>
      <c r="I12" s="966"/>
      <c r="J12" s="966">
        <v>1986214</v>
      </c>
      <c r="K12" s="968">
        <f t="shared" si="2"/>
        <v>110365908</v>
      </c>
    </row>
    <row r="13" spans="1:12" ht="18" customHeight="1" x14ac:dyDescent="0.2">
      <c r="A13" s="354" t="s">
        <v>562</v>
      </c>
      <c r="B13" s="969">
        <v>220298971</v>
      </c>
      <c r="C13" s="1428">
        <f t="shared" si="0"/>
        <v>562254232</v>
      </c>
      <c r="D13" s="1428">
        <f t="shared" si="1"/>
        <v>782553203</v>
      </c>
      <c r="E13" s="1428">
        <f>471445483+80000</f>
        <v>471525483</v>
      </c>
      <c r="F13" s="1428">
        <f>98130166+15600</f>
        <v>98145766</v>
      </c>
      <c r="G13" s="966">
        <v>198957271</v>
      </c>
      <c r="H13" s="966"/>
      <c r="I13" s="966"/>
      <c r="J13" s="966">
        <v>13924683</v>
      </c>
      <c r="K13" s="1429">
        <f t="shared" si="2"/>
        <v>782553203</v>
      </c>
    </row>
    <row r="14" spans="1:12" ht="18" customHeight="1" x14ac:dyDescent="0.2">
      <c r="A14" s="354" t="s">
        <v>548</v>
      </c>
      <c r="B14" s="969">
        <v>1273228</v>
      </c>
      <c r="C14" s="966">
        <f t="shared" si="0"/>
        <v>91991548</v>
      </c>
      <c r="D14" s="967">
        <f t="shared" si="1"/>
        <v>93264776</v>
      </c>
      <c r="E14" s="970">
        <v>64039486</v>
      </c>
      <c r="F14" s="970">
        <v>12834203</v>
      </c>
      <c r="G14" s="970">
        <v>15749737</v>
      </c>
      <c r="H14" s="970"/>
      <c r="I14" s="970"/>
      <c r="J14" s="970">
        <v>641350</v>
      </c>
      <c r="K14" s="968">
        <f t="shared" si="2"/>
        <v>93264776</v>
      </c>
    </row>
    <row r="15" spans="1:12" ht="18" customHeight="1" x14ac:dyDescent="0.2">
      <c r="A15" s="354" t="s">
        <v>563</v>
      </c>
      <c r="B15" s="1430">
        <v>12165785</v>
      </c>
      <c r="C15" s="1428">
        <f>K15-B15</f>
        <v>214238741</v>
      </c>
      <c r="D15" s="1428">
        <f>SUM(B15:C15)</f>
        <v>226404526</v>
      </c>
      <c r="E15" s="1431">
        <v>151282812</v>
      </c>
      <c r="F15" s="1431">
        <v>31234174</v>
      </c>
      <c r="G15" s="1431">
        <v>40301623</v>
      </c>
      <c r="H15" s="640"/>
      <c r="I15" s="640"/>
      <c r="J15" s="841">
        <v>3585917</v>
      </c>
      <c r="K15" s="1429">
        <f>SUM(E15:J15)</f>
        <v>226404526</v>
      </c>
    </row>
    <row r="16" spans="1:12" s="574" customFormat="1" ht="18" customHeight="1" thickBot="1" x14ac:dyDescent="0.25">
      <c r="A16" s="573" t="s">
        <v>407</v>
      </c>
      <c r="B16" s="641">
        <f t="shared" ref="B16:J16" si="3">SUM(B10:B15)</f>
        <v>319070672</v>
      </c>
      <c r="C16" s="641">
        <f t="shared" si="3"/>
        <v>1535917266</v>
      </c>
      <c r="D16" s="641">
        <f t="shared" si="3"/>
        <v>1854987938</v>
      </c>
      <c r="E16" s="641">
        <f t="shared" si="3"/>
        <v>1005412293</v>
      </c>
      <c r="F16" s="641">
        <f t="shared" si="3"/>
        <v>210065747</v>
      </c>
      <c r="G16" s="641">
        <f t="shared" si="3"/>
        <v>615973894</v>
      </c>
      <c r="H16" s="641">
        <f t="shared" si="3"/>
        <v>0</v>
      </c>
      <c r="I16" s="641">
        <f t="shared" si="3"/>
        <v>0</v>
      </c>
      <c r="J16" s="641">
        <f t="shared" si="3"/>
        <v>23536004</v>
      </c>
      <c r="K16" s="642">
        <f>SUM(K10:K15)</f>
        <v>1854987938</v>
      </c>
      <c r="L16" s="367"/>
    </row>
    <row r="17" spans="3:11" s="506" customFormat="1" ht="11.25" x14ac:dyDescent="0.2">
      <c r="D17" s="842"/>
      <c r="K17" s="842"/>
    </row>
    <row r="18" spans="3:11" s="506" customFormat="1" ht="11.25" x14ac:dyDescent="0.2">
      <c r="D18" s="842"/>
      <c r="K18" s="842"/>
    </row>
    <row r="19" spans="3:11" s="507" customFormat="1" x14ac:dyDescent="0.2">
      <c r="D19" s="843"/>
      <c r="K19" s="843"/>
    </row>
    <row r="20" spans="3:11" s="507" customFormat="1" x14ac:dyDescent="0.2">
      <c r="D20" s="843"/>
      <c r="K20" s="843"/>
    </row>
    <row r="21" spans="3:11" s="507" customFormat="1" x14ac:dyDescent="0.2">
      <c r="D21" s="843"/>
      <c r="K21" s="843"/>
    </row>
    <row r="22" spans="3:11" s="507" customFormat="1" x14ac:dyDescent="0.2">
      <c r="D22" s="843"/>
      <c r="K22" s="843"/>
    </row>
    <row r="23" spans="3:11" s="507" customFormat="1" x14ac:dyDescent="0.2">
      <c r="D23" s="843"/>
      <c r="K23" s="843"/>
    </row>
    <row r="24" spans="3:11" s="507" customFormat="1" x14ac:dyDescent="0.2">
      <c r="D24" s="843"/>
      <c r="K24" s="843"/>
    </row>
    <row r="25" spans="3:11" s="507" customFormat="1" x14ac:dyDescent="0.2">
      <c r="D25" s="843"/>
      <c r="K25" s="843"/>
    </row>
    <row r="26" spans="3:11" s="507" customFormat="1" x14ac:dyDescent="0.2">
      <c r="D26" s="843"/>
      <c r="K26" s="843"/>
    </row>
    <row r="27" spans="3:11" x14ac:dyDescent="0.2">
      <c r="C27" s="840"/>
      <c r="G27" s="840"/>
      <c r="H27" s="840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25. számú melléklet a ./....(......)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0"/>
  <sheetViews>
    <sheetView view="pageLayout" zoomScaleNormal="100" workbookViewId="0">
      <selection activeCell="F5" sqref="F5"/>
    </sheetView>
  </sheetViews>
  <sheetFormatPr defaultColWidth="10.6640625" defaultRowHeight="12.75" x14ac:dyDescent="0.2"/>
  <cols>
    <col min="1" max="1" width="10" style="583" customWidth="1"/>
    <col min="2" max="2" width="37.33203125" style="583" customWidth="1"/>
    <col min="3" max="3" width="24.83203125" style="583" customWidth="1"/>
    <col min="4" max="4" width="22.6640625" style="583" customWidth="1"/>
    <col min="5" max="5" width="11.6640625" style="583" bestFit="1" customWidth="1"/>
    <col min="6" max="16384" width="10.6640625" style="583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4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432">
        <f>15000000-580000+1410503</f>
        <v>15830503</v>
      </c>
      <c r="E15" s="585"/>
      <c r="F15" s="586"/>
    </row>
    <row r="16" spans="1:6" ht="15.75" x14ac:dyDescent="0.25">
      <c r="A16" s="525" t="s">
        <v>384</v>
      </c>
      <c r="B16" s="534"/>
      <c r="C16" s="535"/>
      <c r="D16" s="536"/>
      <c r="E16" s="586"/>
      <c r="F16" s="586"/>
    </row>
    <row r="17" spans="1:6" x14ac:dyDescent="0.2">
      <c r="A17" s="1013" t="s">
        <v>763</v>
      </c>
      <c r="B17" s="479"/>
      <c r="C17" s="526"/>
      <c r="D17" s="477">
        <v>10000000</v>
      </c>
      <c r="E17" s="480"/>
      <c r="F17" s="478"/>
    </row>
    <row r="18" spans="1:6" x14ac:dyDescent="0.2">
      <c r="A18" s="1013" t="s">
        <v>764</v>
      </c>
      <c r="B18" s="479"/>
      <c r="C18" s="526"/>
      <c r="D18" s="477">
        <v>300000</v>
      </c>
      <c r="E18" s="480"/>
      <c r="F18" s="478"/>
    </row>
    <row r="19" spans="1:6" x14ac:dyDescent="0.2">
      <c r="A19" s="1013" t="s">
        <v>765</v>
      </c>
      <c r="B19" s="479"/>
      <c r="C19" s="526"/>
      <c r="D19" s="477">
        <v>950000</v>
      </c>
      <c r="E19" s="480"/>
      <c r="F19" s="478"/>
    </row>
    <row r="20" spans="1:6" x14ac:dyDescent="0.2">
      <c r="A20" s="1013" t="s">
        <v>766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1433">
        <f>40097263-101823</f>
        <v>39995440</v>
      </c>
      <c r="E21" s="480"/>
      <c r="F21" s="478"/>
    </row>
    <row r="22" spans="1:6" x14ac:dyDescent="0.2">
      <c r="A22" s="1015" t="s">
        <v>768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14" t="s">
        <v>770</v>
      </c>
      <c r="B24" s="577"/>
      <c r="C24" s="578"/>
      <c r="D24" s="579">
        <v>3310000</v>
      </c>
      <c r="E24" s="480"/>
      <c r="F24" s="478"/>
    </row>
    <row r="25" spans="1:6" x14ac:dyDescent="0.2">
      <c r="A25" s="1014" t="s">
        <v>769</v>
      </c>
      <c r="B25" s="577"/>
      <c r="C25" s="578"/>
      <c r="D25" s="579">
        <v>4000000</v>
      </c>
      <c r="E25" s="480"/>
      <c r="F25" s="478"/>
    </row>
    <row r="26" spans="1:6" x14ac:dyDescent="0.2">
      <c r="A26" s="1434" t="s">
        <v>949</v>
      </c>
      <c r="B26" s="1435"/>
      <c r="C26" s="1436"/>
      <c r="D26" s="1437">
        <v>567020</v>
      </c>
      <c r="E26" s="480"/>
      <c r="F26" s="478"/>
    </row>
    <row r="27" spans="1:6" x14ac:dyDescent="0.2">
      <c r="A27" s="1014" t="s">
        <v>767</v>
      </c>
      <c r="B27" s="577"/>
      <c r="C27" s="578"/>
      <c r="D27" s="579"/>
      <c r="E27" s="480"/>
      <c r="F27" s="478"/>
    </row>
    <row r="28" spans="1:6" ht="16.5" thickBot="1" x14ac:dyDescent="0.3">
      <c r="A28" s="527" t="s">
        <v>385</v>
      </c>
      <c r="B28" s="528"/>
      <c r="C28" s="529"/>
      <c r="D28" s="844">
        <f>SUM(D17:D27)</f>
        <v>63522460</v>
      </c>
    </row>
    <row r="29" spans="1:6" ht="16.5" thickBot="1" x14ac:dyDescent="0.3">
      <c r="A29" s="537"/>
      <c r="B29" s="538"/>
      <c r="C29" s="539"/>
      <c r="D29" s="539"/>
    </row>
    <row r="30" spans="1:6" ht="16.5" thickBot="1" x14ac:dyDescent="0.3">
      <c r="A30" s="530" t="s">
        <v>386</v>
      </c>
      <c r="B30" s="531"/>
      <c r="C30" s="532"/>
      <c r="D30" s="533">
        <f>SUM(D15,D28)</f>
        <v>79352963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./....(......)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303" t="s">
        <v>645</v>
      </c>
      <c r="B1" s="1303"/>
      <c r="C1" s="1303"/>
      <c r="D1" s="1303"/>
      <c r="E1" s="1303"/>
      <c r="F1" s="1303"/>
      <c r="G1" s="1303"/>
    </row>
    <row r="3" spans="1:7" s="685" customFormat="1" ht="27" customHeight="1" x14ac:dyDescent="0.25">
      <c r="A3" s="683" t="s">
        <v>646</v>
      </c>
      <c r="B3" s="684"/>
      <c r="C3" s="1304" t="s">
        <v>647</v>
      </c>
      <c r="D3" s="1304"/>
      <c r="E3" s="1304"/>
      <c r="F3" s="1304"/>
      <c r="G3" s="1304"/>
    </row>
    <row r="4" spans="1:7" s="685" customFormat="1" ht="15.75" x14ac:dyDescent="0.25">
      <c r="A4" s="684"/>
      <c r="B4" s="684"/>
      <c r="C4" s="684"/>
      <c r="D4" s="684"/>
      <c r="E4" s="684"/>
      <c r="F4" s="684"/>
      <c r="G4" s="684"/>
    </row>
    <row r="5" spans="1:7" s="685" customFormat="1" ht="24.75" customHeight="1" x14ac:dyDescent="0.25">
      <c r="A5" s="683" t="s">
        <v>648</v>
      </c>
      <c r="B5" s="684"/>
      <c r="C5" s="1304" t="s">
        <v>647</v>
      </c>
      <c r="D5" s="1304"/>
      <c r="E5" s="1304"/>
      <c r="F5" s="1304"/>
      <c r="G5" s="684"/>
    </row>
    <row r="6" spans="1:7" s="686" customFormat="1" x14ac:dyDescent="0.2">
      <c r="A6" s="657"/>
      <c r="B6" s="657"/>
      <c r="C6" s="657"/>
      <c r="D6" s="657"/>
      <c r="E6" s="657"/>
      <c r="F6" s="657"/>
      <c r="G6" s="657"/>
    </row>
    <row r="7" spans="1:7" s="690" customFormat="1" ht="15" customHeight="1" x14ac:dyDescent="0.25">
      <c r="A7" s="687" t="s">
        <v>649</v>
      </c>
      <c r="B7" s="688"/>
      <c r="C7" s="688"/>
      <c r="D7" s="689"/>
      <c r="E7" s="689"/>
      <c r="F7" s="689"/>
      <c r="G7" s="689"/>
    </row>
    <row r="8" spans="1:7" s="690" customFormat="1" ht="15" customHeight="1" thickBot="1" x14ac:dyDescent="0.3">
      <c r="A8" s="687" t="s">
        <v>650</v>
      </c>
      <c r="B8" s="689"/>
      <c r="C8" s="689"/>
      <c r="D8" s="689"/>
      <c r="E8" s="689"/>
      <c r="F8" s="689"/>
      <c r="G8" s="689"/>
    </row>
    <row r="9" spans="1:7" s="694" customFormat="1" ht="42" customHeight="1" thickBot="1" x14ac:dyDescent="0.25">
      <c r="A9" s="691" t="s">
        <v>20</v>
      </c>
      <c r="B9" s="692" t="s">
        <v>651</v>
      </c>
      <c r="C9" s="692" t="s">
        <v>652</v>
      </c>
      <c r="D9" s="692" t="s">
        <v>653</v>
      </c>
      <c r="E9" s="692" t="s">
        <v>654</v>
      </c>
      <c r="F9" s="692" t="s">
        <v>655</v>
      </c>
      <c r="G9" s="693" t="s">
        <v>56</v>
      </c>
    </row>
    <row r="10" spans="1:7" ht="24" customHeight="1" x14ac:dyDescent="0.2">
      <c r="A10" s="695" t="s">
        <v>22</v>
      </c>
      <c r="B10" s="696" t="s">
        <v>656</v>
      </c>
      <c r="C10" s="697"/>
      <c r="D10" s="697"/>
      <c r="E10" s="697"/>
      <c r="F10" s="697"/>
      <c r="G10" s="698">
        <f>SUM(C10:F10)</f>
        <v>0</v>
      </c>
    </row>
    <row r="11" spans="1:7" ht="24" customHeight="1" x14ac:dyDescent="0.2">
      <c r="A11" s="699" t="s">
        <v>23</v>
      </c>
      <c r="B11" s="700" t="s">
        <v>657</v>
      </c>
      <c r="C11" s="701"/>
      <c r="D11" s="701"/>
      <c r="E11" s="701"/>
      <c r="F11" s="701"/>
      <c r="G11" s="702">
        <f t="shared" ref="G11:G16" si="0">SUM(C11:F11)</f>
        <v>0</v>
      </c>
    </row>
    <row r="12" spans="1:7" ht="24" customHeight="1" x14ac:dyDescent="0.2">
      <c r="A12" s="699" t="s">
        <v>24</v>
      </c>
      <c r="B12" s="700" t="s">
        <v>658</v>
      </c>
      <c r="C12" s="701"/>
      <c r="D12" s="701"/>
      <c r="E12" s="701"/>
      <c r="F12" s="701"/>
      <c r="G12" s="702">
        <f t="shared" si="0"/>
        <v>0</v>
      </c>
    </row>
    <row r="13" spans="1:7" ht="24" customHeight="1" x14ac:dyDescent="0.2">
      <c r="A13" s="699" t="s">
        <v>25</v>
      </c>
      <c r="B13" s="700" t="s">
        <v>659</v>
      </c>
      <c r="C13" s="701"/>
      <c r="D13" s="701"/>
      <c r="E13" s="701"/>
      <c r="F13" s="701"/>
      <c r="G13" s="702">
        <f t="shared" si="0"/>
        <v>0</v>
      </c>
    </row>
    <row r="14" spans="1:7" ht="24" customHeight="1" x14ac:dyDescent="0.2">
      <c r="A14" s="699" t="s">
        <v>26</v>
      </c>
      <c r="B14" s="700" t="s">
        <v>660</v>
      </c>
      <c r="C14" s="701"/>
      <c r="D14" s="701"/>
      <c r="E14" s="701"/>
      <c r="F14" s="701"/>
      <c r="G14" s="702">
        <f t="shared" si="0"/>
        <v>0</v>
      </c>
    </row>
    <row r="15" spans="1:7" ht="24" customHeight="1" thickBot="1" x14ac:dyDescent="0.25">
      <c r="A15" s="703" t="s">
        <v>27</v>
      </c>
      <c r="B15" s="704" t="s">
        <v>661</v>
      </c>
      <c r="C15" s="705"/>
      <c r="D15" s="705"/>
      <c r="E15" s="705"/>
      <c r="F15" s="705"/>
      <c r="G15" s="706">
        <f t="shared" si="0"/>
        <v>0</v>
      </c>
    </row>
    <row r="16" spans="1:7" s="711" customFormat="1" ht="24" customHeight="1" thickBot="1" x14ac:dyDescent="0.25">
      <c r="A16" s="707" t="s">
        <v>28</v>
      </c>
      <c r="B16" s="708" t="s">
        <v>56</v>
      </c>
      <c r="C16" s="709">
        <f>SUM(C10:C15)</f>
        <v>0</v>
      </c>
      <c r="D16" s="709">
        <f>SUM(D10:D15)</f>
        <v>0</v>
      </c>
      <c r="E16" s="709">
        <f>SUM(E10:E15)</f>
        <v>0</v>
      </c>
      <c r="F16" s="709">
        <f>SUM(F10:F15)</f>
        <v>0</v>
      </c>
      <c r="G16" s="710">
        <f t="shared" si="0"/>
        <v>0</v>
      </c>
    </row>
    <row r="17" spans="1:7" s="686" customFormat="1" x14ac:dyDescent="0.2">
      <c r="A17" s="657"/>
      <c r="B17" s="657"/>
      <c r="C17" s="657"/>
      <c r="D17" s="657"/>
      <c r="E17" s="657"/>
      <c r="F17" s="657"/>
      <c r="G17" s="657"/>
    </row>
    <row r="18" spans="1:7" s="686" customFormat="1" x14ac:dyDescent="0.2">
      <c r="A18" s="657"/>
      <c r="B18" s="657"/>
      <c r="C18" s="657"/>
      <c r="D18" s="657"/>
      <c r="E18" s="657"/>
      <c r="F18" s="657"/>
      <c r="G18" s="657"/>
    </row>
    <row r="19" spans="1:7" s="686" customFormat="1" x14ac:dyDescent="0.2">
      <c r="A19" s="657"/>
      <c r="B19" s="657"/>
      <c r="C19" s="657"/>
      <c r="D19" s="657"/>
      <c r="E19" s="657"/>
      <c r="F19" s="657"/>
      <c r="G19" s="657"/>
    </row>
    <row r="20" spans="1:7" s="686" customFormat="1" ht="15.75" x14ac:dyDescent="0.25">
      <c r="A20" s="685" t="s">
        <v>943</v>
      </c>
      <c r="B20" s="657"/>
      <c r="C20" s="657"/>
      <c r="D20" s="657"/>
      <c r="E20" s="657"/>
      <c r="F20" s="657"/>
      <c r="G20" s="657"/>
    </row>
    <row r="21" spans="1:7" s="686" customFormat="1" x14ac:dyDescent="0.2">
      <c r="A21" s="657"/>
      <c r="B21" s="657"/>
      <c r="C21" s="657"/>
      <c r="D21" s="657"/>
      <c r="E21" s="657"/>
      <c r="F21" s="657"/>
      <c r="G21" s="657"/>
    </row>
    <row r="22" spans="1:7" x14ac:dyDescent="0.2">
      <c r="A22" s="657"/>
      <c r="B22" s="657"/>
      <c r="C22" s="657"/>
      <c r="D22" s="657"/>
      <c r="E22" s="657"/>
      <c r="F22" s="657"/>
      <c r="G22" s="657"/>
    </row>
    <row r="23" spans="1:7" x14ac:dyDescent="0.2">
      <c r="A23" s="657"/>
      <c r="B23" s="657"/>
      <c r="C23" s="686"/>
      <c r="D23" s="686"/>
      <c r="E23" s="686"/>
      <c r="F23" s="686"/>
      <c r="G23" s="657"/>
    </row>
    <row r="24" spans="1:7" ht="13.5" x14ac:dyDescent="0.25">
      <c r="A24" s="657"/>
      <c r="B24" s="657"/>
      <c r="C24" s="712"/>
      <c r="D24" s="713" t="s">
        <v>662</v>
      </c>
      <c r="E24" s="713"/>
      <c r="F24" s="712"/>
      <c r="G24" s="657"/>
    </row>
    <row r="25" spans="1:7" ht="13.5" x14ac:dyDescent="0.25">
      <c r="C25" s="714"/>
      <c r="D25" s="715"/>
      <c r="E25" s="715"/>
      <c r="F25" s="714"/>
    </row>
    <row r="26" spans="1:7" ht="13.5" x14ac:dyDescent="0.25">
      <c r="C26" s="714"/>
      <c r="D26" s="715"/>
      <c r="E26" s="715"/>
      <c r="F26" s="714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60"/>
  <sheetViews>
    <sheetView view="pageLayout" zoomScaleNormal="100" zoomScaleSheetLayoutView="85" workbookViewId="0">
      <selection activeCell="L1" sqref="L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36" customWidth="1"/>
    <col min="4" max="4" width="15.5" style="936" customWidth="1"/>
    <col min="5" max="7" width="15.5" style="936" hidden="1" customWidth="1"/>
    <col min="8" max="8" width="15.5" style="936" customWidth="1"/>
    <col min="9" max="9" width="14.33203125" style="309" hidden="1" customWidth="1"/>
    <col min="10" max="10" width="12.6640625" style="309" hidden="1" customWidth="1"/>
    <col min="11" max="11" width="14.33203125" style="309" hidden="1" customWidth="1"/>
    <col min="12" max="16384" width="9.33203125" style="309"/>
  </cols>
  <sheetData>
    <row r="1" spans="1:11" ht="35.25" customHeight="1" x14ac:dyDescent="0.25">
      <c r="A1" s="1305" t="s">
        <v>942</v>
      </c>
      <c r="B1" s="1306"/>
      <c r="C1" s="1306"/>
      <c r="D1" s="1306"/>
      <c r="E1" s="1306"/>
      <c r="F1" s="1306"/>
      <c r="G1" s="1306"/>
      <c r="H1" s="1306"/>
    </row>
    <row r="3" spans="1:11" ht="15.95" customHeight="1" x14ac:dyDescent="0.25">
      <c r="A3" s="1251" t="s">
        <v>19</v>
      </c>
      <c r="B3" s="1251"/>
      <c r="C3" s="1251"/>
      <c r="D3" s="1251"/>
      <c r="E3" s="1251"/>
      <c r="F3" s="1251"/>
      <c r="G3" s="1251"/>
      <c r="H3" s="1251"/>
    </row>
    <row r="4" spans="1:11" ht="15.95" customHeight="1" thickBot="1" x14ac:dyDescent="0.3">
      <c r="A4" s="1250" t="s">
        <v>131</v>
      </c>
      <c r="B4" s="1250"/>
      <c r="C4" s="849"/>
      <c r="D4" s="849"/>
      <c r="E4" s="850"/>
      <c r="F4" s="850"/>
      <c r="G4" s="850"/>
      <c r="H4" s="851" t="s">
        <v>578</v>
      </c>
    </row>
    <row r="5" spans="1:11" ht="38.1" customHeight="1" thickBot="1" x14ac:dyDescent="0.3">
      <c r="A5" s="21" t="s">
        <v>74</v>
      </c>
      <c r="B5" s="22" t="s">
        <v>21</v>
      </c>
      <c r="C5" s="852" t="s">
        <v>721</v>
      </c>
      <c r="D5" s="852" t="s">
        <v>722</v>
      </c>
      <c r="E5" s="853"/>
      <c r="F5" s="853"/>
      <c r="G5" s="853"/>
      <c r="H5" s="854" t="s">
        <v>699</v>
      </c>
    </row>
    <row r="6" spans="1:11" s="310" customFormat="1" ht="12" customHeight="1" thickBot="1" x14ac:dyDescent="0.25">
      <c r="A6" s="28" t="s">
        <v>457</v>
      </c>
      <c r="B6" s="29" t="s">
        <v>458</v>
      </c>
      <c r="C6" s="855" t="s">
        <v>459</v>
      </c>
      <c r="D6" s="855" t="s">
        <v>509</v>
      </c>
      <c r="E6" s="856"/>
      <c r="F6" s="856"/>
      <c r="G6" s="856"/>
      <c r="H6" s="857" t="s">
        <v>510</v>
      </c>
    </row>
    <row r="7" spans="1:11" s="312" customFormat="1" ht="12" customHeight="1" thickBot="1" x14ac:dyDescent="0.25">
      <c r="A7" s="18" t="s">
        <v>22</v>
      </c>
      <c r="B7" s="19" t="s">
        <v>197</v>
      </c>
      <c r="C7" s="855">
        <v>1136384587</v>
      </c>
      <c r="D7" s="858">
        <v>1282714675</v>
      </c>
      <c r="E7" s="859">
        <f>+E8+E9+E10+E11+E12+E13</f>
        <v>1133144785</v>
      </c>
      <c r="F7" s="858">
        <f>+F8+F9+F10+F11+F12+F13</f>
        <v>0</v>
      </c>
      <c r="G7" s="858">
        <f>+G8+G9+G10+G11+G12+G13</f>
        <v>0</v>
      </c>
      <c r="H7" s="135">
        <f t="shared" ref="H7:H38" si="0">SUM(I7:K7)</f>
        <v>1460810310</v>
      </c>
      <c r="I7" s="311">
        <f>+I8+I9+I10+I11+I12+I13</f>
        <v>1460810310</v>
      </c>
      <c r="J7" s="135">
        <f>+J8+J9+J10+J11+J12+J13</f>
        <v>0</v>
      </c>
      <c r="K7" s="135">
        <f>+K8+K9+K10+K11+K12+K13</f>
        <v>0</v>
      </c>
    </row>
    <row r="8" spans="1:11" s="312" customFormat="1" ht="12" customHeight="1" x14ac:dyDescent="0.2">
      <c r="A8" s="13" t="s">
        <v>102</v>
      </c>
      <c r="B8" s="342" t="s">
        <v>198</v>
      </c>
      <c r="C8" s="860">
        <v>228418282</v>
      </c>
      <c r="D8" s="861">
        <v>227855923</v>
      </c>
      <c r="E8" s="862">
        <v>227512539</v>
      </c>
      <c r="F8" s="863"/>
      <c r="G8" s="863"/>
      <c r="H8" s="563">
        <f>SUM(I8:K8)</f>
        <v>211161846</v>
      </c>
      <c r="I8" s="251">
        <v>211161846</v>
      </c>
      <c r="J8" s="251"/>
      <c r="K8" s="251"/>
    </row>
    <row r="9" spans="1:11" s="312" customFormat="1" ht="12" customHeight="1" x14ac:dyDescent="0.2">
      <c r="A9" s="12" t="s">
        <v>103</v>
      </c>
      <c r="B9" s="343" t="s">
        <v>199</v>
      </c>
      <c r="C9" s="864">
        <v>224090111</v>
      </c>
      <c r="D9" s="865">
        <v>227738235</v>
      </c>
      <c r="E9" s="866">
        <v>218107294</v>
      </c>
      <c r="F9" s="867"/>
      <c r="G9" s="867"/>
      <c r="H9" s="353">
        <f t="shared" si="0"/>
        <v>235351616</v>
      </c>
      <c r="I9" s="139">
        <v>235351616</v>
      </c>
      <c r="J9" s="139"/>
      <c r="K9" s="139"/>
    </row>
    <row r="10" spans="1:11" s="312" customFormat="1" ht="12" customHeight="1" x14ac:dyDescent="0.2">
      <c r="A10" s="12" t="s">
        <v>104</v>
      </c>
      <c r="B10" s="343" t="s">
        <v>200</v>
      </c>
      <c r="C10" s="864">
        <v>600182523</v>
      </c>
      <c r="D10" s="865">
        <v>662987096</v>
      </c>
      <c r="E10" s="866">
        <f>121200000+67844165+118423160+15562200+177597260+4526280+11511000+24250000+62625967</f>
        <v>603540032</v>
      </c>
      <c r="F10" s="867"/>
      <c r="G10" s="867"/>
      <c r="H10" s="353">
        <f t="shared" si="0"/>
        <v>746328051</v>
      </c>
      <c r="I10" s="139">
        <f>132342947+82528441+152850000+191583306+50232560+61299400+1796961+73694436</f>
        <v>746328051</v>
      </c>
      <c r="J10" s="139"/>
      <c r="K10" s="139"/>
    </row>
    <row r="11" spans="1:11" s="312" customFormat="1" ht="12" customHeight="1" x14ac:dyDescent="0.2">
      <c r="A11" s="12" t="s">
        <v>105</v>
      </c>
      <c r="B11" s="343" t="s">
        <v>201</v>
      </c>
      <c r="C11" s="864">
        <v>31318596</v>
      </c>
      <c r="D11" s="865">
        <v>34993847</v>
      </c>
      <c r="E11" s="866">
        <f>4412740+15262320+10629000</f>
        <v>30304060</v>
      </c>
      <c r="F11" s="867"/>
      <c r="G11" s="867"/>
      <c r="H11" s="353">
        <f t="shared" si="0"/>
        <v>33237861</v>
      </c>
      <c r="I11" s="139">
        <f>4617241+15998620+12622000</f>
        <v>33237861</v>
      </c>
      <c r="J11" s="139"/>
      <c r="K11" s="139"/>
    </row>
    <row r="12" spans="1:11" s="312" customFormat="1" ht="12" customHeight="1" x14ac:dyDescent="0.2">
      <c r="A12" s="12" t="s">
        <v>128</v>
      </c>
      <c r="B12" s="541" t="s">
        <v>460</v>
      </c>
      <c r="C12" s="864">
        <v>52375075</v>
      </c>
      <c r="D12" s="865">
        <v>129139574</v>
      </c>
      <c r="E12" s="866">
        <f>3551000+1060845+168707597+58000+128000-119824582</f>
        <v>53680860</v>
      </c>
      <c r="F12" s="867"/>
      <c r="G12" s="867"/>
      <c r="H12" s="353">
        <f t="shared" si="0"/>
        <v>234730936</v>
      </c>
      <c r="I12" s="139">
        <f>29417493+205313443</f>
        <v>234730936</v>
      </c>
      <c r="J12" s="139"/>
      <c r="K12" s="139"/>
    </row>
    <row r="13" spans="1:11" s="312" customFormat="1" ht="12" customHeight="1" thickBot="1" x14ac:dyDescent="0.25">
      <c r="A13" s="14" t="s">
        <v>106</v>
      </c>
      <c r="B13" s="542" t="s">
        <v>461</v>
      </c>
      <c r="C13" s="868"/>
      <c r="D13" s="869">
        <v>0</v>
      </c>
      <c r="E13" s="870"/>
      <c r="F13" s="871"/>
      <c r="G13" s="871"/>
      <c r="H13" s="564">
        <f t="shared" si="0"/>
        <v>0</v>
      </c>
      <c r="I13" s="122"/>
      <c r="J13" s="136"/>
      <c r="K13" s="136"/>
    </row>
    <row r="14" spans="1:11" s="312" customFormat="1" ht="12" customHeight="1" thickBot="1" x14ac:dyDescent="0.25">
      <c r="A14" s="18" t="s">
        <v>23</v>
      </c>
      <c r="B14" s="543" t="s">
        <v>202</v>
      </c>
      <c r="C14" s="872">
        <v>329344570</v>
      </c>
      <c r="D14" s="858">
        <v>270067430</v>
      </c>
      <c r="E14" s="859">
        <f>+E15+E16+E17+E18+E19</f>
        <v>-145452435</v>
      </c>
      <c r="F14" s="858">
        <f>+F15+F16+F17+F18+F19</f>
        <v>0</v>
      </c>
      <c r="G14" s="858">
        <f>+G15+G16+G17+G18+G19</f>
        <v>5485000</v>
      </c>
      <c r="H14" s="135">
        <f t="shared" si="0"/>
        <v>232190024</v>
      </c>
      <c r="I14" s="311">
        <f>+I15+I16+I17+I18+I19</f>
        <v>209435081</v>
      </c>
      <c r="J14" s="135">
        <f>+J15+J16+J17+J18+J19</f>
        <v>0</v>
      </c>
      <c r="K14" s="135">
        <f>+K15+K16+K17+K18+K19</f>
        <v>22754943</v>
      </c>
    </row>
    <row r="15" spans="1:11" s="312" customFormat="1" ht="12" customHeight="1" x14ac:dyDescent="0.2">
      <c r="A15" s="13" t="s">
        <v>108</v>
      </c>
      <c r="B15" s="342" t="s">
        <v>203</v>
      </c>
      <c r="C15" s="864"/>
      <c r="D15" s="861">
        <v>0</v>
      </c>
      <c r="E15" s="873"/>
      <c r="F15" s="874"/>
      <c r="G15" s="874"/>
      <c r="H15" s="563">
        <f t="shared" si="0"/>
        <v>0</v>
      </c>
      <c r="I15" s="313"/>
      <c r="J15" s="137"/>
      <c r="K15" s="137"/>
    </row>
    <row r="16" spans="1:11" s="312" customFormat="1" ht="12" customHeight="1" x14ac:dyDescent="0.2">
      <c r="A16" s="12" t="s">
        <v>109</v>
      </c>
      <c r="B16" s="343" t="s">
        <v>204</v>
      </c>
      <c r="C16" s="864"/>
      <c r="D16" s="865">
        <v>0</v>
      </c>
      <c r="E16" s="870"/>
      <c r="F16" s="871"/>
      <c r="G16" s="871"/>
      <c r="H16" s="353">
        <f t="shared" si="0"/>
        <v>0</v>
      </c>
      <c r="I16" s="122"/>
      <c r="J16" s="136"/>
      <c r="K16" s="136"/>
    </row>
    <row r="17" spans="1:11" s="312" customFormat="1" ht="12" customHeight="1" x14ac:dyDescent="0.2">
      <c r="A17" s="12" t="s">
        <v>110</v>
      </c>
      <c r="B17" s="343" t="s">
        <v>372</v>
      </c>
      <c r="C17" s="864"/>
      <c r="D17" s="865">
        <v>0</v>
      </c>
      <c r="E17" s="870"/>
      <c r="F17" s="871"/>
      <c r="G17" s="871"/>
      <c r="H17" s="353">
        <f t="shared" si="0"/>
        <v>0</v>
      </c>
      <c r="I17" s="122"/>
      <c r="J17" s="136"/>
      <c r="K17" s="136"/>
    </row>
    <row r="18" spans="1:11" s="312" customFormat="1" ht="12" customHeight="1" x14ac:dyDescent="0.2">
      <c r="A18" s="12" t="s">
        <v>111</v>
      </c>
      <c r="B18" s="343" t="s">
        <v>373</v>
      </c>
      <c r="C18" s="864"/>
      <c r="D18" s="865">
        <v>0</v>
      </c>
      <c r="E18" s="870"/>
      <c r="F18" s="871"/>
      <c r="G18" s="871"/>
      <c r="H18" s="353">
        <f t="shared" si="0"/>
        <v>0</v>
      </c>
      <c r="I18" s="122"/>
      <c r="J18" s="136"/>
      <c r="K18" s="136"/>
    </row>
    <row r="19" spans="1:11" s="312" customFormat="1" ht="12" customHeight="1" x14ac:dyDescent="0.2">
      <c r="A19" s="12" t="s">
        <v>112</v>
      </c>
      <c r="B19" s="343" t="s">
        <v>205</v>
      </c>
      <c r="C19" s="864">
        <v>329344570</v>
      </c>
      <c r="D19" s="865">
        <v>270067430</v>
      </c>
      <c r="E19" s="866">
        <f>2285000+210000+110446000+65342000-323735435</f>
        <v>-145452435</v>
      </c>
      <c r="F19" s="867"/>
      <c r="G19" s="867">
        <v>5485000</v>
      </c>
      <c r="H19" s="1243">
        <f t="shared" si="0"/>
        <v>232190024</v>
      </c>
      <c r="I19" s="292">
        <f>102792540+24250000+3975280+5670000+67037993+5709268</f>
        <v>209435081</v>
      </c>
      <c r="J19" s="139"/>
      <c r="K19" s="139">
        <v>22754943</v>
      </c>
    </row>
    <row r="20" spans="1:11" s="312" customFormat="1" ht="12" customHeight="1" thickBot="1" x14ac:dyDescent="0.25">
      <c r="A20" s="14" t="s">
        <v>121</v>
      </c>
      <c r="B20" s="542" t="s">
        <v>206</v>
      </c>
      <c r="C20" s="868">
        <v>23612212</v>
      </c>
      <c r="D20" s="869">
        <v>85930791</v>
      </c>
      <c r="E20" s="875"/>
      <c r="F20" s="876"/>
      <c r="G20" s="876"/>
      <c r="H20" s="1244">
        <f t="shared" si="0"/>
        <v>70617011</v>
      </c>
      <c r="I20" s="296">
        <f>67037993+2824075</f>
        <v>69862068</v>
      </c>
      <c r="J20" s="202"/>
      <c r="K20" s="202">
        <v>754943</v>
      </c>
    </row>
    <row r="21" spans="1:11" s="312" customFormat="1" ht="12" customHeight="1" thickBot="1" x14ac:dyDescent="0.25">
      <c r="A21" s="18" t="s">
        <v>24</v>
      </c>
      <c r="B21" s="540" t="s">
        <v>207</v>
      </c>
      <c r="C21" s="872">
        <v>519310318</v>
      </c>
      <c r="D21" s="858">
        <v>93190591</v>
      </c>
      <c r="E21" s="859">
        <f>+E22+E23+E24+E25+E26</f>
        <v>-11381976</v>
      </c>
      <c r="F21" s="858">
        <f>+F22+F23+F24+F25+F26</f>
        <v>0</v>
      </c>
      <c r="G21" s="858">
        <f>+G22+G23+G24+G25+G26</f>
        <v>0</v>
      </c>
      <c r="H21" s="135">
        <f t="shared" si="0"/>
        <v>165284566</v>
      </c>
      <c r="I21" s="311">
        <f>+I22+I23+I24+I25+I26</f>
        <v>165284566</v>
      </c>
      <c r="J21" s="135">
        <f>+J22+J23+J24+J25+J26</f>
        <v>0</v>
      </c>
      <c r="K21" s="135">
        <f>+K22+K23+K24+K25+K26</f>
        <v>0</v>
      </c>
    </row>
    <row r="22" spans="1:11" s="312" customFormat="1" ht="12" customHeight="1" x14ac:dyDescent="0.2">
      <c r="A22" s="13" t="s">
        <v>91</v>
      </c>
      <c r="B22" s="342" t="s">
        <v>208</v>
      </c>
      <c r="C22" s="864">
        <v>15690532</v>
      </c>
      <c r="D22" s="861">
        <v>19753000</v>
      </c>
      <c r="E22" s="877"/>
      <c r="F22" s="878"/>
      <c r="G22" s="878"/>
      <c r="H22" s="563">
        <f t="shared" si="0"/>
        <v>0</v>
      </c>
      <c r="I22" s="315"/>
      <c r="J22" s="783"/>
      <c r="K22" s="783"/>
    </row>
    <row r="23" spans="1:11" s="312" customFormat="1" ht="12" customHeight="1" x14ac:dyDescent="0.2">
      <c r="A23" s="12" t="s">
        <v>92</v>
      </c>
      <c r="B23" s="343" t="s">
        <v>209</v>
      </c>
      <c r="C23" s="864"/>
      <c r="D23" s="879">
        <v>0</v>
      </c>
      <c r="E23" s="866"/>
      <c r="F23" s="867"/>
      <c r="G23" s="867"/>
      <c r="H23" s="566">
        <f t="shared" si="0"/>
        <v>0</v>
      </c>
      <c r="I23" s="292"/>
      <c r="J23" s="139"/>
      <c r="K23" s="139"/>
    </row>
    <row r="24" spans="1:11" s="312" customFormat="1" ht="12" customHeight="1" x14ac:dyDescent="0.2">
      <c r="A24" s="12" t="s">
        <v>93</v>
      </c>
      <c r="B24" s="343" t="s">
        <v>374</v>
      </c>
      <c r="C24" s="864"/>
      <c r="D24" s="865">
        <v>0</v>
      </c>
      <c r="E24" s="866"/>
      <c r="F24" s="867"/>
      <c r="G24" s="867"/>
      <c r="H24" s="353">
        <f t="shared" si="0"/>
        <v>0</v>
      </c>
      <c r="I24" s="292"/>
      <c r="J24" s="139"/>
      <c r="K24" s="139"/>
    </row>
    <row r="25" spans="1:11" s="312" customFormat="1" ht="12" customHeight="1" x14ac:dyDescent="0.2">
      <c r="A25" s="12" t="s">
        <v>94</v>
      </c>
      <c r="B25" s="343" t="s">
        <v>375</v>
      </c>
      <c r="C25" s="864"/>
      <c r="D25" s="865">
        <v>0</v>
      </c>
      <c r="E25" s="866"/>
      <c r="F25" s="867"/>
      <c r="G25" s="867"/>
      <c r="H25" s="353">
        <f t="shared" si="0"/>
        <v>0</v>
      </c>
      <c r="I25" s="292"/>
      <c r="J25" s="139"/>
      <c r="K25" s="139"/>
    </row>
    <row r="26" spans="1:11" s="312" customFormat="1" ht="12" customHeight="1" x14ac:dyDescent="0.2">
      <c r="A26" s="12" t="s">
        <v>139</v>
      </c>
      <c r="B26" s="343" t="s">
        <v>210</v>
      </c>
      <c r="C26" s="864">
        <v>503619786</v>
      </c>
      <c r="D26" s="865">
        <v>73437591</v>
      </c>
      <c r="E26" s="866">
        <f>3797300-15179276</f>
        <v>-11381976</v>
      </c>
      <c r="F26" s="867"/>
      <c r="G26" s="867"/>
      <c r="H26" s="1243">
        <f t="shared" si="0"/>
        <v>165284566</v>
      </c>
      <c r="I26" s="292">
        <f>5596040+25377271+3487179+47949076+82875000</f>
        <v>165284566</v>
      </c>
      <c r="J26" s="139"/>
      <c r="K26" s="139"/>
    </row>
    <row r="27" spans="1:11" s="312" customFormat="1" ht="12" customHeight="1" thickBot="1" x14ac:dyDescent="0.25">
      <c r="A27" s="14" t="s">
        <v>140</v>
      </c>
      <c r="B27" s="344" t="s">
        <v>211</v>
      </c>
      <c r="C27" s="868">
        <v>500338786</v>
      </c>
      <c r="D27" s="869">
        <v>68947847</v>
      </c>
      <c r="E27" s="875">
        <v>3797300</v>
      </c>
      <c r="F27" s="876"/>
      <c r="G27" s="876"/>
      <c r="H27" s="1244">
        <f t="shared" si="0"/>
        <v>165284566</v>
      </c>
      <c r="I27" s="296">
        <f>5596040+25377271+3487179+47949076+82875000</f>
        <v>165284566</v>
      </c>
      <c r="J27" s="202"/>
      <c r="K27" s="202"/>
    </row>
    <row r="28" spans="1:11" s="312" customFormat="1" ht="12" customHeight="1" thickBot="1" x14ac:dyDescent="0.25">
      <c r="A28" s="18" t="s">
        <v>141</v>
      </c>
      <c r="B28" s="540" t="s">
        <v>212</v>
      </c>
      <c r="C28" s="872">
        <v>359172384</v>
      </c>
      <c r="D28" s="858">
        <v>462658000</v>
      </c>
      <c r="E28" s="880">
        <f>+E29+E33+E34+E35</f>
        <v>329390000</v>
      </c>
      <c r="F28" s="881">
        <f>+F29+F33+F34+F35</f>
        <v>0</v>
      </c>
      <c r="G28" s="881">
        <f>+G29+G33+G34+G35</f>
        <v>0</v>
      </c>
      <c r="H28" s="135">
        <f t="shared" si="0"/>
        <v>481500000</v>
      </c>
      <c r="I28" s="314">
        <f>+I29+I33+I34+I35</f>
        <v>481500000</v>
      </c>
      <c r="J28" s="140">
        <f>+J29+J33+J34+J35</f>
        <v>0</v>
      </c>
      <c r="K28" s="140">
        <f>+K29+K33+K34+K35</f>
        <v>0</v>
      </c>
    </row>
    <row r="29" spans="1:11" s="312" customFormat="1" ht="12" customHeight="1" x14ac:dyDescent="0.2">
      <c r="A29" s="13" t="s">
        <v>213</v>
      </c>
      <c r="B29" s="342" t="s">
        <v>698</v>
      </c>
      <c r="C29" s="864">
        <v>324804247</v>
      </c>
      <c r="D29" s="861">
        <v>415654000</v>
      </c>
      <c r="E29" s="882">
        <f>SUM(E30:E32)</f>
        <v>292830000</v>
      </c>
      <c r="F29" s="883"/>
      <c r="G29" s="883"/>
      <c r="H29" s="563">
        <f>SUM(I29:K29)</f>
        <v>430000000</v>
      </c>
      <c r="I29" s="345">
        <f>SUM(I30:I31)</f>
        <v>430000000</v>
      </c>
      <c r="J29" s="345">
        <f t="shared" ref="J29:K29" si="1">SUM(J30:J31)</f>
        <v>0</v>
      </c>
      <c r="K29" s="345">
        <f t="shared" si="1"/>
        <v>0</v>
      </c>
    </row>
    <row r="30" spans="1:11" s="312" customFormat="1" ht="12" customHeight="1" x14ac:dyDescent="0.2">
      <c r="A30" s="12" t="s">
        <v>214</v>
      </c>
      <c r="B30" s="343" t="s">
        <v>219</v>
      </c>
      <c r="C30" s="864">
        <v>71369224</v>
      </c>
      <c r="D30" s="865">
        <v>82500000</v>
      </c>
      <c r="E30" s="870">
        <f>8990000+70000000</f>
        <v>78990000</v>
      </c>
      <c r="F30" s="871"/>
      <c r="G30" s="871"/>
      <c r="H30" s="353">
        <f t="shared" ref="H30:H34" si="2">SUM(I30:K30)</f>
        <v>89000000</v>
      </c>
      <c r="I30" s="122">
        <f>80000000+9000000</f>
        <v>89000000</v>
      </c>
      <c r="J30" s="136"/>
      <c r="K30" s="136"/>
    </row>
    <row r="31" spans="1:11" s="312" customFormat="1" ht="12" customHeight="1" x14ac:dyDescent="0.2">
      <c r="A31" s="12" t="s">
        <v>215</v>
      </c>
      <c r="B31" s="937" t="s">
        <v>697</v>
      </c>
      <c r="C31" s="864">
        <v>253435023</v>
      </c>
      <c r="D31" s="865">
        <v>333154000</v>
      </c>
      <c r="E31" s="870">
        <f>203840000+10000000</f>
        <v>213840000</v>
      </c>
      <c r="F31" s="871"/>
      <c r="G31" s="871"/>
      <c r="H31" s="352">
        <f t="shared" si="2"/>
        <v>341000000</v>
      </c>
      <c r="I31" s="122">
        <f>341000000</f>
        <v>341000000</v>
      </c>
      <c r="J31" s="136"/>
      <c r="K31" s="136"/>
    </row>
    <row r="32" spans="1:11" s="312" customFormat="1" ht="12" customHeight="1" x14ac:dyDescent="0.2">
      <c r="A32" s="12" t="s">
        <v>216</v>
      </c>
      <c r="B32" s="343" t="s">
        <v>549</v>
      </c>
      <c r="C32" s="864">
        <v>119318</v>
      </c>
      <c r="D32" s="865">
        <v>0</v>
      </c>
      <c r="E32" s="866"/>
      <c r="F32" s="867"/>
      <c r="G32" s="867"/>
      <c r="H32" s="352">
        <f t="shared" si="2"/>
        <v>0</v>
      </c>
      <c r="I32" s="292"/>
      <c r="J32" s="139"/>
      <c r="K32" s="139"/>
    </row>
    <row r="33" spans="1:11" s="312" customFormat="1" ht="12" customHeight="1" x14ac:dyDescent="0.2">
      <c r="A33" s="12" t="s">
        <v>550</v>
      </c>
      <c r="B33" s="343" t="s">
        <v>220</v>
      </c>
      <c r="C33" s="864">
        <v>26806717</v>
      </c>
      <c r="D33" s="865">
        <v>31000000</v>
      </c>
      <c r="E33" s="870">
        <f>27000000</f>
        <v>27000000</v>
      </c>
      <c r="F33" s="871"/>
      <c r="G33" s="871"/>
      <c r="H33" s="352">
        <f t="shared" si="2"/>
        <v>35000000</v>
      </c>
      <c r="I33" s="122">
        <f>35000000</f>
        <v>35000000</v>
      </c>
      <c r="J33" s="136"/>
      <c r="K33" s="136"/>
    </row>
    <row r="34" spans="1:11" s="312" customFormat="1" ht="12" customHeight="1" x14ac:dyDescent="0.2">
      <c r="A34" s="12" t="s">
        <v>218</v>
      </c>
      <c r="B34" s="343" t="s">
        <v>221</v>
      </c>
      <c r="C34" s="864">
        <v>12050</v>
      </c>
      <c r="D34" s="865">
        <v>4000</v>
      </c>
      <c r="E34" s="870">
        <v>4060000</v>
      </c>
      <c r="F34" s="871"/>
      <c r="G34" s="871"/>
      <c r="H34" s="352">
        <f t="shared" si="2"/>
        <v>0</v>
      </c>
      <c r="I34" s="122"/>
      <c r="J34" s="136"/>
      <c r="K34" s="136"/>
    </row>
    <row r="35" spans="1:11" s="312" customFormat="1" ht="12" customHeight="1" thickBot="1" x14ac:dyDescent="0.25">
      <c r="A35" s="14" t="s">
        <v>551</v>
      </c>
      <c r="B35" s="344" t="s">
        <v>222</v>
      </c>
      <c r="C35" s="868">
        <v>7430052</v>
      </c>
      <c r="D35" s="869">
        <v>16000000</v>
      </c>
      <c r="E35" s="875">
        <v>5500000</v>
      </c>
      <c r="F35" s="876"/>
      <c r="G35" s="876"/>
      <c r="H35" s="564">
        <f t="shared" si="0"/>
        <v>16500000</v>
      </c>
      <c r="I35" s="296">
        <f>6000000+4000000+2500000+500000+3500000</f>
        <v>16500000</v>
      </c>
      <c r="J35" s="202"/>
      <c r="K35" s="202"/>
    </row>
    <row r="36" spans="1:11" s="312" customFormat="1" ht="12" customHeight="1" thickBot="1" x14ac:dyDescent="0.25">
      <c r="A36" s="18" t="s">
        <v>26</v>
      </c>
      <c r="B36" s="540" t="s">
        <v>462</v>
      </c>
      <c r="C36" s="872">
        <v>420500148</v>
      </c>
      <c r="D36" s="858">
        <v>416970437</v>
      </c>
      <c r="E36" s="859">
        <f>SUM(E37:E47)</f>
        <v>54395907</v>
      </c>
      <c r="F36" s="858">
        <f>SUM(F37:F47)</f>
        <v>9416500</v>
      </c>
      <c r="G36" s="858">
        <f>SUM(G37:G47)</f>
        <v>385266178</v>
      </c>
      <c r="H36" s="135">
        <f t="shared" si="0"/>
        <v>341663172</v>
      </c>
      <c r="I36" s="311">
        <f>SUM(I37:I47)</f>
        <v>67360372</v>
      </c>
      <c r="J36" s="135">
        <f>SUM(J37:J47)</f>
        <v>8150828</v>
      </c>
      <c r="K36" s="135">
        <f>SUM(K37:K47)</f>
        <v>266151972</v>
      </c>
    </row>
    <row r="37" spans="1:11" s="312" customFormat="1" ht="12" customHeight="1" x14ac:dyDescent="0.2">
      <c r="A37" s="13" t="s">
        <v>95</v>
      </c>
      <c r="B37" s="342" t="s">
        <v>225</v>
      </c>
      <c r="C37" s="864">
        <v>14756313</v>
      </c>
      <c r="D37" s="861">
        <v>13289065</v>
      </c>
      <c r="E37" s="862">
        <f>3937000+4000000+5000000-2941522</f>
        <v>9995478</v>
      </c>
      <c r="F37" s="863"/>
      <c r="G37" s="863">
        <v>150000</v>
      </c>
      <c r="H37" s="563">
        <f t="shared" si="0"/>
        <v>17790706</v>
      </c>
      <c r="I37" s="315">
        <f>7385026+10000+10375680</f>
        <v>17770706</v>
      </c>
      <c r="J37" s="251"/>
      <c r="K37" s="251">
        <v>20000</v>
      </c>
    </row>
    <row r="38" spans="1:11" s="312" customFormat="1" ht="12" customHeight="1" x14ac:dyDescent="0.2">
      <c r="A38" s="12" t="s">
        <v>96</v>
      </c>
      <c r="B38" s="343" t="s">
        <v>226</v>
      </c>
      <c r="C38" s="864">
        <v>97064914</v>
      </c>
      <c r="D38" s="865">
        <v>77043172</v>
      </c>
      <c r="E38" s="866">
        <f>100000+12004000+160000+7128864</f>
        <v>19392864</v>
      </c>
      <c r="F38" s="867">
        <v>7533500</v>
      </c>
      <c r="G38" s="863">
        <v>68193838</v>
      </c>
      <c r="H38" s="1243">
        <f t="shared" si="0"/>
        <v>78137324</v>
      </c>
      <c r="I38" s="292">
        <f>15901900+787402+500000+101992</f>
        <v>17291294</v>
      </c>
      <c r="J38" s="139">
        <f>4000000+1241400+372638</f>
        <v>5614038</v>
      </c>
      <c r="K38" s="251">
        <f>32107480+8820000+616000+13688512</f>
        <v>55231992</v>
      </c>
    </row>
    <row r="39" spans="1:11" s="312" customFormat="1" ht="12" customHeight="1" x14ac:dyDescent="0.2">
      <c r="A39" s="12" t="s">
        <v>97</v>
      </c>
      <c r="B39" s="343" t="s">
        <v>227</v>
      </c>
      <c r="C39" s="864">
        <v>72323829</v>
      </c>
      <c r="D39" s="865">
        <v>80011504</v>
      </c>
      <c r="E39" s="866">
        <f>8458000+947000</f>
        <v>9405000</v>
      </c>
      <c r="F39" s="867">
        <v>500000</v>
      </c>
      <c r="G39" s="863">
        <v>85718340</v>
      </c>
      <c r="H39" s="353">
        <f t="shared" ref="H39:H89" si="3">SUM(I39:K39)</f>
        <v>27665692</v>
      </c>
      <c r="I39" s="292">
        <f>20000+6000000+700000+1000000+1109692</f>
        <v>8829692</v>
      </c>
      <c r="J39" s="139">
        <f>300000</f>
        <v>300000</v>
      </c>
      <c r="K39" s="251">
        <f>1586000+50000+4200000+12700000</f>
        <v>18536000</v>
      </c>
    </row>
    <row r="40" spans="1:11" s="312" customFormat="1" ht="12" customHeight="1" x14ac:dyDescent="0.2">
      <c r="A40" s="12" t="s">
        <v>143</v>
      </c>
      <c r="B40" s="343" t="s">
        <v>228</v>
      </c>
      <c r="C40" s="864">
        <v>875976</v>
      </c>
      <c r="D40" s="865">
        <v>430000</v>
      </c>
      <c r="E40" s="866">
        <f>430000</f>
        <v>430000</v>
      </c>
      <c r="F40" s="867"/>
      <c r="G40" s="863"/>
      <c r="H40" s="353">
        <f t="shared" si="3"/>
        <v>740000</v>
      </c>
      <c r="I40" s="292">
        <f>440000+300000</f>
        <v>740000</v>
      </c>
      <c r="J40" s="139"/>
      <c r="K40" s="251"/>
    </row>
    <row r="41" spans="1:11" s="312" customFormat="1" ht="12" customHeight="1" x14ac:dyDescent="0.2">
      <c r="A41" s="12" t="s">
        <v>144</v>
      </c>
      <c r="B41" s="343" t="s">
        <v>229</v>
      </c>
      <c r="C41" s="864">
        <v>170046831</v>
      </c>
      <c r="D41" s="865">
        <v>175085653</v>
      </c>
      <c r="E41" s="866"/>
      <c r="F41" s="867"/>
      <c r="G41" s="863">
        <f>182811402-4572000</f>
        <v>178239402</v>
      </c>
      <c r="H41" s="353">
        <f t="shared" si="3"/>
        <v>171606721</v>
      </c>
      <c r="I41" s="292"/>
      <c r="J41" s="139"/>
      <c r="K41" s="251">
        <f>17535396+708995+862330+152500000</f>
        <v>171606721</v>
      </c>
    </row>
    <row r="42" spans="1:11" s="312" customFormat="1" ht="12" customHeight="1" x14ac:dyDescent="0.2">
      <c r="A42" s="12" t="s">
        <v>145</v>
      </c>
      <c r="B42" s="343" t="s">
        <v>230</v>
      </c>
      <c r="C42" s="864">
        <v>42697431</v>
      </c>
      <c r="D42" s="865">
        <v>41947455</v>
      </c>
      <c r="E42" s="866">
        <f>1063000+3242000+5853000+44000+378000+600000+1350000+1408565</f>
        <v>13938565</v>
      </c>
      <c r="F42" s="867">
        <v>1283000</v>
      </c>
      <c r="G42" s="863">
        <v>31920598</v>
      </c>
      <c r="H42" s="1243">
        <f t="shared" si="3"/>
        <v>31671064</v>
      </c>
      <c r="I42" s="292">
        <f>5400+1993957+12052638+212598+189000+2801434+333450+135000+27538</f>
        <v>17751015</v>
      </c>
      <c r="J42" s="139">
        <f>1161000+335178+100612</f>
        <v>1596790</v>
      </c>
      <c r="K42" s="251">
        <f>4914377+191429+869400+1533149+4814904</f>
        <v>12323259</v>
      </c>
    </row>
    <row r="43" spans="1:11" s="312" customFormat="1" ht="12" customHeight="1" x14ac:dyDescent="0.2">
      <c r="A43" s="12" t="s">
        <v>146</v>
      </c>
      <c r="B43" s="343" t="s">
        <v>231</v>
      </c>
      <c r="C43" s="864">
        <v>17615000</v>
      </c>
      <c r="D43" s="865">
        <v>18210000</v>
      </c>
      <c r="E43" s="866"/>
      <c r="F43" s="867"/>
      <c r="G43" s="863">
        <v>21034000</v>
      </c>
      <c r="H43" s="353">
        <f t="shared" si="3"/>
        <v>8433000</v>
      </c>
      <c r="I43" s="292"/>
      <c r="J43" s="139"/>
      <c r="K43" s="251">
        <f>7614000+650000+169000</f>
        <v>8433000</v>
      </c>
    </row>
    <row r="44" spans="1:11" s="312" customFormat="1" ht="12" customHeight="1" x14ac:dyDescent="0.2">
      <c r="A44" s="12" t="s">
        <v>147</v>
      </c>
      <c r="B44" s="343" t="s">
        <v>566</v>
      </c>
      <c r="C44" s="864">
        <v>147121</v>
      </c>
      <c r="D44" s="865">
        <v>31000</v>
      </c>
      <c r="E44" s="866">
        <v>30000</v>
      </c>
      <c r="F44" s="867"/>
      <c r="G44" s="863">
        <v>10000</v>
      </c>
      <c r="H44" s="353">
        <f t="shared" si="3"/>
        <v>0</v>
      </c>
      <c r="I44" s="292"/>
      <c r="J44" s="139"/>
      <c r="K44" s="251"/>
    </row>
    <row r="45" spans="1:11" s="312" customFormat="1" ht="12" customHeight="1" x14ac:dyDescent="0.2">
      <c r="A45" s="12" t="s">
        <v>223</v>
      </c>
      <c r="B45" s="343" t="s">
        <v>233</v>
      </c>
      <c r="C45" s="864">
        <v>22033</v>
      </c>
      <c r="D45" s="865">
        <v>0</v>
      </c>
      <c r="E45" s="866"/>
      <c r="F45" s="867"/>
      <c r="G45" s="863"/>
      <c r="H45" s="353">
        <f t="shared" si="3"/>
        <v>0</v>
      </c>
      <c r="I45" s="292"/>
      <c r="J45" s="139"/>
      <c r="K45" s="251"/>
    </row>
    <row r="46" spans="1:11" s="312" customFormat="1" ht="12" customHeight="1" x14ac:dyDescent="0.2">
      <c r="A46" s="14" t="s">
        <v>224</v>
      </c>
      <c r="B46" s="344" t="s">
        <v>463</v>
      </c>
      <c r="C46" s="864">
        <v>722335</v>
      </c>
      <c r="D46" s="865">
        <v>500000</v>
      </c>
      <c r="E46" s="875">
        <f>500000</f>
        <v>500000</v>
      </c>
      <c r="F46" s="876"/>
      <c r="G46" s="863"/>
      <c r="H46" s="353">
        <f t="shared" si="3"/>
        <v>500000</v>
      </c>
      <c r="I46" s="296">
        <f>500000</f>
        <v>500000</v>
      </c>
      <c r="J46" s="202"/>
      <c r="K46" s="251"/>
    </row>
    <row r="47" spans="1:11" s="312" customFormat="1" ht="12" customHeight="1" thickBot="1" x14ac:dyDescent="0.25">
      <c r="A47" s="14" t="s">
        <v>464</v>
      </c>
      <c r="B47" s="542" t="s">
        <v>234</v>
      </c>
      <c r="C47" s="868">
        <v>4228365</v>
      </c>
      <c r="D47" s="869">
        <v>10422588</v>
      </c>
      <c r="E47" s="875">
        <f>704000</f>
        <v>704000</v>
      </c>
      <c r="F47" s="876">
        <v>100000</v>
      </c>
      <c r="G47" s="863"/>
      <c r="H47" s="1244">
        <f t="shared" si="3"/>
        <v>5118665</v>
      </c>
      <c r="I47" s="296">
        <f>507601+335000+700000+2935064</f>
        <v>4477665</v>
      </c>
      <c r="J47" s="202">
        <f>640000</f>
        <v>640000</v>
      </c>
      <c r="K47" s="251">
        <v>1000</v>
      </c>
    </row>
    <row r="48" spans="1:11" s="312" customFormat="1" ht="12" customHeight="1" thickBot="1" x14ac:dyDescent="0.25">
      <c r="A48" s="18" t="s">
        <v>27</v>
      </c>
      <c r="B48" s="540" t="s">
        <v>235</v>
      </c>
      <c r="C48" s="872">
        <v>31376724</v>
      </c>
      <c r="D48" s="858">
        <v>30332500</v>
      </c>
      <c r="E48" s="859">
        <f>SUM(E49:E53)</f>
        <v>25179000</v>
      </c>
      <c r="F48" s="858">
        <f>SUM(F49:F53)</f>
        <v>0</v>
      </c>
      <c r="G48" s="858">
        <f>SUM(G49:G53)</f>
        <v>0</v>
      </c>
      <c r="H48" s="135">
        <f t="shared" si="3"/>
        <v>22087500</v>
      </c>
      <c r="I48" s="311">
        <f>SUM(I49:I53)</f>
        <v>21787500</v>
      </c>
      <c r="J48" s="135">
        <f>SUM(J49:J53)</f>
        <v>300000</v>
      </c>
      <c r="K48" s="135">
        <f>SUM(K49:K53)</f>
        <v>0</v>
      </c>
    </row>
    <row r="49" spans="1:11" s="312" customFormat="1" ht="12" customHeight="1" x14ac:dyDescent="0.2">
      <c r="A49" s="13" t="s">
        <v>98</v>
      </c>
      <c r="B49" s="342" t="s">
        <v>239</v>
      </c>
      <c r="C49" s="864"/>
      <c r="D49" s="884">
        <v>0</v>
      </c>
      <c r="E49" s="862"/>
      <c r="F49" s="863"/>
      <c r="G49" s="863"/>
      <c r="H49" s="565">
        <f t="shared" si="3"/>
        <v>0</v>
      </c>
      <c r="I49" s="315"/>
      <c r="J49" s="251"/>
      <c r="K49" s="251"/>
    </row>
    <row r="50" spans="1:11" s="312" customFormat="1" ht="12" customHeight="1" x14ac:dyDescent="0.2">
      <c r="A50" s="12" t="s">
        <v>99</v>
      </c>
      <c r="B50" s="343" t="s">
        <v>240</v>
      </c>
      <c r="C50" s="864">
        <v>31018499</v>
      </c>
      <c r="D50" s="865">
        <v>30332500</v>
      </c>
      <c r="E50" s="866">
        <f>25179000</f>
        <v>25179000</v>
      </c>
      <c r="F50" s="867"/>
      <c r="G50" s="867"/>
      <c r="H50" s="353">
        <f t="shared" si="3"/>
        <v>21787500</v>
      </c>
      <c r="I50" s="292">
        <f>21787500</f>
        <v>21787500</v>
      </c>
      <c r="J50" s="139"/>
      <c r="K50" s="139"/>
    </row>
    <row r="51" spans="1:11" s="312" customFormat="1" ht="12" customHeight="1" x14ac:dyDescent="0.2">
      <c r="A51" s="12" t="s">
        <v>236</v>
      </c>
      <c r="B51" s="343" t="s">
        <v>241</v>
      </c>
      <c r="C51" s="864">
        <v>253700</v>
      </c>
      <c r="D51" s="865">
        <v>0</v>
      </c>
      <c r="E51" s="866"/>
      <c r="F51" s="867"/>
      <c r="G51" s="867"/>
      <c r="H51" s="353">
        <f t="shared" si="3"/>
        <v>300000</v>
      </c>
      <c r="I51" s="292"/>
      <c r="J51" s="139">
        <f>300000</f>
        <v>300000</v>
      </c>
      <c r="K51" s="139"/>
    </row>
    <row r="52" spans="1:11" s="312" customFormat="1" ht="12" customHeight="1" x14ac:dyDescent="0.2">
      <c r="A52" s="12" t="s">
        <v>237</v>
      </c>
      <c r="B52" s="343" t="s">
        <v>242</v>
      </c>
      <c r="C52" s="864">
        <v>100000</v>
      </c>
      <c r="D52" s="865">
        <v>0</v>
      </c>
      <c r="E52" s="866"/>
      <c r="F52" s="867"/>
      <c r="G52" s="867"/>
      <c r="H52" s="353">
        <f t="shared" si="3"/>
        <v>0</v>
      </c>
      <c r="I52" s="292"/>
      <c r="J52" s="139"/>
      <c r="K52" s="139"/>
    </row>
    <row r="53" spans="1:11" s="312" customFormat="1" ht="12" customHeight="1" thickBot="1" x14ac:dyDescent="0.25">
      <c r="A53" s="14" t="s">
        <v>238</v>
      </c>
      <c r="B53" s="542" t="s">
        <v>243</v>
      </c>
      <c r="C53" s="868">
        <v>4525</v>
      </c>
      <c r="D53" s="885">
        <v>0</v>
      </c>
      <c r="E53" s="875"/>
      <c r="F53" s="876"/>
      <c r="G53" s="876"/>
      <c r="H53" s="567">
        <f t="shared" si="3"/>
        <v>0</v>
      </c>
      <c r="I53" s="296"/>
      <c r="J53" s="202"/>
      <c r="K53" s="202"/>
    </row>
    <row r="54" spans="1:11" s="312" customFormat="1" ht="12" customHeight="1" thickBot="1" x14ac:dyDescent="0.25">
      <c r="A54" s="18" t="s">
        <v>148</v>
      </c>
      <c r="B54" s="540" t="s">
        <v>244</v>
      </c>
      <c r="C54" s="872">
        <v>21824515</v>
      </c>
      <c r="D54" s="886">
        <v>5224000</v>
      </c>
      <c r="E54" s="859">
        <f>SUM(E55:E57)</f>
        <v>6164433</v>
      </c>
      <c r="F54" s="858">
        <f>SUM(F55:F57)</f>
        <v>0</v>
      </c>
      <c r="G54" s="858">
        <f>SUM(G55:G57)</f>
        <v>0</v>
      </c>
      <c r="H54" s="341">
        <f t="shared" si="3"/>
        <v>2182700</v>
      </c>
      <c r="I54" s="311">
        <f>SUM(I55:I57)</f>
        <v>2182700</v>
      </c>
      <c r="J54" s="135">
        <f>SUM(J55:J57)</f>
        <v>0</v>
      </c>
      <c r="K54" s="135">
        <f>SUM(K55:K57)</f>
        <v>0</v>
      </c>
    </row>
    <row r="55" spans="1:11" s="312" customFormat="1" ht="12" customHeight="1" x14ac:dyDescent="0.2">
      <c r="A55" s="13" t="s">
        <v>100</v>
      </c>
      <c r="B55" s="342" t="s">
        <v>245</v>
      </c>
      <c r="C55" s="864"/>
      <c r="D55" s="887">
        <v>0</v>
      </c>
      <c r="E55" s="873"/>
      <c r="F55" s="874"/>
      <c r="G55" s="874"/>
      <c r="H55" s="568">
        <f t="shared" si="3"/>
        <v>0</v>
      </c>
      <c r="I55" s="313"/>
      <c r="J55" s="137"/>
      <c r="K55" s="137"/>
    </row>
    <row r="56" spans="1:11" s="312" customFormat="1" ht="12" customHeight="1" x14ac:dyDescent="0.2">
      <c r="A56" s="12" t="s">
        <v>101</v>
      </c>
      <c r="B56" s="343" t="s">
        <v>376</v>
      </c>
      <c r="C56" s="864">
        <v>18383349</v>
      </c>
      <c r="D56" s="865">
        <v>1866000</v>
      </c>
      <c r="E56" s="866">
        <f>383000+1566000</f>
        <v>1949000</v>
      </c>
      <c r="F56" s="867"/>
      <c r="G56" s="867"/>
      <c r="H56" s="353">
        <f t="shared" si="3"/>
        <v>480000</v>
      </c>
      <c r="I56" s="292">
        <f>480000</f>
        <v>480000</v>
      </c>
      <c r="J56" s="139"/>
      <c r="K56" s="139"/>
    </row>
    <row r="57" spans="1:11" s="312" customFormat="1" ht="12" customHeight="1" x14ac:dyDescent="0.2">
      <c r="A57" s="12" t="s">
        <v>248</v>
      </c>
      <c r="B57" s="343" t="s">
        <v>246</v>
      </c>
      <c r="C57" s="864">
        <v>3441166</v>
      </c>
      <c r="D57" s="865">
        <v>3358000</v>
      </c>
      <c r="E57" s="866">
        <f>4075000+140433</f>
        <v>4215433</v>
      </c>
      <c r="F57" s="867"/>
      <c r="G57" s="867"/>
      <c r="H57" s="1243">
        <f t="shared" si="3"/>
        <v>1702700</v>
      </c>
      <c r="I57" s="292">
        <f>950000+752700</f>
        <v>1702700</v>
      </c>
      <c r="J57" s="139"/>
      <c r="K57" s="139"/>
    </row>
    <row r="58" spans="1:11" s="312" customFormat="1" ht="12" customHeight="1" thickBot="1" x14ac:dyDescent="0.25">
      <c r="A58" s="14" t="s">
        <v>249</v>
      </c>
      <c r="B58" s="542" t="s">
        <v>247</v>
      </c>
      <c r="C58" s="868"/>
      <c r="D58" s="869">
        <v>0</v>
      </c>
      <c r="E58" s="888"/>
      <c r="F58" s="889"/>
      <c r="G58" s="889"/>
      <c r="H58" s="564">
        <f t="shared" si="3"/>
        <v>0</v>
      </c>
      <c r="I58" s="123"/>
      <c r="J58" s="138"/>
      <c r="K58" s="138"/>
    </row>
    <row r="59" spans="1:11" s="312" customFormat="1" ht="12" customHeight="1" thickBot="1" x14ac:dyDescent="0.25">
      <c r="A59" s="18" t="s">
        <v>29</v>
      </c>
      <c r="B59" s="543" t="s">
        <v>250</v>
      </c>
      <c r="C59" s="872">
        <v>1000000</v>
      </c>
      <c r="D59" s="858">
        <v>0</v>
      </c>
      <c r="E59" s="859">
        <f>SUM(E60:E62)</f>
        <v>0</v>
      </c>
      <c r="F59" s="858">
        <f>SUM(F60:F62)</f>
        <v>0</v>
      </c>
      <c r="G59" s="858">
        <f>SUM(G60:G62)</f>
        <v>0</v>
      </c>
      <c r="H59" s="135">
        <f t="shared" si="3"/>
        <v>0</v>
      </c>
      <c r="I59" s="311">
        <f>SUM(I60:I62)</f>
        <v>0</v>
      </c>
      <c r="J59" s="135">
        <f>SUM(J60:J62)</f>
        <v>0</v>
      </c>
      <c r="K59" s="135">
        <f>SUM(K60:K62)</f>
        <v>0</v>
      </c>
    </row>
    <row r="60" spans="1:11" s="312" customFormat="1" ht="12" customHeight="1" x14ac:dyDescent="0.2">
      <c r="A60" s="13" t="s">
        <v>149</v>
      </c>
      <c r="B60" s="342" t="s">
        <v>252</v>
      </c>
      <c r="C60" s="864"/>
      <c r="D60" s="884">
        <v>0</v>
      </c>
      <c r="E60" s="866"/>
      <c r="F60" s="867"/>
      <c r="G60" s="867"/>
      <c r="H60" s="565">
        <f t="shared" si="3"/>
        <v>0</v>
      </c>
      <c r="I60" s="292"/>
      <c r="J60" s="139"/>
      <c r="K60" s="139"/>
    </row>
    <row r="61" spans="1:11" s="312" customFormat="1" ht="12" customHeight="1" x14ac:dyDescent="0.2">
      <c r="A61" s="12" t="s">
        <v>150</v>
      </c>
      <c r="B61" s="343" t="s">
        <v>377</v>
      </c>
      <c r="C61" s="864"/>
      <c r="D61" s="879">
        <v>0</v>
      </c>
      <c r="E61" s="866"/>
      <c r="F61" s="867"/>
      <c r="G61" s="867"/>
      <c r="H61" s="566">
        <f t="shared" si="3"/>
        <v>0</v>
      </c>
      <c r="I61" s="292"/>
      <c r="J61" s="139"/>
      <c r="K61" s="139"/>
    </row>
    <row r="62" spans="1:11" s="312" customFormat="1" ht="12" customHeight="1" x14ac:dyDescent="0.2">
      <c r="A62" s="12" t="s">
        <v>176</v>
      </c>
      <c r="B62" s="343" t="s">
        <v>253</v>
      </c>
      <c r="C62" s="864">
        <v>1000000</v>
      </c>
      <c r="D62" s="879">
        <v>0</v>
      </c>
      <c r="E62" s="866"/>
      <c r="F62" s="867"/>
      <c r="G62" s="867"/>
      <c r="H62" s="566">
        <f t="shared" si="3"/>
        <v>0</v>
      </c>
      <c r="I62" s="292"/>
      <c r="J62" s="139"/>
      <c r="K62" s="139"/>
    </row>
    <row r="63" spans="1:11" s="312" customFormat="1" ht="12" customHeight="1" thickBot="1" x14ac:dyDescent="0.25">
      <c r="A63" s="14" t="s">
        <v>251</v>
      </c>
      <c r="B63" s="542" t="s">
        <v>254</v>
      </c>
      <c r="C63" s="868"/>
      <c r="D63" s="885">
        <v>0</v>
      </c>
      <c r="E63" s="866"/>
      <c r="F63" s="867"/>
      <c r="G63" s="867"/>
      <c r="H63" s="567">
        <f t="shared" si="3"/>
        <v>0</v>
      </c>
      <c r="I63" s="292"/>
      <c r="J63" s="139"/>
      <c r="K63" s="139"/>
    </row>
    <row r="64" spans="1:11" s="312" customFormat="1" ht="12" customHeight="1" thickBot="1" x14ac:dyDescent="0.25">
      <c r="A64" s="275" t="s">
        <v>465</v>
      </c>
      <c r="B64" s="540" t="s">
        <v>255</v>
      </c>
      <c r="C64" s="886">
        <v>2818913246</v>
      </c>
      <c r="D64" s="858">
        <v>2561157633</v>
      </c>
      <c r="E64" s="880">
        <f>+E7+E14+E21+E28+E36+E48+E54+E59</f>
        <v>1391439714</v>
      </c>
      <c r="F64" s="881">
        <f>+F7+F14+F21+F28+F36+F48+F54+F59</f>
        <v>9416500</v>
      </c>
      <c r="G64" s="881">
        <f>+G7+G14+G21+G28+G36+G48+G54+G59</f>
        <v>390751178</v>
      </c>
      <c r="H64" s="135">
        <f t="shared" si="3"/>
        <v>2705718272</v>
      </c>
      <c r="I64" s="314">
        <f>+I7+I14+I21+I28+I36+I48+I54+I59</f>
        <v>2408360529</v>
      </c>
      <c r="J64" s="140">
        <f>+J7+J14+J21+J28+J36+J48+J54+J59</f>
        <v>8450828</v>
      </c>
      <c r="K64" s="140">
        <f>+K7+K14+K21+K28+K36+K48+K54+K59</f>
        <v>288906915</v>
      </c>
    </row>
    <row r="65" spans="1:11" s="312" customFormat="1" ht="12" customHeight="1" thickBot="1" x14ac:dyDescent="0.25">
      <c r="A65" s="276" t="s">
        <v>256</v>
      </c>
      <c r="B65" s="543" t="s">
        <v>567</v>
      </c>
      <c r="C65" s="886">
        <v>23966616</v>
      </c>
      <c r="D65" s="858">
        <v>212343590</v>
      </c>
      <c r="E65" s="859">
        <f>SUM(E66:E68)</f>
        <v>144100000</v>
      </c>
      <c r="F65" s="858">
        <f>SUM(F66:F68)</f>
        <v>0</v>
      </c>
      <c r="G65" s="858">
        <f>SUM(G66:G68)</f>
        <v>0</v>
      </c>
      <c r="H65" s="135">
        <f t="shared" si="3"/>
        <v>169269106</v>
      </c>
      <c r="I65" s="311">
        <f>SUM(I66:I68)</f>
        <v>169269106</v>
      </c>
      <c r="J65" s="135">
        <f>SUM(J66:J68)</f>
        <v>0</v>
      </c>
      <c r="K65" s="135">
        <f>SUM(K66:K68)</f>
        <v>0</v>
      </c>
    </row>
    <row r="66" spans="1:11" s="312" customFormat="1" ht="12" customHeight="1" x14ac:dyDescent="0.2">
      <c r="A66" s="13" t="s">
        <v>288</v>
      </c>
      <c r="B66" s="342" t="s">
        <v>258</v>
      </c>
      <c r="C66" s="864">
        <v>23966616</v>
      </c>
      <c r="D66" s="861">
        <v>112343590</v>
      </c>
      <c r="E66" s="866">
        <v>44100000</v>
      </c>
      <c r="F66" s="867"/>
      <c r="G66" s="867"/>
      <c r="H66" s="563">
        <f t="shared" si="3"/>
        <v>69269106</v>
      </c>
      <c r="I66" s="292">
        <f>69269106</f>
        <v>69269106</v>
      </c>
      <c r="J66" s="139"/>
      <c r="K66" s="139"/>
    </row>
    <row r="67" spans="1:11" s="312" customFormat="1" ht="12" customHeight="1" x14ac:dyDescent="0.2">
      <c r="A67" s="12" t="s">
        <v>297</v>
      </c>
      <c r="B67" s="343" t="s">
        <v>259</v>
      </c>
      <c r="C67" s="864"/>
      <c r="D67" s="865">
        <v>100000000</v>
      </c>
      <c r="E67" s="866">
        <v>100000000</v>
      </c>
      <c r="F67" s="867"/>
      <c r="G67" s="867"/>
      <c r="H67" s="353">
        <f t="shared" si="3"/>
        <v>100000000</v>
      </c>
      <c r="I67" s="292">
        <v>100000000</v>
      </c>
      <c r="J67" s="139"/>
      <c r="K67" s="139"/>
    </row>
    <row r="68" spans="1:11" s="312" customFormat="1" ht="12" customHeight="1" thickBot="1" x14ac:dyDescent="0.25">
      <c r="A68" s="14" t="s">
        <v>298</v>
      </c>
      <c r="B68" s="544" t="s">
        <v>466</v>
      </c>
      <c r="C68" s="868"/>
      <c r="D68" s="885">
        <v>0</v>
      </c>
      <c r="E68" s="866"/>
      <c r="F68" s="867"/>
      <c r="G68" s="867"/>
      <c r="H68" s="567">
        <f t="shared" si="3"/>
        <v>0</v>
      </c>
      <c r="I68" s="292"/>
      <c r="J68" s="139"/>
      <c r="K68" s="139"/>
    </row>
    <row r="69" spans="1:11" s="312" customFormat="1" ht="12" customHeight="1" thickBot="1" x14ac:dyDescent="0.25">
      <c r="A69" s="276" t="s">
        <v>261</v>
      </c>
      <c r="B69" s="543" t="s">
        <v>262</v>
      </c>
      <c r="C69" s="929">
        <v>0</v>
      </c>
      <c r="D69" s="858">
        <v>0</v>
      </c>
      <c r="E69" s="859">
        <f>SUM(E70:E73)</f>
        <v>0</v>
      </c>
      <c r="F69" s="858">
        <f>SUM(F70:F73)</f>
        <v>0</v>
      </c>
      <c r="G69" s="858">
        <f>SUM(G70:G73)</f>
        <v>0</v>
      </c>
      <c r="H69" s="135">
        <f t="shared" si="3"/>
        <v>0</v>
      </c>
      <c r="I69" s="311">
        <f>SUM(I70:I73)</f>
        <v>0</v>
      </c>
      <c r="J69" s="135">
        <f>SUM(J70:J73)</f>
        <v>0</v>
      </c>
      <c r="K69" s="135">
        <f>SUM(K70:K73)</f>
        <v>0</v>
      </c>
    </row>
    <row r="70" spans="1:11" s="312" customFormat="1" ht="12" customHeight="1" x14ac:dyDescent="0.2">
      <c r="A70" s="13" t="s">
        <v>129</v>
      </c>
      <c r="B70" s="342" t="s">
        <v>263</v>
      </c>
      <c r="C70" s="864"/>
      <c r="D70" s="884">
        <v>0</v>
      </c>
      <c r="E70" s="866"/>
      <c r="F70" s="867"/>
      <c r="G70" s="867"/>
      <c r="H70" s="565">
        <f t="shared" si="3"/>
        <v>0</v>
      </c>
      <c r="I70" s="292"/>
      <c r="J70" s="139"/>
      <c r="K70" s="139"/>
    </row>
    <row r="71" spans="1:11" s="312" customFormat="1" ht="17.25" customHeight="1" x14ac:dyDescent="0.2">
      <c r="A71" s="12" t="s">
        <v>130</v>
      </c>
      <c r="B71" s="343" t="s">
        <v>264</v>
      </c>
      <c r="C71" s="864"/>
      <c r="D71" s="879">
        <v>0</v>
      </c>
      <c r="E71" s="866"/>
      <c r="F71" s="867"/>
      <c r="G71" s="867"/>
      <c r="H71" s="566">
        <f t="shared" si="3"/>
        <v>0</v>
      </c>
      <c r="I71" s="292"/>
      <c r="J71" s="139"/>
      <c r="K71" s="139"/>
    </row>
    <row r="72" spans="1:11" s="312" customFormat="1" ht="12" customHeight="1" x14ac:dyDescent="0.2">
      <c r="A72" s="12" t="s">
        <v>289</v>
      </c>
      <c r="B72" s="343" t="s">
        <v>265</v>
      </c>
      <c r="C72" s="864"/>
      <c r="D72" s="879">
        <v>0</v>
      </c>
      <c r="E72" s="866"/>
      <c r="F72" s="867"/>
      <c r="G72" s="867"/>
      <c r="H72" s="566">
        <f t="shared" si="3"/>
        <v>0</v>
      </c>
      <c r="I72" s="292"/>
      <c r="J72" s="139"/>
      <c r="K72" s="139"/>
    </row>
    <row r="73" spans="1:11" s="312" customFormat="1" ht="12" customHeight="1" thickBot="1" x14ac:dyDescent="0.25">
      <c r="A73" s="14" t="s">
        <v>290</v>
      </c>
      <c r="B73" s="542" t="s">
        <v>266</v>
      </c>
      <c r="C73" s="868"/>
      <c r="D73" s="885">
        <v>0</v>
      </c>
      <c r="E73" s="866"/>
      <c r="F73" s="867"/>
      <c r="G73" s="867"/>
      <c r="H73" s="567">
        <f t="shared" si="3"/>
        <v>0</v>
      </c>
      <c r="I73" s="292"/>
      <c r="J73" s="139"/>
      <c r="K73" s="139"/>
    </row>
    <row r="74" spans="1:11" s="312" customFormat="1" ht="12" customHeight="1" thickBot="1" x14ac:dyDescent="0.25">
      <c r="A74" s="276" t="s">
        <v>267</v>
      </c>
      <c r="B74" s="543" t="s">
        <v>268</v>
      </c>
      <c r="C74" s="886">
        <v>292999415</v>
      </c>
      <c r="D74" s="858">
        <v>620677200</v>
      </c>
      <c r="E74" s="859">
        <f>SUM(E75:E76)</f>
        <v>289331423</v>
      </c>
      <c r="F74" s="858">
        <f>SUM(F75:F76)</f>
        <v>447404</v>
      </c>
      <c r="G74" s="858">
        <f>SUM(G75:G76)</f>
        <v>3220588</v>
      </c>
      <c r="H74" s="135">
        <f t="shared" si="3"/>
        <v>364667600</v>
      </c>
      <c r="I74" s="311">
        <f>SUM(I75:I76)</f>
        <v>346583469</v>
      </c>
      <c r="J74" s="135">
        <f>SUM(J75:J76)</f>
        <v>829764</v>
      </c>
      <c r="K74" s="135">
        <f>SUM(K75:K76)</f>
        <v>17254367</v>
      </c>
    </row>
    <row r="75" spans="1:11" s="312" customFormat="1" ht="12" customHeight="1" x14ac:dyDescent="0.2">
      <c r="A75" s="13" t="s">
        <v>291</v>
      </c>
      <c r="B75" s="342" t="s">
        <v>269</v>
      </c>
      <c r="C75" s="864">
        <v>292999415</v>
      </c>
      <c r="D75" s="861">
        <v>620677200</v>
      </c>
      <c r="E75" s="866">
        <v>289331423</v>
      </c>
      <c r="F75" s="867">
        <v>447404</v>
      </c>
      <c r="G75" s="867">
        <v>3220588</v>
      </c>
      <c r="H75" s="563">
        <f t="shared" si="3"/>
        <v>364667600</v>
      </c>
      <c r="I75" s="292">
        <f>346583469</f>
        <v>346583469</v>
      </c>
      <c r="J75" s="139">
        <f>829764</f>
        <v>829764</v>
      </c>
      <c r="K75" s="139">
        <f>1550858+372804+435258+1054835+13840612</f>
        <v>17254367</v>
      </c>
    </row>
    <row r="76" spans="1:11" s="312" customFormat="1" ht="12" customHeight="1" thickBot="1" x14ac:dyDescent="0.25">
      <c r="A76" s="14" t="s">
        <v>292</v>
      </c>
      <c r="B76" s="542" t="s">
        <v>270</v>
      </c>
      <c r="C76" s="868"/>
      <c r="D76" s="885">
        <v>0</v>
      </c>
      <c r="E76" s="866"/>
      <c r="F76" s="867"/>
      <c r="G76" s="867"/>
      <c r="H76" s="567">
        <f t="shared" si="3"/>
        <v>0</v>
      </c>
      <c r="I76" s="292"/>
      <c r="J76" s="139"/>
      <c r="K76" s="139"/>
    </row>
    <row r="77" spans="1:11" s="312" customFormat="1" ht="12" customHeight="1" thickBot="1" x14ac:dyDescent="0.25">
      <c r="A77" s="276" t="s">
        <v>271</v>
      </c>
      <c r="B77" s="543" t="s">
        <v>272</v>
      </c>
      <c r="C77" s="891">
        <v>38167591</v>
      </c>
      <c r="D77" s="858">
        <v>0</v>
      </c>
      <c r="E77" s="859">
        <f>SUM(E78:E80)</f>
        <v>0</v>
      </c>
      <c r="F77" s="858">
        <f>SUM(F78:F80)</f>
        <v>0</v>
      </c>
      <c r="G77" s="858">
        <f>SUM(G78:G80)</f>
        <v>0</v>
      </c>
      <c r="H77" s="135">
        <f t="shared" si="3"/>
        <v>0</v>
      </c>
      <c r="I77" s="311">
        <f>SUM(I78:I80)</f>
        <v>0</v>
      </c>
      <c r="J77" s="135">
        <f>SUM(J78:J80)</f>
        <v>0</v>
      </c>
      <c r="K77" s="135">
        <f>SUM(K78:K80)</f>
        <v>0</v>
      </c>
    </row>
    <row r="78" spans="1:11" s="312" customFormat="1" ht="12" customHeight="1" x14ac:dyDescent="0.2">
      <c r="A78" s="13" t="s">
        <v>293</v>
      </c>
      <c r="B78" s="342" t="s">
        <v>273</v>
      </c>
      <c r="C78" s="864">
        <v>38167591</v>
      </c>
      <c r="D78" s="884">
        <v>0</v>
      </c>
      <c r="E78" s="866"/>
      <c r="F78" s="867"/>
      <c r="G78" s="867"/>
      <c r="H78" s="565">
        <f t="shared" si="3"/>
        <v>0</v>
      </c>
      <c r="I78" s="292"/>
      <c r="J78" s="139"/>
      <c r="K78" s="139"/>
    </row>
    <row r="79" spans="1:11" s="312" customFormat="1" ht="12" customHeight="1" x14ac:dyDescent="0.2">
      <c r="A79" s="12" t="s">
        <v>294</v>
      </c>
      <c r="B79" s="343" t="s">
        <v>274</v>
      </c>
      <c r="C79" s="864"/>
      <c r="D79" s="879">
        <v>0</v>
      </c>
      <c r="E79" s="866"/>
      <c r="F79" s="867"/>
      <c r="G79" s="867"/>
      <c r="H79" s="566">
        <f t="shared" si="3"/>
        <v>0</v>
      </c>
      <c r="I79" s="292"/>
      <c r="J79" s="139"/>
      <c r="K79" s="139"/>
    </row>
    <row r="80" spans="1:11" s="312" customFormat="1" ht="12" customHeight="1" thickBot="1" x14ac:dyDescent="0.25">
      <c r="A80" s="14" t="s">
        <v>295</v>
      </c>
      <c r="B80" s="542" t="s">
        <v>275</v>
      </c>
      <c r="C80" s="868"/>
      <c r="D80" s="885">
        <v>0</v>
      </c>
      <c r="E80" s="866"/>
      <c r="F80" s="867"/>
      <c r="G80" s="867"/>
      <c r="H80" s="567">
        <f t="shared" si="3"/>
        <v>0</v>
      </c>
      <c r="I80" s="292"/>
      <c r="J80" s="139"/>
      <c r="K80" s="139"/>
    </row>
    <row r="81" spans="1:11" s="312" customFormat="1" ht="12" customHeight="1" thickBot="1" x14ac:dyDescent="0.25">
      <c r="A81" s="276" t="s">
        <v>276</v>
      </c>
      <c r="B81" s="543" t="s">
        <v>296</v>
      </c>
      <c r="C81" s="929">
        <v>0</v>
      </c>
      <c r="D81" s="858">
        <v>0</v>
      </c>
      <c r="E81" s="859">
        <f>SUM(E82:E85)</f>
        <v>0</v>
      </c>
      <c r="F81" s="858">
        <f>SUM(F82:F85)</f>
        <v>0</v>
      </c>
      <c r="G81" s="858">
        <f>SUM(G82:G85)</f>
        <v>0</v>
      </c>
      <c r="H81" s="135">
        <f t="shared" si="3"/>
        <v>0</v>
      </c>
      <c r="I81" s="311">
        <f>SUM(I82:I85)</f>
        <v>0</v>
      </c>
      <c r="J81" s="135">
        <f>SUM(J82:J85)</f>
        <v>0</v>
      </c>
      <c r="K81" s="135">
        <f>SUM(K82:K85)</f>
        <v>0</v>
      </c>
    </row>
    <row r="82" spans="1:11" s="312" customFormat="1" ht="12" customHeight="1" x14ac:dyDescent="0.2">
      <c r="A82" s="217" t="s">
        <v>277</v>
      </c>
      <c r="B82" s="342" t="s">
        <v>278</v>
      </c>
      <c r="C82" s="864"/>
      <c r="D82" s="884">
        <v>0</v>
      </c>
      <c r="E82" s="866"/>
      <c r="F82" s="867"/>
      <c r="G82" s="867"/>
      <c r="H82" s="565">
        <f t="shared" si="3"/>
        <v>0</v>
      </c>
      <c r="I82" s="292"/>
      <c r="J82" s="139"/>
      <c r="K82" s="139"/>
    </row>
    <row r="83" spans="1:11" s="312" customFormat="1" ht="12" customHeight="1" x14ac:dyDescent="0.2">
      <c r="A83" s="218" t="s">
        <v>279</v>
      </c>
      <c r="B83" s="343" t="s">
        <v>280</v>
      </c>
      <c r="C83" s="864"/>
      <c r="D83" s="879">
        <v>0</v>
      </c>
      <c r="E83" s="866"/>
      <c r="F83" s="867"/>
      <c r="G83" s="867"/>
      <c r="H83" s="566">
        <f t="shared" si="3"/>
        <v>0</v>
      </c>
      <c r="I83" s="292"/>
      <c r="J83" s="139"/>
      <c r="K83" s="139"/>
    </row>
    <row r="84" spans="1:11" s="312" customFormat="1" ht="12" customHeight="1" x14ac:dyDescent="0.2">
      <c r="A84" s="218" t="s">
        <v>281</v>
      </c>
      <c r="B84" s="343" t="s">
        <v>282</v>
      </c>
      <c r="C84" s="864"/>
      <c r="D84" s="879">
        <v>0</v>
      </c>
      <c r="E84" s="866"/>
      <c r="F84" s="867"/>
      <c r="G84" s="867"/>
      <c r="H84" s="566">
        <f t="shared" si="3"/>
        <v>0</v>
      </c>
      <c r="I84" s="292"/>
      <c r="J84" s="139"/>
      <c r="K84" s="139"/>
    </row>
    <row r="85" spans="1:11" s="312" customFormat="1" ht="12" customHeight="1" thickBot="1" x14ac:dyDescent="0.25">
      <c r="A85" s="219" t="s">
        <v>283</v>
      </c>
      <c r="B85" s="542" t="s">
        <v>284</v>
      </c>
      <c r="C85" s="868"/>
      <c r="D85" s="885">
        <v>0</v>
      </c>
      <c r="E85" s="866"/>
      <c r="F85" s="867"/>
      <c r="G85" s="867"/>
      <c r="H85" s="567">
        <f t="shared" si="3"/>
        <v>0</v>
      </c>
      <c r="I85" s="292"/>
      <c r="J85" s="139"/>
      <c r="K85" s="139"/>
    </row>
    <row r="86" spans="1:11" s="312" customFormat="1" ht="12" customHeight="1" thickBot="1" x14ac:dyDescent="0.25">
      <c r="A86" s="276" t="s">
        <v>285</v>
      </c>
      <c r="B86" s="543" t="s">
        <v>467</v>
      </c>
      <c r="C86" s="892"/>
      <c r="D86" s="858">
        <v>0</v>
      </c>
      <c r="E86" s="893"/>
      <c r="F86" s="894"/>
      <c r="G86" s="894"/>
      <c r="H86" s="135">
        <f t="shared" si="3"/>
        <v>0</v>
      </c>
      <c r="I86" s="316"/>
      <c r="J86" s="252"/>
      <c r="K86" s="252"/>
    </row>
    <row r="87" spans="1:11" s="312" customFormat="1" ht="12" customHeight="1" thickBot="1" x14ac:dyDescent="0.25">
      <c r="A87" s="276" t="s">
        <v>287</v>
      </c>
      <c r="B87" s="543" t="s">
        <v>286</v>
      </c>
      <c r="C87" s="892"/>
      <c r="D87" s="858">
        <v>0</v>
      </c>
      <c r="E87" s="893"/>
      <c r="F87" s="894"/>
      <c r="G87" s="894"/>
      <c r="H87" s="135">
        <f t="shared" si="3"/>
        <v>0</v>
      </c>
      <c r="I87" s="316"/>
      <c r="J87" s="252"/>
      <c r="K87" s="252"/>
    </row>
    <row r="88" spans="1:11" s="312" customFormat="1" ht="12" customHeight="1" thickBot="1" x14ac:dyDescent="0.25">
      <c r="A88" s="276" t="s">
        <v>299</v>
      </c>
      <c r="B88" s="545" t="s">
        <v>468</v>
      </c>
      <c r="C88" s="886">
        <v>355133622</v>
      </c>
      <c r="D88" s="858">
        <v>833020790</v>
      </c>
      <c r="E88" s="880">
        <f>+E65+E69+E74+E77+E81+E87+E86</f>
        <v>433431423</v>
      </c>
      <c r="F88" s="881">
        <f>+F65+F69+F74+F77+F81+F87+F86</f>
        <v>447404</v>
      </c>
      <c r="G88" s="881">
        <f>+G65+G69+G74+G77+G81+G87+G86</f>
        <v>3220588</v>
      </c>
      <c r="H88" s="135">
        <f t="shared" si="3"/>
        <v>533936706</v>
      </c>
      <c r="I88" s="314">
        <f>+I65+I69+I74+I77+I81+I87+I86</f>
        <v>515852575</v>
      </c>
      <c r="J88" s="140">
        <f>+J65+J69+J74+J77+J81+J87+J86</f>
        <v>829764</v>
      </c>
      <c r="K88" s="140">
        <f>+K65+K69+K74+K77+K81+K87+K86</f>
        <v>17254367</v>
      </c>
    </row>
    <row r="89" spans="1:11" s="312" customFormat="1" ht="12" customHeight="1" thickBot="1" x14ac:dyDescent="0.25">
      <c r="A89" s="278" t="s">
        <v>469</v>
      </c>
      <c r="B89" s="546" t="s">
        <v>470</v>
      </c>
      <c r="C89" s="886">
        <v>3174046868</v>
      </c>
      <c r="D89" s="858">
        <v>3394178423</v>
      </c>
      <c r="E89" s="880">
        <f>+E64+E88</f>
        <v>1824871137</v>
      </c>
      <c r="F89" s="881">
        <f>+F64+F88</f>
        <v>9863904</v>
      </c>
      <c r="G89" s="881">
        <f>+G64+G88</f>
        <v>393971766</v>
      </c>
      <c r="H89" s="135">
        <f t="shared" si="3"/>
        <v>3239654978</v>
      </c>
      <c r="I89" s="314">
        <f>+I64+I88</f>
        <v>2924213104</v>
      </c>
      <c r="J89" s="140">
        <f>+J64+J88</f>
        <v>9280592</v>
      </c>
      <c r="K89" s="140">
        <f>+K64+K88</f>
        <v>306161282</v>
      </c>
    </row>
    <row r="90" spans="1:11" s="312" customFormat="1" ht="12" customHeight="1" x14ac:dyDescent="0.2">
      <c r="A90" s="317"/>
      <c r="B90" s="318"/>
      <c r="C90" s="895"/>
      <c r="D90" s="896"/>
      <c r="E90" s="897"/>
      <c r="F90" s="897"/>
      <c r="G90" s="897"/>
      <c r="H90" s="898"/>
    </row>
    <row r="91" spans="1:11" s="312" customFormat="1" ht="12" customHeight="1" x14ac:dyDescent="0.2">
      <c r="A91" s="1251" t="s">
        <v>50</v>
      </c>
      <c r="B91" s="1251"/>
      <c r="C91" s="1251"/>
      <c r="D91" s="1251"/>
      <c r="E91" s="1251"/>
      <c r="F91" s="1251"/>
      <c r="G91" s="1251"/>
      <c r="H91" s="1251"/>
    </row>
    <row r="92" spans="1:11" s="312" customFormat="1" ht="12" customHeight="1" thickBot="1" x14ac:dyDescent="0.25">
      <c r="A92" s="1252" t="s">
        <v>132</v>
      </c>
      <c r="B92" s="1252"/>
      <c r="C92" s="899"/>
      <c r="D92" s="849"/>
      <c r="E92" s="849"/>
      <c r="F92" s="849"/>
      <c r="G92" s="849"/>
      <c r="H92" s="900" t="str">
        <f>H4</f>
        <v>Forintban!</v>
      </c>
    </row>
    <row r="93" spans="1:11" s="312" customFormat="1" ht="36.75" customHeight="1" thickBot="1" x14ac:dyDescent="0.25">
      <c r="A93" s="21" t="s">
        <v>20</v>
      </c>
      <c r="B93" s="558" t="s">
        <v>51</v>
      </c>
      <c r="C93" s="852" t="s">
        <v>721</v>
      </c>
      <c r="D93" s="852" t="s">
        <v>722</v>
      </c>
      <c r="E93" s="853"/>
      <c r="F93" s="853"/>
      <c r="G93" s="853"/>
      <c r="H93" s="854" t="s">
        <v>699</v>
      </c>
    </row>
    <row r="94" spans="1:11" s="312" customFormat="1" ht="12" customHeight="1" thickBot="1" x14ac:dyDescent="0.25">
      <c r="A94" s="28" t="s">
        <v>457</v>
      </c>
      <c r="B94" s="355" t="s">
        <v>458</v>
      </c>
      <c r="C94" s="886" t="s">
        <v>459</v>
      </c>
      <c r="D94" s="901" t="s">
        <v>509</v>
      </c>
      <c r="E94" s="856"/>
      <c r="F94" s="856"/>
      <c r="G94" s="856"/>
      <c r="H94" s="857" t="s">
        <v>510</v>
      </c>
    </row>
    <row r="95" spans="1:11" s="312" customFormat="1" ht="15" customHeight="1" thickBot="1" x14ac:dyDescent="0.25">
      <c r="A95" s="20" t="s">
        <v>22</v>
      </c>
      <c r="B95" s="547" t="s">
        <v>508</v>
      </c>
      <c r="C95" s="886">
        <v>2320236612</v>
      </c>
      <c r="D95" s="859">
        <v>2530082018</v>
      </c>
      <c r="E95" s="902">
        <f>+E96+E97+E98+E99+E100+E113</f>
        <v>336688965</v>
      </c>
      <c r="F95" s="857">
        <f>+F96+F97+F98+F99+F100+F113</f>
        <v>223822850</v>
      </c>
      <c r="G95" s="886">
        <f>G96+G97+G98+G99+G100+G113</f>
        <v>1388014694</v>
      </c>
      <c r="H95" s="360">
        <f t="shared" ref="H95:H156" si="4">SUM(I95:K95)</f>
        <v>2570323808</v>
      </c>
      <c r="I95" s="319">
        <f>+I96+I97+I98+I99+I100+I113</f>
        <v>739705108</v>
      </c>
      <c r="J95" s="134">
        <f>+J96+J97+J98+J99+J100+J113</f>
        <v>223670940</v>
      </c>
      <c r="K95" s="341">
        <f>K96+K97+K98+K99+K100+K113</f>
        <v>1606947760</v>
      </c>
    </row>
    <row r="96" spans="1:11" s="312" customFormat="1" ht="12.95" customHeight="1" x14ac:dyDescent="0.2">
      <c r="A96" s="15" t="s">
        <v>102</v>
      </c>
      <c r="B96" s="548" t="s">
        <v>52</v>
      </c>
      <c r="C96" s="903">
        <v>1063192965</v>
      </c>
      <c r="D96" s="904">
        <v>1000086849</v>
      </c>
      <c r="E96" s="905">
        <f>25364000+485000+6010000+3749000+165142000+48000+105000-275033584+150179</f>
        <v>-73980405</v>
      </c>
      <c r="F96" s="906">
        <v>119212000</v>
      </c>
      <c r="G96" s="906">
        <v>659195571</v>
      </c>
      <c r="H96" s="1245">
        <f t="shared" si="4"/>
        <v>1060522902</v>
      </c>
      <c r="I96" s="346">
        <f>23173251+2787126+1407675+14384916+61829+2528076+5742073+5312587</f>
        <v>55397533</v>
      </c>
      <c r="J96" s="301">
        <f>147375885+935085+4069918</f>
        <v>152380888</v>
      </c>
      <c r="K96" s="301">
        <f>60512486+64039486+48091292+208655734+471445483</f>
        <v>852744481</v>
      </c>
    </row>
    <row r="97" spans="1:11" ht="16.5" customHeight="1" x14ac:dyDescent="0.25">
      <c r="A97" s="12" t="s">
        <v>103</v>
      </c>
      <c r="B97" s="549" t="s">
        <v>151</v>
      </c>
      <c r="C97" s="907">
        <v>223000766</v>
      </c>
      <c r="D97" s="908">
        <v>210209195</v>
      </c>
      <c r="E97" s="866">
        <f>5239000+143000+1233000+14000+1652000+19299000+10000+23000-28480392-1528915</f>
        <v>-2396307</v>
      </c>
      <c r="F97" s="867">
        <v>28323500</v>
      </c>
      <c r="G97" s="867">
        <v>154830861</v>
      </c>
      <c r="H97" s="1245">
        <f t="shared" si="4"/>
        <v>220941970</v>
      </c>
      <c r="I97" s="292">
        <f>4364055+1409889+7817+2684650+14227+10944+444000+1007723+1067610</f>
        <v>11010915</v>
      </c>
      <c r="J97" s="139">
        <f>30406649+133681+815187</f>
        <v>31355517</v>
      </c>
      <c r="K97" s="139">
        <f>13261042+12834203+9499320+44850807+98130166</f>
        <v>178575538</v>
      </c>
    </row>
    <row r="98" spans="1:11" x14ac:dyDescent="0.25">
      <c r="A98" s="12" t="s">
        <v>104</v>
      </c>
      <c r="B98" s="549" t="s">
        <v>127</v>
      </c>
      <c r="C98" s="909">
        <v>840414038</v>
      </c>
      <c r="D98" s="908">
        <v>907885170</v>
      </c>
      <c r="E98" s="87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76">
        <v>52037350</v>
      </c>
      <c r="G98" s="867">
        <v>573988262</v>
      </c>
      <c r="H98" s="1245">
        <f>SUM(I98:K98)</f>
        <v>911691403</v>
      </c>
      <c r="I98" s="296">
        <f>415496+34588831+4192823+96000+889000+13277327+313996+3082677+698500+16688593+835000+27068590+825500+43854655+45600000+4500000+20525292+45669+157480+54851+3760587+437750+7125983+1438017+300000+49047304+2354100+10000+4070204+259082+8850000+765820</f>
        <v>296129127</v>
      </c>
      <c r="J98" s="202">
        <f>38780508+150000+369027+635000</f>
        <v>39934535</v>
      </c>
      <c r="K98" s="139">
        <f>229985778+15749737+50789082+80145873+198957271</f>
        <v>575627741</v>
      </c>
    </row>
    <row r="99" spans="1:11" s="310" customFormat="1" ht="12" customHeight="1" x14ac:dyDescent="0.2">
      <c r="A99" s="12" t="s">
        <v>105</v>
      </c>
      <c r="B99" s="552" t="s">
        <v>152</v>
      </c>
      <c r="C99" s="907">
        <v>75302178</v>
      </c>
      <c r="D99" s="908">
        <v>162784000</v>
      </c>
      <c r="E99" s="875">
        <f>70980000-5080000-2000000</f>
        <v>63900000</v>
      </c>
      <c r="F99" s="876">
        <v>24250000</v>
      </c>
      <c r="G99" s="876"/>
      <c r="H99" s="516">
        <f t="shared" ref="H99:H115" si="5">SUM(I99:K99)</f>
        <v>75850000</v>
      </c>
      <c r="I99" s="296">
        <f>24250000+48100000+3500000</f>
        <v>75850000</v>
      </c>
      <c r="J99" s="202"/>
      <c r="K99" s="202"/>
    </row>
    <row r="100" spans="1:11" ht="12" customHeight="1" x14ac:dyDescent="0.25">
      <c r="A100" s="12" t="s">
        <v>116</v>
      </c>
      <c r="B100" s="17" t="s">
        <v>153</v>
      </c>
      <c r="C100" s="907">
        <v>118326665</v>
      </c>
      <c r="D100" s="908">
        <v>163812363</v>
      </c>
      <c r="E100" s="875">
        <f>SUM(E101:E112)</f>
        <v>76126000</v>
      </c>
      <c r="F100" s="876">
        <f>SUM(F101:F112)</f>
        <v>0</v>
      </c>
      <c r="G100" s="876"/>
      <c r="H100" s="1245">
        <f t="shared" si="5"/>
        <v>221964570</v>
      </c>
      <c r="I100" s="296">
        <f>SUM(I101:I112)</f>
        <v>221964570</v>
      </c>
      <c r="J100" s="296">
        <f t="shared" ref="J100" si="6">SUM(J101:J112)</f>
        <v>0</v>
      </c>
      <c r="K100" s="202"/>
    </row>
    <row r="101" spans="1:11" ht="12" customHeight="1" x14ac:dyDescent="0.25">
      <c r="A101" s="12" t="s">
        <v>106</v>
      </c>
      <c r="B101" s="549" t="s">
        <v>471</v>
      </c>
      <c r="C101" s="909">
        <v>10168527</v>
      </c>
      <c r="D101" s="908">
        <v>5258498</v>
      </c>
      <c r="E101" s="875"/>
      <c r="F101" s="876"/>
      <c r="G101" s="876"/>
      <c r="H101" s="1245">
        <f t="shared" si="5"/>
        <v>100000</v>
      </c>
      <c r="I101" s="296">
        <v>100000</v>
      </c>
      <c r="J101" s="202"/>
      <c r="K101" s="202"/>
    </row>
    <row r="102" spans="1:11" ht="12" customHeight="1" x14ac:dyDescent="0.25">
      <c r="A102" s="12" t="s">
        <v>107</v>
      </c>
      <c r="B102" s="551" t="s">
        <v>472</v>
      </c>
      <c r="C102" s="909"/>
      <c r="D102" s="908">
        <v>0</v>
      </c>
      <c r="E102" s="875"/>
      <c r="F102" s="876"/>
      <c r="G102" s="876"/>
      <c r="H102" s="1245">
        <f t="shared" si="5"/>
        <v>0</v>
      </c>
      <c r="I102" s="296"/>
      <c r="J102" s="202"/>
      <c r="K102" s="202"/>
    </row>
    <row r="103" spans="1:11" ht="12" customHeight="1" x14ac:dyDescent="0.25">
      <c r="A103" s="12" t="s">
        <v>117</v>
      </c>
      <c r="B103" s="551" t="s">
        <v>473</v>
      </c>
      <c r="C103" s="909"/>
      <c r="D103" s="908">
        <v>159000</v>
      </c>
      <c r="E103" s="875"/>
      <c r="F103" s="876"/>
      <c r="G103" s="876"/>
      <c r="H103" s="1245">
        <f t="shared" si="5"/>
        <v>0</v>
      </c>
      <c r="I103" s="296"/>
      <c r="J103" s="202"/>
      <c r="K103" s="202"/>
    </row>
    <row r="104" spans="1:11" ht="12" customHeight="1" x14ac:dyDescent="0.25">
      <c r="A104" s="12" t="s">
        <v>118</v>
      </c>
      <c r="B104" s="562" t="s">
        <v>302</v>
      </c>
      <c r="C104" s="910"/>
      <c r="D104" s="908">
        <v>0</v>
      </c>
      <c r="E104" s="875"/>
      <c r="F104" s="876"/>
      <c r="G104" s="876"/>
      <c r="H104" s="1245">
        <f t="shared" si="5"/>
        <v>0</v>
      </c>
      <c r="I104" s="296"/>
      <c r="J104" s="202"/>
      <c r="K104" s="202"/>
    </row>
    <row r="105" spans="1:11" ht="12" customHeight="1" x14ac:dyDescent="0.25">
      <c r="A105" s="12" t="s">
        <v>119</v>
      </c>
      <c r="B105" s="557" t="s">
        <v>303</v>
      </c>
      <c r="C105" s="909"/>
      <c r="D105" s="908">
        <v>0</v>
      </c>
      <c r="E105" s="875"/>
      <c r="F105" s="876"/>
      <c r="G105" s="876"/>
      <c r="H105" s="1245">
        <f t="shared" si="5"/>
        <v>0</v>
      </c>
      <c r="I105" s="296"/>
      <c r="J105" s="202"/>
      <c r="K105" s="202"/>
    </row>
    <row r="106" spans="1:11" ht="12" customHeight="1" x14ac:dyDescent="0.25">
      <c r="A106" s="12" t="s">
        <v>120</v>
      </c>
      <c r="B106" s="557" t="s">
        <v>304</v>
      </c>
      <c r="C106" s="909"/>
      <c r="D106" s="908">
        <v>0</v>
      </c>
      <c r="E106" s="875"/>
      <c r="F106" s="876"/>
      <c r="G106" s="876"/>
      <c r="H106" s="1245">
        <f t="shared" si="5"/>
        <v>0</v>
      </c>
      <c r="I106" s="296"/>
      <c r="J106" s="202"/>
      <c r="K106" s="202"/>
    </row>
    <row r="107" spans="1:11" ht="12" customHeight="1" x14ac:dyDescent="0.25">
      <c r="A107" s="12" t="s">
        <v>122</v>
      </c>
      <c r="B107" s="562" t="s">
        <v>305</v>
      </c>
      <c r="C107" s="911">
        <v>785000</v>
      </c>
      <c r="D107" s="908">
        <v>660000</v>
      </c>
      <c r="E107" s="875"/>
      <c r="F107" s="876"/>
      <c r="G107" s="876"/>
      <c r="H107" s="1245">
        <f t="shared" si="5"/>
        <v>590500</v>
      </c>
      <c r="I107" s="296">
        <f>523000+67500</f>
        <v>590500</v>
      </c>
      <c r="J107" s="202"/>
      <c r="K107" s="202"/>
    </row>
    <row r="108" spans="1:11" ht="12" customHeight="1" x14ac:dyDescent="0.25">
      <c r="A108" s="12" t="s">
        <v>154</v>
      </c>
      <c r="B108" s="562" t="s">
        <v>306</v>
      </c>
      <c r="C108" s="910"/>
      <c r="D108" s="908">
        <v>0</v>
      </c>
      <c r="E108" s="875"/>
      <c r="F108" s="876"/>
      <c r="G108" s="876"/>
      <c r="H108" s="1245">
        <f t="shared" si="5"/>
        <v>0</v>
      </c>
      <c r="I108" s="296"/>
      <c r="J108" s="202"/>
      <c r="K108" s="202"/>
    </row>
    <row r="109" spans="1:11" ht="12" customHeight="1" x14ac:dyDescent="0.25">
      <c r="A109" s="12" t="s">
        <v>300</v>
      </c>
      <c r="B109" s="557" t="s">
        <v>307</v>
      </c>
      <c r="C109" s="911"/>
      <c r="D109" s="908">
        <v>0</v>
      </c>
      <c r="E109" s="875"/>
      <c r="F109" s="876"/>
      <c r="G109" s="876"/>
      <c r="H109" s="1245">
        <f t="shared" si="5"/>
        <v>0</v>
      </c>
      <c r="I109" s="296"/>
      <c r="J109" s="202"/>
      <c r="K109" s="202"/>
    </row>
    <row r="110" spans="1:11" ht="12" customHeight="1" x14ac:dyDescent="0.25">
      <c r="A110" s="11" t="s">
        <v>301</v>
      </c>
      <c r="B110" s="551" t="s">
        <v>308</v>
      </c>
      <c r="C110" s="911"/>
      <c r="D110" s="908">
        <v>0</v>
      </c>
      <c r="E110" s="875"/>
      <c r="F110" s="876"/>
      <c r="G110" s="876"/>
      <c r="H110" s="1245">
        <f t="shared" si="5"/>
        <v>0</v>
      </c>
      <c r="I110" s="296"/>
      <c r="J110" s="202"/>
      <c r="K110" s="202"/>
    </row>
    <row r="111" spans="1:11" ht="12" customHeight="1" x14ac:dyDescent="0.25">
      <c r="A111" s="12" t="s">
        <v>474</v>
      </c>
      <c r="B111" s="551" t="s">
        <v>309</v>
      </c>
      <c r="C111" s="911"/>
      <c r="D111" s="908">
        <v>0</v>
      </c>
      <c r="E111" s="875"/>
      <c r="F111" s="876"/>
      <c r="G111" s="876"/>
      <c r="H111" s="1245">
        <f t="shared" si="5"/>
        <v>0</v>
      </c>
      <c r="I111" s="296"/>
      <c r="J111" s="202"/>
      <c r="K111" s="202"/>
    </row>
    <row r="112" spans="1:11" ht="12" customHeight="1" x14ac:dyDescent="0.25">
      <c r="A112" s="14" t="s">
        <v>475</v>
      </c>
      <c r="B112" s="551" t="s">
        <v>310</v>
      </c>
      <c r="C112" s="911">
        <v>107373138</v>
      </c>
      <c r="D112" s="908">
        <v>157734865</v>
      </c>
      <c r="E112" s="866">
        <f>536000+11389000+8562000+16678000+6401000+32560000</f>
        <v>76126000</v>
      </c>
      <c r="F112" s="867"/>
      <c r="G112" s="876"/>
      <c r="H112" s="1245">
        <f t="shared" si="5"/>
        <v>221274070</v>
      </c>
      <c r="I112" s="292">
        <f>1000000+47869145+6604733+15489215+46984511+23326783+69312000+7332000+1437616+580000+1338067</f>
        <v>221274070</v>
      </c>
      <c r="J112" s="139"/>
      <c r="K112" s="202"/>
    </row>
    <row r="113" spans="1:11" ht="12" customHeight="1" x14ac:dyDescent="0.25">
      <c r="A113" s="12" t="s">
        <v>476</v>
      </c>
      <c r="B113" s="552" t="s">
        <v>53</v>
      </c>
      <c r="C113" s="912"/>
      <c r="D113" s="908">
        <v>85304441</v>
      </c>
      <c r="E113" s="866">
        <f>E114+E115</f>
        <v>96195254</v>
      </c>
      <c r="F113" s="867"/>
      <c r="G113" s="867">
        <f>G114+G115</f>
        <v>0</v>
      </c>
      <c r="H113" s="516">
        <f t="shared" si="5"/>
        <v>79352963</v>
      </c>
      <c r="I113" s="292">
        <f>SUM(I114:I115)</f>
        <v>79352963</v>
      </c>
      <c r="J113" s="292">
        <f t="shared" ref="J113" si="7">SUM(J114:J115)</f>
        <v>0</v>
      </c>
      <c r="K113" s="139"/>
    </row>
    <row r="114" spans="1:11" ht="12" customHeight="1" x14ac:dyDescent="0.25">
      <c r="A114" s="12" t="s">
        <v>477</v>
      </c>
      <c r="B114" s="549" t="s">
        <v>478</v>
      </c>
      <c r="C114" s="913"/>
      <c r="D114" s="908">
        <v>4171554</v>
      </c>
      <c r="E114" s="875">
        <f>20000000+1656508-26939462</f>
        <v>-5282954</v>
      </c>
      <c r="F114" s="876"/>
      <c r="G114" s="867"/>
      <c r="H114" s="1245">
        <f t="shared" si="5"/>
        <v>15830503</v>
      </c>
      <c r="I114" s="296">
        <f>15000000-580000+1410503</f>
        <v>15830503</v>
      </c>
      <c r="J114" s="202"/>
      <c r="K114" s="139"/>
    </row>
    <row r="115" spans="1:11" ht="12" customHeight="1" thickBot="1" x14ac:dyDescent="0.3">
      <c r="A115" s="16" t="s">
        <v>479</v>
      </c>
      <c r="B115" s="553" t="s">
        <v>480</v>
      </c>
      <c r="C115" s="914"/>
      <c r="D115" s="915">
        <v>81132887</v>
      </c>
      <c r="E115" s="916">
        <f>110613300+500000-3261000-6374092</f>
        <v>101478208</v>
      </c>
      <c r="F115" s="917"/>
      <c r="G115" s="917"/>
      <c r="H115" s="1245">
        <f t="shared" si="5"/>
        <v>63522460</v>
      </c>
      <c r="I115" s="347">
        <f>63390965+131495</f>
        <v>63522460</v>
      </c>
      <c r="J115" s="307"/>
      <c r="K115" s="307"/>
    </row>
    <row r="116" spans="1:11" ht="12" customHeight="1" thickBot="1" x14ac:dyDescent="0.3">
      <c r="A116" s="280" t="s">
        <v>23</v>
      </c>
      <c r="B116" s="518" t="s">
        <v>311</v>
      </c>
      <c r="C116" s="886">
        <v>194808124</v>
      </c>
      <c r="D116" s="859">
        <v>717442110</v>
      </c>
      <c r="E116" s="859">
        <f>+E117+E119+E121</f>
        <v>132599368</v>
      </c>
      <c r="F116" s="858">
        <f>+F117+F119+F121</f>
        <v>1901000</v>
      </c>
      <c r="G116" s="918">
        <f>+G117+G119+G121</f>
        <v>9272287</v>
      </c>
      <c r="H116" s="521">
        <f t="shared" si="4"/>
        <v>510474338</v>
      </c>
      <c r="I116" s="311">
        <f>+I117+I119+I121</f>
        <v>486938334</v>
      </c>
      <c r="J116" s="135">
        <f>+J117+J119+J121</f>
        <v>3585917</v>
      </c>
      <c r="K116" s="282">
        <f>+K117+K119+K121</f>
        <v>19950087</v>
      </c>
    </row>
    <row r="117" spans="1:11" ht="12" customHeight="1" x14ac:dyDescent="0.25">
      <c r="A117" s="13" t="s">
        <v>108</v>
      </c>
      <c r="B117" s="549" t="s">
        <v>175</v>
      </c>
      <c r="C117" s="919">
        <v>41111560</v>
      </c>
      <c r="D117" s="904">
        <v>374710583</v>
      </c>
      <c r="E117" s="862">
        <f>6621000+2963001+787402+10624171+3081125+300001+529000+1654000+447000+2237000+90200+6604000+301000+204000-18155486-25581571</f>
        <v>-7294157</v>
      </c>
      <c r="F117" s="863">
        <v>1901000</v>
      </c>
      <c r="G117" s="863">
        <v>8772287</v>
      </c>
      <c r="H117" s="1245">
        <f t="shared" si="4"/>
        <v>377241731</v>
      </c>
      <c r="I117" s="315">
        <f>229989520+300000+13809000+835610+12076323+1270000+359410+4508500+2505001+5000+6704583+82307980</f>
        <v>354670927</v>
      </c>
      <c r="J117" s="251">
        <f>3355917+230000</f>
        <v>3585917</v>
      </c>
      <c r="K117" s="251">
        <f>506050+641350+1986214+1926590+13924683</f>
        <v>18984887</v>
      </c>
    </row>
    <row r="118" spans="1:11" x14ac:dyDescent="0.25">
      <c r="A118" s="13" t="s">
        <v>109</v>
      </c>
      <c r="B118" s="550" t="s">
        <v>315</v>
      </c>
      <c r="C118" s="920"/>
      <c r="D118" s="908">
        <v>295105824</v>
      </c>
      <c r="E118" s="862">
        <f>14492698-14128084</f>
        <v>364614</v>
      </c>
      <c r="F118" s="863"/>
      <c r="G118" s="863"/>
      <c r="H118" s="1245">
        <f t="shared" si="4"/>
        <v>300690547</v>
      </c>
      <c r="I118" s="315">
        <f>156693000+42191010+12076323+6704583+82307980</f>
        <v>299972896</v>
      </c>
      <c r="J118" s="251"/>
      <c r="K118" s="251">
        <v>717651</v>
      </c>
    </row>
    <row r="119" spans="1:11" ht="12" customHeight="1" x14ac:dyDescent="0.25">
      <c r="A119" s="13" t="s">
        <v>110</v>
      </c>
      <c r="B119" s="550" t="s">
        <v>155</v>
      </c>
      <c r="C119" s="911">
        <v>140483298</v>
      </c>
      <c r="D119" s="908">
        <v>276110806</v>
      </c>
      <c r="E119" s="866">
        <f>53340000+21000000+1513000+2996000+809000+9333667+7750358</f>
        <v>96742025</v>
      </c>
      <c r="F119" s="867"/>
      <c r="G119" s="867">
        <v>500000</v>
      </c>
      <c r="H119" s="516">
        <f t="shared" si="4"/>
        <v>106313501</v>
      </c>
      <c r="I119" s="292">
        <f>9517731+51474577+42450993+1905000</f>
        <v>105348301</v>
      </c>
      <c r="J119" s="139"/>
      <c r="K119" s="139">
        <v>965200</v>
      </c>
    </row>
    <row r="120" spans="1:11" ht="12" customHeight="1" x14ac:dyDescent="0.25">
      <c r="A120" s="13" t="s">
        <v>111</v>
      </c>
      <c r="B120" s="550" t="s">
        <v>316</v>
      </c>
      <c r="C120" s="921"/>
      <c r="D120" s="908">
        <v>230773273</v>
      </c>
      <c r="E120" s="866">
        <v>53340000</v>
      </c>
      <c r="F120" s="922"/>
      <c r="G120" s="866"/>
      <c r="H120" s="516">
        <f t="shared" si="4"/>
        <v>69859070</v>
      </c>
      <c r="I120" s="292">
        <f>28614577+42450993-1206500</f>
        <v>69859070</v>
      </c>
      <c r="J120" s="784"/>
      <c r="K120" s="292"/>
    </row>
    <row r="121" spans="1:11" ht="12" customHeight="1" x14ac:dyDescent="0.25">
      <c r="A121" s="13" t="s">
        <v>112</v>
      </c>
      <c r="B121" s="542" t="s">
        <v>177</v>
      </c>
      <c r="C121" s="923">
        <v>13213266</v>
      </c>
      <c r="D121" s="908">
        <v>66620721</v>
      </c>
      <c r="E121" s="866">
        <f>SUM(E122:E129)</f>
        <v>43151500</v>
      </c>
      <c r="F121" s="866"/>
      <c r="G121" s="866"/>
      <c r="H121" s="516">
        <f t="shared" si="4"/>
        <v>26919106</v>
      </c>
      <c r="I121" s="292">
        <f>SUM(I122:I129)</f>
        <v>26919106</v>
      </c>
      <c r="J121" s="292">
        <f t="shared" ref="J121" si="8">SUM(J122:J129)</f>
        <v>0</v>
      </c>
      <c r="K121" s="292"/>
    </row>
    <row r="122" spans="1:11" ht="12" customHeight="1" x14ac:dyDescent="0.25">
      <c r="A122" s="13" t="s">
        <v>121</v>
      </c>
      <c r="B122" s="541" t="s">
        <v>378</v>
      </c>
      <c r="C122" s="924"/>
      <c r="D122" s="908">
        <v>0</v>
      </c>
      <c r="E122" s="870"/>
      <c r="F122" s="870"/>
      <c r="G122" s="866"/>
      <c r="H122" s="516">
        <f t="shared" si="4"/>
        <v>0</v>
      </c>
      <c r="I122" s="122"/>
      <c r="J122" s="122"/>
      <c r="K122" s="292"/>
    </row>
    <row r="123" spans="1:11" ht="12" customHeight="1" x14ac:dyDescent="0.25">
      <c r="A123" s="13" t="s">
        <v>123</v>
      </c>
      <c r="B123" s="556" t="s">
        <v>321</v>
      </c>
      <c r="C123" s="925"/>
      <c r="D123" s="908">
        <v>0</v>
      </c>
      <c r="E123" s="870"/>
      <c r="F123" s="870"/>
      <c r="G123" s="866"/>
      <c r="H123" s="516">
        <f t="shared" si="4"/>
        <v>0</v>
      </c>
      <c r="I123" s="122"/>
      <c r="J123" s="122"/>
      <c r="K123" s="292"/>
    </row>
    <row r="124" spans="1:11" ht="12" customHeight="1" x14ac:dyDescent="0.25">
      <c r="A124" s="13" t="s">
        <v>156</v>
      </c>
      <c r="B124" s="557" t="s">
        <v>304</v>
      </c>
      <c r="C124" s="926"/>
      <c r="D124" s="908">
        <v>0</v>
      </c>
      <c r="E124" s="870"/>
      <c r="F124" s="870"/>
      <c r="G124" s="866"/>
      <c r="H124" s="516">
        <f t="shared" si="4"/>
        <v>0</v>
      </c>
      <c r="I124" s="122"/>
      <c r="J124" s="122"/>
      <c r="K124" s="292"/>
    </row>
    <row r="125" spans="1:11" ht="12" customHeight="1" x14ac:dyDescent="0.25">
      <c r="A125" s="13" t="s">
        <v>157</v>
      </c>
      <c r="B125" s="557" t="s">
        <v>320</v>
      </c>
      <c r="C125" s="926"/>
      <c r="D125" s="908">
        <v>0</v>
      </c>
      <c r="E125" s="870"/>
      <c r="F125" s="870"/>
      <c r="G125" s="866"/>
      <c r="H125" s="516">
        <f t="shared" si="4"/>
        <v>0</v>
      </c>
      <c r="I125" s="122"/>
      <c r="J125" s="122"/>
      <c r="K125" s="292"/>
    </row>
    <row r="126" spans="1:11" ht="12" customHeight="1" x14ac:dyDescent="0.25">
      <c r="A126" s="13" t="s">
        <v>158</v>
      </c>
      <c r="B126" s="557" t="s">
        <v>319</v>
      </c>
      <c r="C126" s="926"/>
      <c r="D126" s="908">
        <v>0</v>
      </c>
      <c r="E126" s="870"/>
      <c r="F126" s="870"/>
      <c r="G126" s="866"/>
      <c r="H126" s="516">
        <f t="shared" si="4"/>
        <v>0</v>
      </c>
      <c r="I126" s="122"/>
      <c r="J126" s="122"/>
      <c r="K126" s="292"/>
    </row>
    <row r="127" spans="1:11" ht="12" customHeight="1" x14ac:dyDescent="0.25">
      <c r="A127" s="13" t="s">
        <v>312</v>
      </c>
      <c r="B127" s="557" t="s">
        <v>307</v>
      </c>
      <c r="C127" s="926">
        <v>1015</v>
      </c>
      <c r="D127" s="908">
        <v>0</v>
      </c>
      <c r="E127" s="870"/>
      <c r="F127" s="870"/>
      <c r="G127" s="866"/>
      <c r="H127" s="516">
        <f t="shared" si="4"/>
        <v>0</v>
      </c>
      <c r="I127" s="122"/>
      <c r="J127" s="122"/>
      <c r="K127" s="292"/>
    </row>
    <row r="128" spans="1:11" ht="12" customHeight="1" x14ac:dyDescent="0.25">
      <c r="A128" s="13" t="s">
        <v>313</v>
      </c>
      <c r="B128" s="557" t="s">
        <v>318</v>
      </c>
      <c r="C128" s="926"/>
      <c r="D128" s="908">
        <v>0</v>
      </c>
      <c r="E128" s="870"/>
      <c r="F128" s="870"/>
      <c r="G128" s="866"/>
      <c r="H128" s="516">
        <f t="shared" si="4"/>
        <v>0</v>
      </c>
      <c r="I128" s="122"/>
      <c r="J128" s="122"/>
      <c r="K128" s="292"/>
    </row>
    <row r="129" spans="1:11" ht="12" customHeight="1" thickBot="1" x14ac:dyDescent="0.3">
      <c r="A129" s="11" t="s">
        <v>314</v>
      </c>
      <c r="B129" s="557" t="s">
        <v>317</v>
      </c>
      <c r="C129" s="911">
        <v>13212251</v>
      </c>
      <c r="D129" s="915">
        <v>66620721</v>
      </c>
      <c r="E129" s="875">
        <f>42072000+1079500</f>
        <v>43151500</v>
      </c>
      <c r="F129" s="875"/>
      <c r="G129" s="875"/>
      <c r="H129" s="516">
        <f t="shared" si="4"/>
        <v>26919106</v>
      </c>
      <c r="I129" s="296">
        <f>650000+26269106</f>
        <v>26919106</v>
      </c>
      <c r="J129" s="296"/>
      <c r="K129" s="296"/>
    </row>
    <row r="130" spans="1:11" ht="12" customHeight="1" thickBot="1" x14ac:dyDescent="0.3">
      <c r="A130" s="18" t="s">
        <v>24</v>
      </c>
      <c r="B130" s="519" t="s">
        <v>481</v>
      </c>
      <c r="C130" s="886">
        <v>2515044736</v>
      </c>
      <c r="D130" s="859">
        <v>3247524128</v>
      </c>
      <c r="E130" s="859">
        <f>+E95+E116</f>
        <v>469288333</v>
      </c>
      <c r="F130" s="858">
        <f>+F95+F116</f>
        <v>225723850</v>
      </c>
      <c r="G130" s="858">
        <f>+G95+G116</f>
        <v>1397286981</v>
      </c>
      <c r="H130" s="521">
        <f t="shared" si="4"/>
        <v>3080798146</v>
      </c>
      <c r="I130" s="311">
        <f>+I95+I116</f>
        <v>1226643442</v>
      </c>
      <c r="J130" s="135">
        <f>+J95+J116</f>
        <v>227256857</v>
      </c>
      <c r="K130" s="135">
        <f>+K95+K116</f>
        <v>1626897847</v>
      </c>
    </row>
    <row r="131" spans="1:11" ht="12" customHeight="1" thickBot="1" x14ac:dyDescent="0.3">
      <c r="A131" s="18" t="s">
        <v>25</v>
      </c>
      <c r="B131" s="519" t="s">
        <v>482</v>
      </c>
      <c r="C131" s="886">
        <v>3160000</v>
      </c>
      <c r="D131" s="859">
        <v>108486704</v>
      </c>
      <c r="E131" s="859">
        <f>+E132+E133+E134</f>
        <v>103161000</v>
      </c>
      <c r="F131" s="858">
        <f>+F132+F133+F134</f>
        <v>0</v>
      </c>
      <c r="G131" s="858">
        <f>+G132+G133+G134</f>
        <v>0</v>
      </c>
      <c r="H131" s="521">
        <f t="shared" si="4"/>
        <v>116952500</v>
      </c>
      <c r="I131" s="311">
        <f>+I132+I133+I134</f>
        <v>116952500</v>
      </c>
      <c r="J131" s="135">
        <f>+J132+J133+J134</f>
        <v>0</v>
      </c>
      <c r="K131" s="135">
        <f>+K132+K133+K134</f>
        <v>0</v>
      </c>
    </row>
    <row r="132" spans="1:11" ht="12" customHeight="1" x14ac:dyDescent="0.25">
      <c r="A132" s="13" t="s">
        <v>213</v>
      </c>
      <c r="B132" s="550" t="s">
        <v>483</v>
      </c>
      <c r="C132" s="911">
        <v>3160000</v>
      </c>
      <c r="D132" s="882">
        <v>8486704</v>
      </c>
      <c r="E132" s="866">
        <v>3161000</v>
      </c>
      <c r="F132" s="866"/>
      <c r="G132" s="866"/>
      <c r="H132" s="516">
        <f t="shared" si="4"/>
        <v>16952500</v>
      </c>
      <c r="I132" s="292">
        <f>11674500+5278000</f>
        <v>16952500</v>
      </c>
      <c r="J132" s="292"/>
      <c r="K132" s="292"/>
    </row>
    <row r="133" spans="1:11" ht="12" customHeight="1" x14ac:dyDescent="0.25">
      <c r="A133" s="13" t="s">
        <v>216</v>
      </c>
      <c r="B133" s="550" t="s">
        <v>484</v>
      </c>
      <c r="C133" s="921"/>
      <c r="D133" s="927">
        <v>100000000</v>
      </c>
      <c r="E133" s="870">
        <v>100000000</v>
      </c>
      <c r="F133" s="870"/>
      <c r="G133" s="870"/>
      <c r="H133" s="516">
        <f t="shared" si="4"/>
        <v>100000000</v>
      </c>
      <c r="I133" s="122">
        <v>100000000</v>
      </c>
      <c r="J133" s="122"/>
      <c r="K133" s="122"/>
    </row>
    <row r="134" spans="1:11" ht="12" customHeight="1" thickBot="1" x14ac:dyDescent="0.3">
      <c r="A134" s="11" t="s">
        <v>217</v>
      </c>
      <c r="B134" s="550" t="s">
        <v>485</v>
      </c>
      <c r="C134" s="921"/>
      <c r="D134" s="928">
        <v>0</v>
      </c>
      <c r="E134" s="870"/>
      <c r="F134" s="870"/>
      <c r="G134" s="870"/>
      <c r="H134" s="600">
        <f t="shared" si="4"/>
        <v>0</v>
      </c>
      <c r="I134" s="122"/>
      <c r="J134" s="122"/>
      <c r="K134" s="122"/>
    </row>
    <row r="135" spans="1:11" ht="12" customHeight="1" thickBot="1" x14ac:dyDescent="0.3">
      <c r="A135" s="18" t="s">
        <v>26</v>
      </c>
      <c r="B135" s="519" t="s">
        <v>486</v>
      </c>
      <c r="C135" s="929"/>
      <c r="D135" s="890">
        <v>0</v>
      </c>
      <c r="E135" s="859">
        <f>+E136+E137+E138+E139+E140+E141</f>
        <v>0</v>
      </c>
      <c r="F135" s="858">
        <f>+F136+F137+F138+F139+F140+F141</f>
        <v>0</v>
      </c>
      <c r="G135" s="858">
        <f>SUM(G136:G141)</f>
        <v>0</v>
      </c>
      <c r="H135" s="521">
        <f t="shared" si="4"/>
        <v>0</v>
      </c>
      <c r="I135" s="311">
        <f>+I136+I137+I138+I139+I140+I141</f>
        <v>0</v>
      </c>
      <c r="J135" s="135">
        <f>+J136+J137+J138+J139+J140+J141</f>
        <v>0</v>
      </c>
      <c r="K135" s="135">
        <f>SUM(K136:K141)</f>
        <v>0</v>
      </c>
    </row>
    <row r="136" spans="1:11" ht="12" customHeight="1" x14ac:dyDescent="0.25">
      <c r="A136" s="13" t="s">
        <v>95</v>
      </c>
      <c r="B136" s="554" t="s">
        <v>487</v>
      </c>
      <c r="C136" s="925"/>
      <c r="D136" s="882">
        <v>0</v>
      </c>
      <c r="E136" s="870"/>
      <c r="F136" s="870"/>
      <c r="G136" s="870"/>
      <c r="H136" s="516">
        <f t="shared" si="4"/>
        <v>0</v>
      </c>
      <c r="I136" s="122"/>
      <c r="J136" s="122"/>
      <c r="K136" s="122"/>
    </row>
    <row r="137" spans="1:11" ht="12" customHeight="1" x14ac:dyDescent="0.25">
      <c r="A137" s="13" t="s">
        <v>96</v>
      </c>
      <c r="B137" s="554" t="s">
        <v>488</v>
      </c>
      <c r="C137" s="925"/>
      <c r="D137" s="927">
        <v>0</v>
      </c>
      <c r="E137" s="870"/>
      <c r="F137" s="870"/>
      <c r="G137" s="870"/>
      <c r="H137" s="516">
        <f t="shared" si="4"/>
        <v>0</v>
      </c>
      <c r="I137" s="122"/>
      <c r="J137" s="122"/>
      <c r="K137" s="122"/>
    </row>
    <row r="138" spans="1:11" ht="12" customHeight="1" x14ac:dyDescent="0.25">
      <c r="A138" s="13" t="s">
        <v>97</v>
      </c>
      <c r="B138" s="554" t="s">
        <v>489</v>
      </c>
      <c r="C138" s="925"/>
      <c r="D138" s="927">
        <v>0</v>
      </c>
      <c r="E138" s="870"/>
      <c r="F138" s="870"/>
      <c r="G138" s="870"/>
      <c r="H138" s="516">
        <f t="shared" si="4"/>
        <v>0</v>
      </c>
      <c r="I138" s="122"/>
      <c r="J138" s="122"/>
      <c r="K138" s="122"/>
    </row>
    <row r="139" spans="1:11" ht="12" customHeight="1" x14ac:dyDescent="0.25">
      <c r="A139" s="13" t="s">
        <v>143</v>
      </c>
      <c r="B139" s="554" t="s">
        <v>490</v>
      </c>
      <c r="C139" s="925"/>
      <c r="D139" s="927">
        <v>0</v>
      </c>
      <c r="E139" s="870"/>
      <c r="F139" s="870"/>
      <c r="G139" s="870"/>
      <c r="H139" s="516">
        <f t="shared" si="4"/>
        <v>0</v>
      </c>
      <c r="I139" s="122"/>
      <c r="J139" s="122"/>
      <c r="K139" s="122"/>
    </row>
    <row r="140" spans="1:11" ht="12" customHeight="1" x14ac:dyDescent="0.25">
      <c r="A140" s="13" t="s">
        <v>144</v>
      </c>
      <c r="B140" s="554" t="s">
        <v>491</v>
      </c>
      <c r="C140" s="925"/>
      <c r="D140" s="927">
        <v>0</v>
      </c>
      <c r="E140" s="870"/>
      <c r="F140" s="870"/>
      <c r="G140" s="870"/>
      <c r="H140" s="516">
        <f t="shared" si="4"/>
        <v>0</v>
      </c>
      <c r="I140" s="122"/>
      <c r="J140" s="122"/>
      <c r="K140" s="122"/>
    </row>
    <row r="141" spans="1:11" ht="12" customHeight="1" thickBot="1" x14ac:dyDescent="0.3">
      <c r="A141" s="11" t="s">
        <v>145</v>
      </c>
      <c r="B141" s="554" t="s">
        <v>492</v>
      </c>
      <c r="C141" s="925"/>
      <c r="D141" s="928">
        <v>0</v>
      </c>
      <c r="E141" s="870"/>
      <c r="F141" s="870"/>
      <c r="G141" s="870"/>
      <c r="H141" s="600">
        <f t="shared" si="4"/>
        <v>0</v>
      </c>
      <c r="I141" s="122"/>
      <c r="J141" s="122"/>
      <c r="K141" s="122"/>
    </row>
    <row r="142" spans="1:11" ht="12" customHeight="1" thickBot="1" x14ac:dyDescent="0.3">
      <c r="A142" s="18" t="s">
        <v>27</v>
      </c>
      <c r="B142" s="519" t="s">
        <v>493</v>
      </c>
      <c r="C142" s="886">
        <v>35164932</v>
      </c>
      <c r="D142" s="859">
        <v>38167591</v>
      </c>
      <c r="E142" s="880">
        <f>+E143+E144+E145+E146</f>
        <v>35164932</v>
      </c>
      <c r="F142" s="881">
        <f>+F143+F144+F145+F146</f>
        <v>0</v>
      </c>
      <c r="G142" s="881">
        <f>+G143+G144+G145+G146</f>
        <v>0</v>
      </c>
      <c r="H142" s="521">
        <f t="shared" si="4"/>
        <v>41904332</v>
      </c>
      <c r="I142" s="314">
        <f>+I143+I144+I145+I146</f>
        <v>41904332</v>
      </c>
      <c r="J142" s="140">
        <f>+J143+J144+J145+J146</f>
        <v>0</v>
      </c>
      <c r="K142" s="140">
        <f>+K143+K144+K145+K146</f>
        <v>0</v>
      </c>
    </row>
    <row r="143" spans="1:11" ht="12" customHeight="1" x14ac:dyDescent="0.25">
      <c r="A143" s="13" t="s">
        <v>98</v>
      </c>
      <c r="B143" s="554" t="s">
        <v>322</v>
      </c>
      <c r="C143" s="925"/>
      <c r="D143" s="882">
        <v>0</v>
      </c>
      <c r="E143" s="870"/>
      <c r="F143" s="870"/>
      <c r="G143" s="870"/>
      <c r="H143" s="517">
        <f t="shared" si="4"/>
        <v>0</v>
      </c>
      <c r="I143" s="122"/>
      <c r="J143" s="122"/>
      <c r="K143" s="122"/>
    </row>
    <row r="144" spans="1:11" ht="12" customHeight="1" x14ac:dyDescent="0.25">
      <c r="A144" s="13" t="s">
        <v>99</v>
      </c>
      <c r="B144" s="554" t="s">
        <v>323</v>
      </c>
      <c r="C144" s="919">
        <v>35164932</v>
      </c>
      <c r="D144" s="927">
        <v>38167591</v>
      </c>
      <c r="E144" s="870">
        <f>35164932</f>
        <v>35164932</v>
      </c>
      <c r="F144" s="870"/>
      <c r="G144" s="870"/>
      <c r="H144" s="516">
        <f t="shared" si="4"/>
        <v>41904332</v>
      </c>
      <c r="I144" s="122">
        <f>41904332</f>
        <v>41904332</v>
      </c>
      <c r="J144" s="122"/>
      <c r="K144" s="122"/>
    </row>
    <row r="145" spans="1:11" ht="12" customHeight="1" x14ac:dyDescent="0.25">
      <c r="A145" s="13" t="s">
        <v>236</v>
      </c>
      <c r="B145" s="554" t="s">
        <v>494</v>
      </c>
      <c r="C145" s="925"/>
      <c r="D145" s="927">
        <v>0</v>
      </c>
      <c r="E145" s="870"/>
      <c r="F145" s="870"/>
      <c r="G145" s="870"/>
      <c r="H145" s="517">
        <f t="shared" si="4"/>
        <v>0</v>
      </c>
      <c r="I145" s="122"/>
      <c r="J145" s="122"/>
      <c r="K145" s="122"/>
    </row>
    <row r="146" spans="1:11" ht="12" customHeight="1" thickBot="1" x14ac:dyDescent="0.3">
      <c r="A146" s="11" t="s">
        <v>237</v>
      </c>
      <c r="B146" s="555" t="s">
        <v>341</v>
      </c>
      <c r="C146" s="930"/>
      <c r="D146" s="928">
        <v>0</v>
      </c>
      <c r="E146" s="870"/>
      <c r="F146" s="870"/>
      <c r="G146" s="870"/>
      <c r="H146" s="520">
        <f t="shared" si="4"/>
        <v>0</v>
      </c>
      <c r="I146" s="122"/>
      <c r="J146" s="122"/>
      <c r="K146" s="122"/>
    </row>
    <row r="147" spans="1:11" ht="12" customHeight="1" thickBot="1" x14ac:dyDescent="0.3">
      <c r="A147" s="18" t="s">
        <v>28</v>
      </c>
      <c r="B147" s="519" t="s">
        <v>495</v>
      </c>
      <c r="C147" s="891"/>
      <c r="D147" s="890">
        <v>0</v>
      </c>
      <c r="E147" s="931">
        <f>+E148+E149+E150+E151+E152</f>
        <v>0</v>
      </c>
      <c r="F147" s="932">
        <f>+F148+F149+F150+F151+F152</f>
        <v>0</v>
      </c>
      <c r="G147" s="932">
        <f>SUM(G148:G152)</f>
        <v>0</v>
      </c>
      <c r="H147" s="521">
        <f t="shared" si="4"/>
        <v>0</v>
      </c>
      <c r="I147" s="321">
        <f>+I148+I149+I150+I151+I152</f>
        <v>0</v>
      </c>
      <c r="J147" s="143">
        <f>+J148+J149+J150+J151+J152</f>
        <v>0</v>
      </c>
      <c r="K147" s="143">
        <f>SUM(K148:K152)</f>
        <v>0</v>
      </c>
    </row>
    <row r="148" spans="1:11" ht="12" customHeight="1" x14ac:dyDescent="0.25">
      <c r="A148" s="13" t="s">
        <v>100</v>
      </c>
      <c r="B148" s="554" t="s">
        <v>496</v>
      </c>
      <c r="C148" s="925"/>
      <c r="D148" s="882">
        <v>0</v>
      </c>
      <c r="E148" s="870"/>
      <c r="F148" s="870"/>
      <c r="G148" s="870"/>
      <c r="H148" s="517">
        <f t="shared" si="4"/>
        <v>0</v>
      </c>
      <c r="I148" s="122"/>
      <c r="J148" s="122"/>
      <c r="K148" s="122"/>
    </row>
    <row r="149" spans="1:11" ht="12" customHeight="1" x14ac:dyDescent="0.25">
      <c r="A149" s="13" t="s">
        <v>101</v>
      </c>
      <c r="B149" s="554" t="s">
        <v>497</v>
      </c>
      <c r="C149" s="919"/>
      <c r="D149" s="927">
        <v>0</v>
      </c>
      <c r="E149" s="870"/>
      <c r="F149" s="870"/>
      <c r="G149" s="870"/>
      <c r="H149" s="517">
        <f t="shared" si="4"/>
        <v>0</v>
      </c>
      <c r="I149" s="122"/>
      <c r="J149" s="122"/>
      <c r="K149" s="122"/>
    </row>
    <row r="150" spans="1:11" ht="12" customHeight="1" x14ac:dyDescent="0.25">
      <c r="A150" s="13" t="s">
        <v>248</v>
      </c>
      <c r="B150" s="554" t="s">
        <v>498</v>
      </c>
      <c r="C150" s="925"/>
      <c r="D150" s="927">
        <v>0</v>
      </c>
      <c r="E150" s="870"/>
      <c r="F150" s="870"/>
      <c r="G150" s="870"/>
      <c r="H150" s="517">
        <f t="shared" si="4"/>
        <v>0</v>
      </c>
      <c r="I150" s="122"/>
      <c r="J150" s="122"/>
      <c r="K150" s="122"/>
    </row>
    <row r="151" spans="1:11" ht="12" customHeight="1" x14ac:dyDescent="0.25">
      <c r="A151" s="13" t="s">
        <v>249</v>
      </c>
      <c r="B151" s="554" t="s">
        <v>499</v>
      </c>
      <c r="C151" s="925"/>
      <c r="D151" s="927">
        <v>0</v>
      </c>
      <c r="E151" s="870"/>
      <c r="F151" s="870"/>
      <c r="G151" s="870"/>
      <c r="H151" s="517">
        <f t="shared" si="4"/>
        <v>0</v>
      </c>
      <c r="I151" s="122"/>
      <c r="J151" s="122"/>
      <c r="K151" s="122"/>
    </row>
    <row r="152" spans="1:11" ht="12" customHeight="1" thickBot="1" x14ac:dyDescent="0.3">
      <c r="A152" s="13" t="s">
        <v>500</v>
      </c>
      <c r="B152" s="554" t="s">
        <v>501</v>
      </c>
      <c r="C152" s="925"/>
      <c r="D152" s="928">
        <v>0</v>
      </c>
      <c r="E152" s="888"/>
      <c r="F152" s="888"/>
      <c r="G152" s="870"/>
      <c r="H152" s="520">
        <f t="shared" si="4"/>
        <v>0</v>
      </c>
      <c r="I152" s="123"/>
      <c r="J152" s="123"/>
      <c r="K152" s="122"/>
    </row>
    <row r="153" spans="1:11" ht="12" customHeight="1" thickBot="1" x14ac:dyDescent="0.3">
      <c r="A153" s="18" t="s">
        <v>29</v>
      </c>
      <c r="B153" s="519" t="s">
        <v>502</v>
      </c>
      <c r="C153" s="891"/>
      <c r="D153" s="890">
        <v>0</v>
      </c>
      <c r="E153" s="931"/>
      <c r="F153" s="932"/>
      <c r="G153" s="933"/>
      <c r="H153" s="521">
        <f t="shared" si="4"/>
        <v>0</v>
      </c>
      <c r="I153" s="321"/>
      <c r="J153" s="143"/>
      <c r="K153" s="283"/>
    </row>
    <row r="154" spans="1:11" ht="12" customHeight="1" thickBot="1" x14ac:dyDescent="0.3">
      <c r="A154" s="18" t="s">
        <v>30</v>
      </c>
      <c r="B154" s="519" t="s">
        <v>503</v>
      </c>
      <c r="C154" s="891"/>
      <c r="D154" s="890">
        <v>0</v>
      </c>
      <c r="E154" s="931"/>
      <c r="F154" s="932"/>
      <c r="G154" s="933"/>
      <c r="H154" s="521">
        <f t="shared" si="4"/>
        <v>0</v>
      </c>
      <c r="I154" s="321"/>
      <c r="J154" s="143"/>
      <c r="K154" s="283"/>
    </row>
    <row r="155" spans="1:11" ht="15" customHeight="1" thickBot="1" x14ac:dyDescent="0.3">
      <c r="A155" s="18" t="s">
        <v>31</v>
      </c>
      <c r="B155" s="519" t="s">
        <v>504</v>
      </c>
      <c r="C155" s="886">
        <v>38324932</v>
      </c>
      <c r="D155" s="859">
        <v>146654295</v>
      </c>
      <c r="E155" s="934">
        <f>+E131+E135+E142+E147+E153+E154</f>
        <v>138325932</v>
      </c>
      <c r="F155" s="935">
        <f>+F131+F135+F142+F147+F153+F154</f>
        <v>0</v>
      </c>
      <c r="G155" s="935">
        <f>+G131+G135+G142+G147+G153+G154</f>
        <v>0</v>
      </c>
      <c r="H155" s="521">
        <f t="shared" si="4"/>
        <v>158856832</v>
      </c>
      <c r="I155" s="322">
        <f>+I131+I135+I142+I147+I153+I154</f>
        <v>158856832</v>
      </c>
      <c r="J155" s="223">
        <f>+J131+J135+J142+J147+J153+J154</f>
        <v>0</v>
      </c>
      <c r="K155" s="223">
        <f>+K131+K135+K142+K147+K153+K154</f>
        <v>0</v>
      </c>
    </row>
    <row r="156" spans="1:11" s="312" customFormat="1" ht="12.95" customHeight="1" thickBot="1" x14ac:dyDescent="0.25">
      <c r="A156" s="133" t="s">
        <v>32</v>
      </c>
      <c r="B156" s="522" t="s">
        <v>505</v>
      </c>
      <c r="C156" s="886">
        <v>2553369668</v>
      </c>
      <c r="D156" s="859">
        <v>3394178423</v>
      </c>
      <c r="E156" s="934">
        <f>+E130+E155</f>
        <v>607614265</v>
      </c>
      <c r="F156" s="935">
        <f>+F130+F155</f>
        <v>225723850</v>
      </c>
      <c r="G156" s="935">
        <f>+G130+G155</f>
        <v>1397286981</v>
      </c>
      <c r="H156" s="521">
        <f t="shared" si="4"/>
        <v>3239654978</v>
      </c>
      <c r="I156" s="322">
        <f>+I130+I155</f>
        <v>1385500274</v>
      </c>
      <c r="J156" s="223">
        <f>+J130+J155</f>
        <v>227256857</v>
      </c>
      <c r="K156" s="223">
        <f>+K130+K155</f>
        <v>1626897847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27. számú tájékoztató tábla a ./....(......)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46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276" t="s">
        <v>11</v>
      </c>
      <c r="B1" s="1276"/>
      <c r="C1" s="1276"/>
      <c r="D1" s="1276"/>
      <c r="E1" s="1276"/>
      <c r="F1" s="1276"/>
      <c r="G1" s="1276"/>
      <c r="H1" s="1276"/>
      <c r="I1" s="1276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309" t="s">
        <v>74</v>
      </c>
      <c r="B3" s="1311" t="s">
        <v>88</v>
      </c>
      <c r="C3" s="1309" t="s">
        <v>89</v>
      </c>
      <c r="D3" s="1309" t="s">
        <v>709</v>
      </c>
      <c r="E3" s="1313" t="s">
        <v>73</v>
      </c>
      <c r="F3" s="1314"/>
      <c r="G3" s="1314"/>
      <c r="H3" s="1315"/>
      <c r="I3" s="1311" t="s">
        <v>54</v>
      </c>
    </row>
    <row r="4" spans="1:9" s="259" customFormat="1" ht="17.25" customHeight="1" thickBot="1" x14ac:dyDescent="0.25">
      <c r="A4" s="1310"/>
      <c r="B4" s="1312"/>
      <c r="C4" s="1312"/>
      <c r="D4" s="1310"/>
      <c r="E4" s="1133">
        <v>2019</v>
      </c>
      <c r="F4" s="1133">
        <v>2020</v>
      </c>
      <c r="G4" s="1133">
        <v>2021</v>
      </c>
      <c r="H4" s="1134" t="s">
        <v>723</v>
      </c>
      <c r="I4" s="1312"/>
    </row>
    <row r="5" spans="1:9" s="260" customFormat="1" ht="18" customHeight="1" thickBot="1" x14ac:dyDescent="0.25">
      <c r="A5" s="333">
        <v>1</v>
      </c>
      <c r="B5" s="1135">
        <v>2</v>
      </c>
      <c r="C5" s="1147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39" t="s">
        <v>22</v>
      </c>
      <c r="B6" s="1137" t="s">
        <v>12</v>
      </c>
      <c r="C6" s="1136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41" t="s">
        <v>23</v>
      </c>
      <c r="B7" s="1138"/>
      <c r="C7" s="1148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42" t="s">
        <v>24</v>
      </c>
      <c r="B8" s="1143" t="s">
        <v>13</v>
      </c>
      <c r="C8" s="1149"/>
      <c r="D8" s="1144"/>
      <c r="E8" s="1144"/>
      <c r="F8" s="1144"/>
      <c r="G8" s="1144"/>
      <c r="H8" s="1144"/>
      <c r="I8" s="1145"/>
    </row>
    <row r="9" spans="1:9" ht="32.25" customHeight="1" x14ac:dyDescent="0.2">
      <c r="A9" s="1140" t="s">
        <v>25</v>
      </c>
      <c r="B9" s="1154" t="s">
        <v>581</v>
      </c>
      <c r="C9" s="1155">
        <v>2016</v>
      </c>
      <c r="D9" s="595">
        <v>4444000</v>
      </c>
      <c r="E9" s="1156">
        <v>4444000</v>
      </c>
      <c r="F9" s="1156">
        <v>1806590</v>
      </c>
      <c r="G9" s="1157">
        <v>0</v>
      </c>
      <c r="H9" s="1157">
        <v>0</v>
      </c>
      <c r="I9" s="560">
        <f>SUM(D9:H9)</f>
        <v>10694590</v>
      </c>
    </row>
    <row r="10" spans="1:9" ht="33" customHeight="1" x14ac:dyDescent="0.2">
      <c r="A10" s="1140" t="s">
        <v>26</v>
      </c>
      <c r="B10" s="1154" t="s">
        <v>582</v>
      </c>
      <c r="C10" s="1155">
        <v>2016</v>
      </c>
      <c r="D10" s="595">
        <v>1104000</v>
      </c>
      <c r="E10" s="1156">
        <v>1840000</v>
      </c>
      <c r="F10" s="1156">
        <v>1472000</v>
      </c>
      <c r="G10" s="1156">
        <v>1472000</v>
      </c>
      <c r="H10" s="1157">
        <v>4415000</v>
      </c>
      <c r="I10" s="560">
        <f>SUM(D10:H10)</f>
        <v>10303000</v>
      </c>
    </row>
    <row r="11" spans="1:9" ht="35.25" customHeight="1" x14ac:dyDescent="0.2">
      <c r="A11" s="1140" t="s">
        <v>27</v>
      </c>
      <c r="B11" s="1154" t="s">
        <v>583</v>
      </c>
      <c r="C11" s="1155">
        <v>2016</v>
      </c>
      <c r="D11" s="595">
        <v>2217500</v>
      </c>
      <c r="E11" s="595">
        <v>887000</v>
      </c>
      <c r="F11" s="595">
        <v>887000</v>
      </c>
      <c r="G11" s="595">
        <v>443461</v>
      </c>
      <c r="H11" s="595">
        <v>0</v>
      </c>
      <c r="I11" s="560">
        <f t="shared" ref="I11:I26" si="0">SUM(D11:H11)</f>
        <v>4434961</v>
      </c>
    </row>
    <row r="12" spans="1:9" ht="30" customHeight="1" x14ac:dyDescent="0.2">
      <c r="A12" s="1140" t="s">
        <v>28</v>
      </c>
      <c r="B12" s="1154" t="s">
        <v>584</v>
      </c>
      <c r="C12" s="1155">
        <v>2016</v>
      </c>
      <c r="D12" s="595">
        <v>2782500</v>
      </c>
      <c r="E12" s="595">
        <v>1113000</v>
      </c>
      <c r="F12" s="595">
        <v>1113000</v>
      </c>
      <c r="G12" s="595">
        <v>556539</v>
      </c>
      <c r="H12" s="595">
        <v>0</v>
      </c>
      <c r="I12" s="560">
        <f t="shared" si="0"/>
        <v>5565039</v>
      </c>
    </row>
    <row r="13" spans="1:9" ht="30" customHeight="1" x14ac:dyDescent="0.2">
      <c r="A13" s="1140" t="s">
        <v>29</v>
      </c>
      <c r="B13" s="1154" t="s">
        <v>607</v>
      </c>
      <c r="C13" s="1155">
        <v>2017</v>
      </c>
      <c r="D13" s="595">
        <v>0</v>
      </c>
      <c r="E13" s="595">
        <v>4940000</v>
      </c>
      <c r="F13" s="595">
        <v>4940000</v>
      </c>
      <c r="G13" s="595">
        <v>4940000</v>
      </c>
      <c r="H13" s="595">
        <v>26281155</v>
      </c>
      <c r="I13" s="560">
        <f t="shared" si="0"/>
        <v>41101155</v>
      </c>
    </row>
    <row r="14" spans="1:9" ht="30" customHeight="1" x14ac:dyDescent="0.2">
      <c r="A14" s="1140" t="s">
        <v>30</v>
      </c>
      <c r="B14" s="1154" t="s">
        <v>589</v>
      </c>
      <c r="C14" s="1155">
        <v>2017</v>
      </c>
      <c r="D14" s="595">
        <v>0</v>
      </c>
      <c r="E14" s="595">
        <v>1464000</v>
      </c>
      <c r="F14" s="595">
        <v>1464000</v>
      </c>
      <c r="G14" s="595">
        <v>1464000</v>
      </c>
      <c r="H14" s="595">
        <v>1108000</v>
      </c>
      <c r="I14" s="560">
        <f t="shared" si="0"/>
        <v>5500000</v>
      </c>
    </row>
    <row r="15" spans="1:9" ht="30" customHeight="1" x14ac:dyDescent="0.2">
      <c r="A15" s="1140" t="s">
        <v>31</v>
      </c>
      <c r="B15" s="1154" t="s">
        <v>608</v>
      </c>
      <c r="C15" s="1155">
        <v>2018</v>
      </c>
      <c r="D15" s="1158">
        <v>0</v>
      </c>
      <c r="E15" s="1156">
        <v>492000</v>
      </c>
      <c r="F15" s="1156">
        <v>984000</v>
      </c>
      <c r="G15" s="1156">
        <v>984000</v>
      </c>
      <c r="H15" s="595">
        <v>741452</v>
      </c>
      <c r="I15" s="560">
        <f t="shared" si="0"/>
        <v>3201452</v>
      </c>
    </row>
    <row r="16" spans="1:9" ht="30" customHeight="1" x14ac:dyDescent="0.2">
      <c r="A16" s="1140" t="s">
        <v>32</v>
      </c>
      <c r="B16" s="1154" t="s">
        <v>839</v>
      </c>
      <c r="C16" s="1155">
        <v>2018</v>
      </c>
      <c r="D16" s="1158">
        <v>0</v>
      </c>
      <c r="E16" s="1156">
        <v>621000</v>
      </c>
      <c r="F16" s="1156">
        <v>1242000</v>
      </c>
      <c r="G16" s="1156">
        <v>1118946</v>
      </c>
      <c r="H16" s="595">
        <v>0</v>
      </c>
      <c r="I16" s="560">
        <f t="shared" si="0"/>
        <v>2981946</v>
      </c>
    </row>
    <row r="17" spans="1:10" ht="26.25" customHeight="1" x14ac:dyDescent="0.2">
      <c r="A17" s="1140" t="s">
        <v>33</v>
      </c>
      <c r="B17" s="1154" t="s">
        <v>606</v>
      </c>
      <c r="C17" s="1155">
        <v>2018</v>
      </c>
      <c r="D17" s="1158">
        <v>0</v>
      </c>
      <c r="E17" s="1156">
        <v>317500</v>
      </c>
      <c r="F17" s="1156">
        <v>1270000</v>
      </c>
      <c r="G17" s="1156">
        <v>1270000</v>
      </c>
      <c r="H17" s="595">
        <v>2011242</v>
      </c>
      <c r="I17" s="560">
        <f t="shared" si="0"/>
        <v>4868742</v>
      </c>
    </row>
    <row r="18" spans="1:10" ht="30" customHeight="1" x14ac:dyDescent="0.2">
      <c r="A18" s="1140" t="s">
        <v>34</v>
      </c>
      <c r="B18" s="1154" t="s">
        <v>609</v>
      </c>
      <c r="C18" s="1155">
        <v>2018</v>
      </c>
      <c r="D18" s="1158">
        <v>0</v>
      </c>
      <c r="E18" s="1156">
        <v>834000</v>
      </c>
      <c r="F18" s="1156">
        <v>1668000</v>
      </c>
      <c r="G18" s="1156">
        <v>1668000</v>
      </c>
      <c r="H18" s="595">
        <v>5725526</v>
      </c>
      <c r="I18" s="560">
        <f t="shared" si="0"/>
        <v>9895526</v>
      </c>
    </row>
    <row r="19" spans="1:10" ht="30" customHeight="1" x14ac:dyDescent="0.2">
      <c r="A19" s="1140" t="s">
        <v>35</v>
      </c>
      <c r="B19" s="1154" t="s">
        <v>610</v>
      </c>
      <c r="C19" s="1155">
        <v>2018</v>
      </c>
      <c r="D19" s="595">
        <v>0</v>
      </c>
      <c r="E19" s="595">
        <v>0</v>
      </c>
      <c r="F19" s="595">
        <v>1834504</v>
      </c>
      <c r="G19" s="1156">
        <v>1834504</v>
      </c>
      <c r="H19" s="595">
        <v>5373754</v>
      </c>
      <c r="I19" s="560">
        <f t="shared" si="0"/>
        <v>9042762</v>
      </c>
    </row>
    <row r="20" spans="1:10" ht="30" customHeight="1" x14ac:dyDescent="0.2">
      <c r="A20" s="1140" t="s">
        <v>36</v>
      </c>
      <c r="B20" s="1154" t="s">
        <v>840</v>
      </c>
      <c r="C20" s="1155">
        <v>2018</v>
      </c>
      <c r="D20" s="595">
        <v>0</v>
      </c>
      <c r="E20" s="595">
        <v>0</v>
      </c>
      <c r="F20" s="595">
        <v>3171740</v>
      </c>
      <c r="G20" s="1156">
        <v>3171740</v>
      </c>
      <c r="H20" s="595">
        <v>15858717</v>
      </c>
      <c r="I20" s="560">
        <f t="shared" si="0"/>
        <v>22202197</v>
      </c>
    </row>
    <row r="21" spans="1:10" ht="20.100000000000001" customHeight="1" x14ac:dyDescent="0.2">
      <c r="A21" s="1140" t="s">
        <v>37</v>
      </c>
      <c r="B21" s="1159" t="s">
        <v>841</v>
      </c>
      <c r="C21" s="1160">
        <v>2018</v>
      </c>
      <c r="D21" s="1161">
        <v>0</v>
      </c>
      <c r="E21" s="1161">
        <v>0</v>
      </c>
      <c r="F21" s="1161">
        <v>2777600</v>
      </c>
      <c r="G21" s="1161">
        <v>2777600</v>
      </c>
      <c r="H21" s="1161">
        <v>19444800</v>
      </c>
      <c r="I21" s="560">
        <f t="shared" si="0"/>
        <v>25000000</v>
      </c>
    </row>
    <row r="22" spans="1:10" ht="20.100000000000001" customHeight="1" x14ac:dyDescent="0.2">
      <c r="A22" s="1140" t="s">
        <v>38</v>
      </c>
      <c r="B22" s="1162" t="s">
        <v>842</v>
      </c>
      <c r="C22" s="1163">
        <v>2019</v>
      </c>
      <c r="D22" s="1164">
        <v>0</v>
      </c>
      <c r="E22" s="1164">
        <v>0</v>
      </c>
      <c r="F22" s="1164">
        <v>508500</v>
      </c>
      <c r="G22" s="1164">
        <v>1017000</v>
      </c>
      <c r="H22" s="1164">
        <v>2541409</v>
      </c>
      <c r="I22" s="560">
        <f t="shared" si="0"/>
        <v>4066909</v>
      </c>
    </row>
    <row r="23" spans="1:10" ht="24" customHeight="1" thickBot="1" x14ac:dyDescent="0.25">
      <c r="A23" s="1165" t="s">
        <v>39</v>
      </c>
      <c r="B23" s="1166" t="s">
        <v>843</v>
      </c>
      <c r="C23" s="1167">
        <v>2019</v>
      </c>
      <c r="D23" s="1168">
        <v>0</v>
      </c>
      <c r="E23" s="1168">
        <v>0</v>
      </c>
      <c r="F23" s="1168">
        <v>900000</v>
      </c>
      <c r="G23" s="1168">
        <v>3600000</v>
      </c>
      <c r="H23" s="1168">
        <v>13500000</v>
      </c>
      <c r="I23" s="1169">
        <f t="shared" si="0"/>
        <v>18000000</v>
      </c>
    </row>
    <row r="24" spans="1:10" ht="20.100000000000001" customHeight="1" x14ac:dyDescent="0.2">
      <c r="A24" s="1139" t="s">
        <v>40</v>
      </c>
      <c r="B24" s="1236" t="s">
        <v>863</v>
      </c>
      <c r="C24" s="1237">
        <v>2018</v>
      </c>
      <c r="D24" s="1238">
        <v>8650108</v>
      </c>
      <c r="E24" s="1238">
        <v>81300292</v>
      </c>
      <c r="F24" s="1238">
        <f>51086432-5611216</f>
        <v>45475216</v>
      </c>
      <c r="G24" s="1238">
        <v>5611216</v>
      </c>
      <c r="H24" s="1238"/>
      <c r="I24" s="1239">
        <f t="shared" si="0"/>
        <v>141036832</v>
      </c>
      <c r="J24" s="261"/>
    </row>
    <row r="25" spans="1:10" ht="20.100000000000001" customHeight="1" x14ac:dyDescent="0.2">
      <c r="A25" s="1140" t="s">
        <v>41</v>
      </c>
      <c r="B25" s="166" t="s">
        <v>864</v>
      </c>
      <c r="C25" s="1155">
        <v>2018</v>
      </c>
      <c r="D25" s="595">
        <v>797160</v>
      </c>
      <c r="E25" s="595">
        <v>15159000</v>
      </c>
      <c r="F25" s="595"/>
      <c r="G25" s="595"/>
      <c r="H25" s="595"/>
      <c r="I25" s="337">
        <f t="shared" si="0"/>
        <v>15956160</v>
      </c>
      <c r="J25" s="261"/>
    </row>
    <row r="26" spans="1:10" ht="20.100000000000001" customHeight="1" thickBot="1" x14ac:dyDescent="0.25">
      <c r="A26" s="1165" t="s">
        <v>42</v>
      </c>
      <c r="B26" s="1170" t="s">
        <v>854</v>
      </c>
      <c r="C26" s="1163">
        <v>2018</v>
      </c>
      <c r="D26" s="1164">
        <v>15243810</v>
      </c>
      <c r="E26" s="1164">
        <v>198884010</v>
      </c>
      <c r="F26" s="1164"/>
      <c r="G26" s="1164"/>
      <c r="H26" s="1164"/>
      <c r="I26" s="1169">
        <f t="shared" si="0"/>
        <v>214127820</v>
      </c>
      <c r="J26" s="261"/>
    </row>
    <row r="27" spans="1:10" ht="20.100000000000001" customHeight="1" thickBot="1" x14ac:dyDescent="0.25">
      <c r="A27" s="1307" t="s">
        <v>56</v>
      </c>
      <c r="B27" s="1308"/>
      <c r="C27" s="1234"/>
      <c r="D27" s="1235">
        <f t="shared" ref="D27:H27" si="1">SUM(D9:D26)</f>
        <v>35239078</v>
      </c>
      <c r="E27" s="1235">
        <f t="shared" si="1"/>
        <v>312295802</v>
      </c>
      <c r="F27" s="1235">
        <f t="shared" si="1"/>
        <v>71514150</v>
      </c>
      <c r="G27" s="1235">
        <f t="shared" si="1"/>
        <v>31929006</v>
      </c>
      <c r="H27" s="1235">
        <f t="shared" si="1"/>
        <v>97001055</v>
      </c>
      <c r="I27" s="1235">
        <f>SUM(I9:I26)</f>
        <v>547979091</v>
      </c>
    </row>
    <row r="29" spans="1:10" ht="15" x14ac:dyDescent="0.25">
      <c r="B29" s="75" t="s">
        <v>540</v>
      </c>
      <c r="C29" s="1150"/>
      <c r="D29" s="75"/>
      <c r="E29" s="75"/>
      <c r="F29" s="75"/>
      <c r="G29" s="75"/>
      <c r="H29" s="75"/>
    </row>
    <row r="31" spans="1:10" ht="15.75" x14ac:dyDescent="0.2">
      <c r="B31" s="561"/>
    </row>
    <row r="32" spans="1:10" ht="15.75" x14ac:dyDescent="0.2">
      <c r="B32" s="1108"/>
      <c r="C32" s="1151"/>
      <c r="D32" s="262"/>
      <c r="E32" s="262"/>
      <c r="F32" s="262"/>
      <c r="G32" s="262"/>
      <c r="H32" s="262"/>
    </row>
    <row r="33" spans="2:4" x14ac:dyDescent="0.2">
      <c r="B33" s="262"/>
      <c r="C33" s="1152"/>
    </row>
    <row r="34" spans="2:4" x14ac:dyDescent="0.2">
      <c r="B34" s="262"/>
      <c r="C34" s="1152"/>
    </row>
    <row r="35" spans="2:4" x14ac:dyDescent="0.2">
      <c r="B35" s="262"/>
      <c r="C35" s="1153"/>
    </row>
    <row r="36" spans="2:4" x14ac:dyDescent="0.2">
      <c r="B36" s="262"/>
      <c r="C36" s="1152"/>
    </row>
    <row r="37" spans="2:4" x14ac:dyDescent="0.2">
      <c r="B37" s="262"/>
      <c r="C37" s="1152"/>
    </row>
    <row r="38" spans="2:4" x14ac:dyDescent="0.2">
      <c r="B38" s="262"/>
      <c r="C38" s="1152"/>
    </row>
    <row r="39" spans="2:4" x14ac:dyDescent="0.2">
      <c r="B39" s="262"/>
      <c r="C39" s="1152"/>
    </row>
    <row r="40" spans="2:4" x14ac:dyDescent="0.2">
      <c r="B40" s="262"/>
      <c r="C40" s="1152"/>
    </row>
    <row r="41" spans="2:4" x14ac:dyDescent="0.2">
      <c r="B41" s="262"/>
      <c r="C41" s="1152"/>
    </row>
    <row r="42" spans="2:4" ht="17.25" customHeight="1" x14ac:dyDescent="0.2">
      <c r="B42" s="263"/>
      <c r="C42" s="1153"/>
    </row>
    <row r="43" spans="2:4" x14ac:dyDescent="0.2">
      <c r="B43" s="262"/>
    </row>
    <row r="44" spans="2:4" x14ac:dyDescent="0.2">
      <c r="B44" s="264"/>
      <c r="C44" s="1153"/>
    </row>
    <row r="45" spans="2:4" x14ac:dyDescent="0.2">
      <c r="C45" s="1152"/>
      <c r="D45" s="34"/>
    </row>
    <row r="46" spans="2:4" x14ac:dyDescent="0.2">
      <c r="C46" s="1152"/>
      <c r="D46" s="34"/>
    </row>
    <row r="47" spans="2:4" x14ac:dyDescent="0.2">
      <c r="C47" s="1152"/>
      <c r="D47" s="34"/>
    </row>
    <row r="49" spans="2:4" x14ac:dyDescent="0.2">
      <c r="B49" s="264"/>
      <c r="C49" s="1153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716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316" t="s">
        <v>663</v>
      </c>
      <c r="C1" s="1316"/>
      <c r="D1" s="1316"/>
    </row>
    <row r="2" spans="1:4" s="41" customFormat="1" ht="16.5" thickBot="1" x14ac:dyDescent="0.3">
      <c r="A2" s="717"/>
      <c r="B2" s="718" t="s">
        <v>865</v>
      </c>
      <c r="D2" s="719" t="s">
        <v>572</v>
      </c>
    </row>
    <row r="3" spans="1:4" s="694" customFormat="1" ht="48" customHeight="1" thickBot="1" x14ac:dyDescent="0.25">
      <c r="A3" s="720" t="s">
        <v>20</v>
      </c>
      <c r="B3" s="692" t="s">
        <v>21</v>
      </c>
      <c r="C3" s="692" t="s">
        <v>664</v>
      </c>
      <c r="D3" s="693" t="s">
        <v>665</v>
      </c>
    </row>
    <row r="4" spans="1:4" s="694" customFormat="1" ht="14.1" customHeight="1" thickBot="1" x14ac:dyDescent="0.25">
      <c r="A4" s="721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22" t="s">
        <v>22</v>
      </c>
      <c r="B5" s="723" t="s">
        <v>666</v>
      </c>
      <c r="C5" s="724"/>
      <c r="D5" s="725"/>
    </row>
    <row r="6" spans="1:4" ht="18" customHeight="1" x14ac:dyDescent="0.2">
      <c r="A6" s="726" t="s">
        <v>23</v>
      </c>
      <c r="B6" s="727" t="s">
        <v>667</v>
      </c>
      <c r="C6" s="728"/>
      <c r="D6" s="44"/>
    </row>
    <row r="7" spans="1:4" ht="18" customHeight="1" x14ac:dyDescent="0.2">
      <c r="A7" s="726" t="s">
        <v>24</v>
      </c>
      <c r="B7" s="727" t="s">
        <v>668</v>
      </c>
      <c r="C7" s="728"/>
      <c r="D7" s="44"/>
    </row>
    <row r="8" spans="1:4" ht="18" customHeight="1" x14ac:dyDescent="0.2">
      <c r="A8" s="726" t="s">
        <v>25</v>
      </c>
      <c r="B8" s="727" t="s">
        <v>669</v>
      </c>
      <c r="C8" s="728"/>
      <c r="D8" s="44"/>
    </row>
    <row r="9" spans="1:4" ht="18" customHeight="1" x14ac:dyDescent="0.2">
      <c r="A9" s="726" t="s">
        <v>26</v>
      </c>
      <c r="B9" s="727" t="s">
        <v>670</v>
      </c>
      <c r="C9" s="729">
        <f>SUM(C10:C15)</f>
        <v>0</v>
      </c>
      <c r="D9" s="730">
        <f>SUM(D10:D15)</f>
        <v>0</v>
      </c>
    </row>
    <row r="10" spans="1:4" ht="18" customHeight="1" x14ac:dyDescent="0.2">
      <c r="A10" s="726" t="s">
        <v>27</v>
      </c>
      <c r="B10" s="727" t="s">
        <v>671</v>
      </c>
      <c r="C10" s="728"/>
      <c r="D10" s="44"/>
    </row>
    <row r="11" spans="1:4" ht="18" customHeight="1" x14ac:dyDescent="0.2">
      <c r="A11" s="726" t="s">
        <v>28</v>
      </c>
      <c r="B11" s="731" t="s">
        <v>672</v>
      </c>
      <c r="C11" s="728"/>
      <c r="D11" s="44"/>
    </row>
    <row r="12" spans="1:4" ht="18" customHeight="1" x14ac:dyDescent="0.2">
      <c r="A12" s="726" t="s">
        <v>30</v>
      </c>
      <c r="B12" s="731" t="s">
        <v>673</v>
      </c>
      <c r="C12" s="728">
        <v>0</v>
      </c>
      <c r="D12" s="732"/>
    </row>
    <row r="13" spans="1:4" ht="18" customHeight="1" x14ac:dyDescent="0.2">
      <c r="A13" s="726" t="s">
        <v>31</v>
      </c>
      <c r="B13" s="731" t="s">
        <v>674</v>
      </c>
      <c r="C13" s="728"/>
      <c r="D13" s="44"/>
    </row>
    <row r="14" spans="1:4" ht="18" customHeight="1" x14ac:dyDescent="0.2">
      <c r="A14" s="726" t="s">
        <v>32</v>
      </c>
      <c r="B14" s="731" t="s">
        <v>675</v>
      </c>
      <c r="C14" s="728"/>
      <c r="D14" s="44"/>
    </row>
    <row r="15" spans="1:4" ht="22.5" customHeight="1" x14ac:dyDescent="0.2">
      <c r="A15" s="726" t="s">
        <v>33</v>
      </c>
      <c r="B15" s="731" t="s">
        <v>676</v>
      </c>
      <c r="C15" s="728"/>
      <c r="D15" s="44"/>
    </row>
    <row r="16" spans="1:4" ht="18" customHeight="1" x14ac:dyDescent="0.2">
      <c r="A16" s="726" t="s">
        <v>34</v>
      </c>
      <c r="B16" s="727" t="s">
        <v>677</v>
      </c>
      <c r="C16" s="728"/>
      <c r="D16" s="44"/>
    </row>
    <row r="17" spans="1:4" ht="18" customHeight="1" x14ac:dyDescent="0.2">
      <c r="A17" s="726" t="s">
        <v>35</v>
      </c>
      <c r="B17" s="727" t="s">
        <v>678</v>
      </c>
      <c r="C17" s="728"/>
      <c r="D17" s="44"/>
    </row>
    <row r="18" spans="1:4" ht="18" customHeight="1" x14ac:dyDescent="0.2">
      <c r="A18" s="726" t="s">
        <v>36</v>
      </c>
      <c r="B18" s="727" t="s">
        <v>679</v>
      </c>
      <c r="C18" s="728"/>
      <c r="D18" s="44"/>
    </row>
    <row r="19" spans="1:4" ht="18" customHeight="1" x14ac:dyDescent="0.2">
      <c r="A19" s="726" t="s">
        <v>37</v>
      </c>
      <c r="B19" s="727" t="s">
        <v>680</v>
      </c>
      <c r="C19" s="728"/>
      <c r="D19" s="44"/>
    </row>
    <row r="20" spans="1:4" ht="18" customHeight="1" x14ac:dyDescent="0.2">
      <c r="A20" s="726" t="s">
        <v>38</v>
      </c>
      <c r="B20" s="727" t="s">
        <v>681</v>
      </c>
      <c r="C20" s="728"/>
      <c r="D20" s="44"/>
    </row>
    <row r="21" spans="1:4" ht="18" customHeight="1" x14ac:dyDescent="0.2">
      <c r="A21" s="726" t="s">
        <v>39</v>
      </c>
      <c r="B21" s="733"/>
      <c r="C21" s="43"/>
      <c r="D21" s="44"/>
    </row>
    <row r="22" spans="1:4" ht="18" customHeight="1" x14ac:dyDescent="0.2">
      <c r="A22" s="726" t="s">
        <v>40</v>
      </c>
      <c r="B22" s="734"/>
      <c r="C22" s="43"/>
      <c r="D22" s="44"/>
    </row>
    <row r="23" spans="1:4" ht="18" customHeight="1" x14ac:dyDescent="0.2">
      <c r="A23" s="726" t="s">
        <v>41</v>
      </c>
      <c r="B23" s="734"/>
      <c r="C23" s="43"/>
      <c r="D23" s="44"/>
    </row>
    <row r="24" spans="1:4" ht="18" customHeight="1" x14ac:dyDescent="0.2">
      <c r="A24" s="726" t="s">
        <v>42</v>
      </c>
      <c r="B24" s="734"/>
      <c r="C24" s="43"/>
      <c r="D24" s="44"/>
    </row>
    <row r="25" spans="1:4" ht="18" customHeight="1" x14ac:dyDescent="0.2">
      <c r="A25" s="726" t="s">
        <v>43</v>
      </c>
      <c r="B25" s="734"/>
      <c r="C25" s="43"/>
      <c r="D25" s="44"/>
    </row>
    <row r="26" spans="1:4" ht="18" customHeight="1" x14ac:dyDescent="0.2">
      <c r="A26" s="726" t="s">
        <v>44</v>
      </c>
      <c r="B26" s="734"/>
      <c r="C26" s="43"/>
      <c r="D26" s="44"/>
    </row>
    <row r="27" spans="1:4" ht="18" customHeight="1" x14ac:dyDescent="0.2">
      <c r="A27" s="726" t="s">
        <v>45</v>
      </c>
      <c r="B27" s="734"/>
      <c r="C27" s="43"/>
      <c r="D27" s="44"/>
    </row>
    <row r="28" spans="1:4" ht="18" customHeight="1" x14ac:dyDescent="0.2">
      <c r="A28" s="726" t="s">
        <v>46</v>
      </c>
      <c r="B28" s="734"/>
      <c r="C28" s="43"/>
      <c r="D28" s="44"/>
    </row>
    <row r="29" spans="1:4" ht="18" customHeight="1" thickBot="1" x14ac:dyDescent="0.25">
      <c r="A29" s="735" t="s">
        <v>47</v>
      </c>
      <c r="B29" s="736"/>
      <c r="C29" s="737"/>
      <c r="D29" s="45"/>
    </row>
    <row r="30" spans="1:4" ht="18" customHeight="1" thickBot="1" x14ac:dyDescent="0.25">
      <c r="A30" s="738" t="s">
        <v>48</v>
      </c>
      <c r="B30" s="739" t="s">
        <v>56</v>
      </c>
      <c r="C30" s="740">
        <f>+C5+C6+C7+C8+C9+C16+C17+C18+C19+C20+C21+C22+C23+C24+C25+C26+C27+C28+C29</f>
        <v>0</v>
      </c>
      <c r="D30" s="741">
        <f>+D5+D6+D7+D8+D9+D16+D17+D18+D19+D20+D21+D22+D23+D24+D25+D26+D27+D28+D29</f>
        <v>0</v>
      </c>
    </row>
    <row r="31" spans="1:4" ht="8.25" customHeight="1" x14ac:dyDescent="0.2">
      <c r="A31" s="742"/>
      <c r="B31" s="1317"/>
      <c r="C31" s="1317"/>
      <c r="D31" s="1317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Normal="100" workbookViewId="0">
      <selection sqref="A1:O1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1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318" t="s">
        <v>710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  <c r="N1" s="1319"/>
      <c r="O1" s="1319"/>
    </row>
    <row r="2" spans="1:17" ht="16.5" thickBot="1" x14ac:dyDescent="0.3">
      <c r="O2" s="588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320" t="s">
        <v>60</v>
      </c>
      <c r="C4" s="1321"/>
      <c r="D4" s="1321"/>
      <c r="E4" s="1321"/>
      <c r="F4" s="1321"/>
      <c r="G4" s="1321"/>
      <c r="H4" s="1321"/>
      <c r="I4" s="1321"/>
      <c r="J4" s="1321"/>
      <c r="K4" s="1321"/>
      <c r="L4" s="1321"/>
      <c r="M4" s="1321"/>
      <c r="N4" s="1321"/>
      <c r="O4" s="1322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</f>
        <v>124990000</v>
      </c>
      <c r="G5" s="295">
        <f>116990000+8000000</f>
        <v>124990000</v>
      </c>
      <c r="H5" s="295">
        <f>120000000+8000000</f>
        <v>128000000</v>
      </c>
      <c r="I5" s="295">
        <f>120000000+8000000</f>
        <v>128000000</v>
      </c>
      <c r="J5" s="295">
        <f>125000000+8451187</f>
        <v>133451187</v>
      </c>
      <c r="K5" s="295">
        <f>116990000+8000000</f>
        <v>124990000</v>
      </c>
      <c r="L5" s="295">
        <f>116990000+8000000-1570877</f>
        <v>123419123</v>
      </c>
      <c r="M5" s="295">
        <f>116990000+8000000</f>
        <v>124990000</v>
      </c>
      <c r="N5" s="295">
        <v>130000000</v>
      </c>
      <c r="O5" s="486">
        <f t="shared" ref="O5:O13" si="0">SUM(C5:N5)</f>
        <v>1460810310</v>
      </c>
      <c r="P5" s="484">
        <v>1460810310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</f>
        <v>2824075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438">
        <f t="shared" si="0"/>
        <v>232190024</v>
      </c>
      <c r="P6" s="487">
        <v>232190024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1438">
        <f t="shared" si="0"/>
        <v>165284566</v>
      </c>
      <c r="P7" s="487"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v>481500000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</f>
        <v>32935064</v>
      </c>
      <c r="F9" s="272">
        <f>29000000+129530</f>
        <v>29129530</v>
      </c>
      <c r="G9" s="272">
        <v>30000000</v>
      </c>
      <c r="H9" s="272">
        <v>31000000</v>
      </c>
      <c r="I9" s="272">
        <v>28000000</v>
      </c>
      <c r="J9" s="272">
        <v>27000000</v>
      </c>
      <c r="K9" s="272">
        <v>25000000</v>
      </c>
      <c r="L9" s="272">
        <v>25000000</v>
      </c>
      <c r="M9" s="272">
        <f>30000000+4594921</f>
        <v>34594921</v>
      </c>
      <c r="N9" s="272">
        <v>26003657</v>
      </c>
      <c r="O9" s="1438">
        <f t="shared" si="0"/>
        <v>341663172</v>
      </c>
      <c r="P9" s="487">
        <v>341663172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1438">
        <f t="shared" si="0"/>
        <v>2182700</v>
      </c>
      <c r="P11" s="487">
        <v>2182700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</f>
        <v>375936706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533936706</v>
      </c>
      <c r="P13" s="489">
        <v>533936706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472056706</v>
      </c>
      <c r="D14" s="59">
        <f t="shared" si="2"/>
        <v>231110000</v>
      </c>
      <c r="E14" s="59">
        <f t="shared" si="2"/>
        <v>395897764</v>
      </c>
      <c r="F14" s="59">
        <f t="shared" si="2"/>
        <v>227124723</v>
      </c>
      <c r="G14" s="59">
        <f t="shared" si="2"/>
        <v>202934075</v>
      </c>
      <c r="H14" s="59">
        <f t="shared" si="2"/>
        <v>198120000</v>
      </c>
      <c r="I14" s="59">
        <f t="shared" si="2"/>
        <v>221120000</v>
      </c>
      <c r="J14" s="59">
        <f t="shared" si="2"/>
        <v>179571187</v>
      </c>
      <c r="K14" s="59">
        <f t="shared" si="2"/>
        <v>486710000</v>
      </c>
      <c r="L14" s="59">
        <f t="shared" si="2"/>
        <v>167078623</v>
      </c>
      <c r="M14" s="59">
        <f t="shared" si="2"/>
        <v>230555743</v>
      </c>
      <c r="N14" s="59">
        <f t="shared" si="2"/>
        <v>227376157</v>
      </c>
      <c r="O14" s="589">
        <f>SUM(C14:N14)</f>
        <v>3239654978</v>
      </c>
      <c r="P14" s="491">
        <f>SUM(P5:P13)</f>
        <v>3239654978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320" t="s">
        <v>61</v>
      </c>
      <c r="C15" s="1321"/>
      <c r="D15" s="1321"/>
      <c r="E15" s="1321"/>
      <c r="F15" s="1321"/>
      <c r="G15" s="1321"/>
      <c r="H15" s="1321"/>
      <c r="I15" s="1321"/>
      <c r="J15" s="1321"/>
      <c r="K15" s="1321"/>
      <c r="L15" s="1321"/>
      <c r="M15" s="1321"/>
      <c r="N15" s="1321"/>
      <c r="O15" s="1322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</f>
        <v>90398097</v>
      </c>
      <c r="H16" s="496">
        <f>88000000+316325</f>
        <v>88316325</v>
      </c>
      <c r="I16" s="496">
        <f>88000000+316325</f>
        <v>88316325</v>
      </c>
      <c r="J16" s="496">
        <f>88000000+316325</f>
        <v>88316325</v>
      </c>
      <c r="K16" s="496">
        <f>88000000+316325</f>
        <v>88316325</v>
      </c>
      <c r="L16" s="496">
        <f>88000000+316325</f>
        <v>88316325</v>
      </c>
      <c r="M16" s="496">
        <f>88000000+316325</f>
        <v>88316325</v>
      </c>
      <c r="N16" s="496">
        <f>88000000+383890</f>
        <v>88383890</v>
      </c>
      <c r="O16" s="1438">
        <f t="shared" ref="O16:O26" si="3">SUM(C16:N16)</f>
        <v>1060522902</v>
      </c>
      <c r="P16" s="596">
        <v>1060522902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</f>
        <v>18835893</v>
      </c>
      <c r="H17" s="272">
        <f>18336560+63000</f>
        <v>18399560</v>
      </c>
      <c r="I17" s="272">
        <f>18336560+63000</f>
        <v>18399560</v>
      </c>
      <c r="J17" s="272">
        <f>18336560+63000</f>
        <v>18399560</v>
      </c>
      <c r="K17" s="272">
        <f>18336560+63000</f>
        <v>18399560</v>
      </c>
      <c r="L17" s="272">
        <f>18336560+63000</f>
        <v>18399560</v>
      </c>
      <c r="M17" s="272">
        <f>18336560+63000</f>
        <v>18399560</v>
      </c>
      <c r="N17" s="272">
        <f>18336560+63277</f>
        <v>18399837</v>
      </c>
      <c r="O17" s="1438">
        <f t="shared" si="3"/>
        <v>220941970</v>
      </c>
      <c r="P17" s="487">
        <v>220941970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v>75000000</v>
      </c>
      <c r="H18" s="272">
        <f>71000000+367088</f>
        <v>71367088</v>
      </c>
      <c r="I18" s="272">
        <v>72000000</v>
      </c>
      <c r="J18" s="272">
        <v>71500000</v>
      </c>
      <c r="K18" s="272">
        <v>75000000</v>
      </c>
      <c r="L18" s="272">
        <v>76000000</v>
      </c>
      <c r="M18" s="272">
        <f>77000000+4063544</f>
        <v>81063544</v>
      </c>
      <c r="N18" s="272">
        <f>78000000+1362039</f>
        <v>79362039</v>
      </c>
      <c r="O18" s="1438">
        <f t="shared" si="3"/>
        <v>911691403</v>
      </c>
      <c r="P18" s="487">
        <v>911691403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3"/>
        <v>75850000</v>
      </c>
      <c r="P19" s="487"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v>40000000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1438">
        <f t="shared" si="3"/>
        <v>221964570</v>
      </c>
      <c r="P20" s="487">
        <v>221964570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</f>
        <v>206600000</v>
      </c>
      <c r="J21" s="272">
        <v>6800000</v>
      </c>
      <c r="K21" s="272">
        <f>7000000+30000000</f>
        <v>37000000</v>
      </c>
      <c r="L21" s="272">
        <v>6800000</v>
      </c>
      <c r="M21" s="272">
        <v>6800000</v>
      </c>
      <c r="N21" s="272">
        <f>6733751+22307980</f>
        <v>29041731</v>
      </c>
      <c r="O21" s="1438">
        <f t="shared" si="3"/>
        <v>377241731</v>
      </c>
      <c r="P21" s="487">
        <v>377241731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3"/>
        <v>106313501</v>
      </c>
      <c r="P22" s="487"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3"/>
        <v>26919106</v>
      </c>
      <c r="P23" s="487"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</f>
        <v>8320000</v>
      </c>
      <c r="I24" s="272">
        <v>9100000</v>
      </c>
      <c r="J24" s="272">
        <v>8650000</v>
      </c>
      <c r="K24" s="272">
        <v>8700000</v>
      </c>
      <c r="L24" s="272">
        <v>8900000</v>
      </c>
      <c r="M24" s="272">
        <v>9200000</v>
      </c>
      <c r="N24" s="272">
        <v>9340965</v>
      </c>
      <c r="O24" s="1438">
        <f t="shared" si="3"/>
        <v>79352963</v>
      </c>
      <c r="P24" s="487">
        <f>79352963</f>
        <v>79352963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3"/>
        <v>158856832</v>
      </c>
      <c r="P25" s="489"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260048157</v>
      </c>
      <c r="H26" s="59">
        <f t="shared" si="4"/>
        <v>261182973</v>
      </c>
      <c r="I26" s="59">
        <f t="shared" si="4"/>
        <v>443215885</v>
      </c>
      <c r="J26" s="59">
        <f t="shared" si="4"/>
        <v>222894888</v>
      </c>
      <c r="K26" s="59">
        <f t="shared" si="4"/>
        <v>270965885</v>
      </c>
      <c r="L26" s="59">
        <f t="shared" si="4"/>
        <v>251915885</v>
      </c>
      <c r="M26" s="59">
        <f t="shared" si="4"/>
        <v>241348535</v>
      </c>
      <c r="N26" s="59">
        <f t="shared" si="4"/>
        <v>288980962</v>
      </c>
      <c r="O26" s="589">
        <f t="shared" si="3"/>
        <v>3239654978</v>
      </c>
      <c r="P26" s="491">
        <f>SUM(P16:P25)</f>
        <v>3239654978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230769859</v>
      </c>
      <c r="D27" s="61">
        <f t="shared" si="5"/>
        <v>21959939</v>
      </c>
      <c r="E27" s="61">
        <f t="shared" si="5"/>
        <v>115578315</v>
      </c>
      <c r="F27" s="61">
        <f t="shared" si="5"/>
        <v>-41220728</v>
      </c>
      <c r="G27" s="61">
        <f t="shared" si="5"/>
        <v>-57114082</v>
      </c>
      <c r="H27" s="61">
        <f t="shared" si="5"/>
        <v>-63062973</v>
      </c>
      <c r="I27" s="61">
        <f t="shared" si="5"/>
        <v>-222095885</v>
      </c>
      <c r="J27" s="61">
        <f t="shared" si="5"/>
        <v>-43323701</v>
      </c>
      <c r="K27" s="61">
        <f t="shared" si="5"/>
        <v>215744115</v>
      </c>
      <c r="L27" s="61">
        <f t="shared" si="5"/>
        <v>-84837262</v>
      </c>
      <c r="M27" s="61">
        <f t="shared" si="5"/>
        <v>-10792792</v>
      </c>
      <c r="N27" s="61">
        <f t="shared" si="5"/>
        <v>-61604805</v>
      </c>
      <c r="O27" s="590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2"/>
    </row>
    <row r="30" spans="1:17" x14ac:dyDescent="0.25">
      <c r="O30" s="592"/>
    </row>
    <row r="31" spans="1:17" x14ac:dyDescent="0.25">
      <c r="O31" s="592"/>
    </row>
    <row r="32" spans="1:17" x14ac:dyDescent="0.25">
      <c r="O32" s="592"/>
    </row>
    <row r="33" spans="15:15" x14ac:dyDescent="0.25">
      <c r="O33" s="592"/>
    </row>
    <row r="34" spans="15:15" x14ac:dyDescent="0.25">
      <c r="O34" s="592"/>
    </row>
    <row r="35" spans="15:15" x14ac:dyDescent="0.25">
      <c r="O35" s="592"/>
    </row>
    <row r="36" spans="15:15" x14ac:dyDescent="0.25">
      <c r="O36" s="592"/>
    </row>
    <row r="37" spans="15:15" x14ac:dyDescent="0.25">
      <c r="O37" s="592"/>
    </row>
    <row r="38" spans="15:15" x14ac:dyDescent="0.25">
      <c r="O38" s="592"/>
    </row>
    <row r="39" spans="15:15" x14ac:dyDescent="0.25">
      <c r="O39" s="592"/>
    </row>
    <row r="40" spans="15:15" x14ac:dyDescent="0.25">
      <c r="O40" s="592"/>
    </row>
    <row r="41" spans="15:15" x14ac:dyDescent="0.25">
      <c r="O41" s="592"/>
    </row>
    <row r="42" spans="15:15" x14ac:dyDescent="0.25">
      <c r="O42" s="592"/>
    </row>
    <row r="43" spans="15:15" x14ac:dyDescent="0.25">
      <c r="O43" s="592"/>
    </row>
    <row r="44" spans="15:15" x14ac:dyDescent="0.25">
      <c r="O44" s="592"/>
    </row>
    <row r="45" spans="15:15" x14ac:dyDescent="0.25">
      <c r="O45" s="592"/>
    </row>
    <row r="46" spans="15:15" x14ac:dyDescent="0.25">
      <c r="O46" s="592"/>
    </row>
    <row r="47" spans="15:15" x14ac:dyDescent="0.25">
      <c r="O47" s="592"/>
    </row>
    <row r="48" spans="15:15" x14ac:dyDescent="0.25">
      <c r="O48" s="592"/>
    </row>
    <row r="49" spans="15:15" x14ac:dyDescent="0.25">
      <c r="O49" s="592"/>
    </row>
    <row r="50" spans="15:15" x14ac:dyDescent="0.25">
      <c r="O50" s="592"/>
    </row>
    <row r="51" spans="15:15" x14ac:dyDescent="0.25">
      <c r="O51" s="592"/>
    </row>
    <row r="52" spans="15:15" x14ac:dyDescent="0.25">
      <c r="O52" s="592"/>
    </row>
    <row r="53" spans="15:15" x14ac:dyDescent="0.25">
      <c r="O53" s="592"/>
    </row>
    <row r="54" spans="15:15" x14ac:dyDescent="0.25">
      <c r="O54" s="592"/>
    </row>
    <row r="55" spans="15:15" x14ac:dyDescent="0.25">
      <c r="O55" s="592"/>
    </row>
    <row r="56" spans="15:15" x14ac:dyDescent="0.25">
      <c r="O56" s="592"/>
    </row>
    <row r="57" spans="15:15" x14ac:dyDescent="0.25">
      <c r="O57" s="592"/>
    </row>
    <row r="58" spans="15:15" x14ac:dyDescent="0.25">
      <c r="O58" s="592"/>
    </row>
    <row r="59" spans="15:15" x14ac:dyDescent="0.25">
      <c r="O59" s="592"/>
    </row>
    <row r="60" spans="15:15" x14ac:dyDescent="0.25">
      <c r="O60" s="592"/>
    </row>
    <row r="61" spans="15:15" x14ac:dyDescent="0.25">
      <c r="O61" s="592"/>
    </row>
    <row r="62" spans="15:15" x14ac:dyDescent="0.25">
      <c r="O62" s="592"/>
    </row>
    <row r="63" spans="15:15" x14ac:dyDescent="0.25">
      <c r="O63" s="592"/>
    </row>
    <row r="64" spans="15:15" x14ac:dyDescent="0.25">
      <c r="O64" s="592"/>
    </row>
    <row r="65" spans="15:15" x14ac:dyDescent="0.25">
      <c r="O65" s="592"/>
    </row>
    <row r="66" spans="15:15" x14ac:dyDescent="0.25">
      <c r="O66" s="592"/>
    </row>
    <row r="67" spans="15:15" x14ac:dyDescent="0.25">
      <c r="O67" s="592"/>
    </row>
    <row r="68" spans="15:15" x14ac:dyDescent="0.25">
      <c r="O68" s="592"/>
    </row>
    <row r="69" spans="15:15" x14ac:dyDescent="0.25">
      <c r="O69" s="592"/>
    </row>
    <row r="70" spans="15:15" x14ac:dyDescent="0.25">
      <c r="O70" s="592"/>
    </row>
    <row r="71" spans="15:15" x14ac:dyDescent="0.25">
      <c r="O71" s="592"/>
    </row>
    <row r="72" spans="15:15" x14ac:dyDescent="0.25">
      <c r="O72" s="592"/>
    </row>
    <row r="73" spans="15:15" x14ac:dyDescent="0.25">
      <c r="O73" s="592"/>
    </row>
    <row r="74" spans="15:15" x14ac:dyDescent="0.25">
      <c r="O74" s="592"/>
    </row>
    <row r="75" spans="15:15" x14ac:dyDescent="0.25">
      <c r="O75" s="592"/>
    </row>
    <row r="76" spans="15:15" x14ac:dyDescent="0.25">
      <c r="O76" s="592"/>
    </row>
    <row r="77" spans="15:15" x14ac:dyDescent="0.25">
      <c r="O77" s="592"/>
    </row>
    <row r="78" spans="15:15" x14ac:dyDescent="0.25">
      <c r="O78" s="592"/>
    </row>
    <row r="79" spans="15:15" x14ac:dyDescent="0.25">
      <c r="O79" s="592"/>
    </row>
    <row r="80" spans="15:15" x14ac:dyDescent="0.25">
      <c r="O80" s="592"/>
    </row>
    <row r="81" spans="15:15" x14ac:dyDescent="0.25">
      <c r="O81" s="592"/>
    </row>
    <row r="82" spans="15:15" x14ac:dyDescent="0.25">
      <c r="O82" s="59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28. számú tájékoztató tábla a ./....(......)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16" zoomScaleNormal="85" workbookViewId="0">
      <selection activeCell="C2" sqref="C2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323"/>
      <c r="B1" s="1323"/>
    </row>
    <row r="2" spans="1:2" ht="17.25" customHeight="1" x14ac:dyDescent="0.2">
      <c r="A2" s="266"/>
      <c r="B2" s="288"/>
    </row>
    <row r="3" spans="1:2" ht="42" customHeight="1" x14ac:dyDescent="0.2">
      <c r="A3" s="1324" t="s">
        <v>711</v>
      </c>
      <c r="B3" s="1324"/>
    </row>
    <row r="4" spans="1:2" ht="33" customHeight="1" thickBot="1" x14ac:dyDescent="0.3">
      <c r="A4" s="267"/>
      <c r="B4" s="197" t="s">
        <v>17</v>
      </c>
    </row>
    <row r="5" spans="1:2" x14ac:dyDescent="0.2">
      <c r="A5" s="1325" t="s">
        <v>66</v>
      </c>
      <c r="B5" s="1325" t="s">
        <v>712</v>
      </c>
    </row>
    <row r="6" spans="1:2" x14ac:dyDescent="0.2">
      <c r="A6" s="1326"/>
      <c r="B6" s="1326"/>
    </row>
    <row r="7" spans="1:2" ht="13.5" thickBot="1" x14ac:dyDescent="0.25">
      <c r="A7" s="1326"/>
      <c r="B7" s="1327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109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110" t="s">
        <v>844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845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111" t="s">
        <v>422</v>
      </c>
      <c r="B37" s="1112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13" t="s">
        <v>869</v>
      </c>
      <c r="B40" s="508">
        <v>4617241</v>
      </c>
    </row>
    <row r="41" spans="1:4" ht="30" customHeight="1" x14ac:dyDescent="0.25">
      <c r="A41" s="1113" t="s">
        <v>866</v>
      </c>
      <c r="B41" s="508">
        <f>3941300+768593</f>
        <v>4709893</v>
      </c>
    </row>
    <row r="42" spans="1:4" ht="30" customHeight="1" x14ac:dyDescent="0.25">
      <c r="A42" s="308" t="s">
        <v>867</v>
      </c>
      <c r="B42" s="512">
        <v>24707600</v>
      </c>
    </row>
    <row r="43" spans="1:4" ht="31.5" customHeight="1" x14ac:dyDescent="0.2">
      <c r="A43" s="1114" t="s">
        <v>868</v>
      </c>
      <c r="B43" s="1115">
        <v>67950505</v>
      </c>
    </row>
    <row r="44" spans="1:4" ht="31.5" customHeight="1" thickBot="1" x14ac:dyDescent="0.25">
      <c r="A44" s="1116" t="s">
        <v>870</v>
      </c>
      <c r="B44" s="1117">
        <v>7540892</v>
      </c>
    </row>
    <row r="45" spans="1:4" ht="19.5" thickBot="1" x14ac:dyDescent="0.35">
      <c r="A45" s="513" t="s">
        <v>56</v>
      </c>
      <c r="B45" s="1118">
        <f>B37+B36+B26+B21+B40+B41+B42+B43+B44</f>
        <v>1255496867</v>
      </c>
      <c r="D45" s="1171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zoomScaleNormal="130" workbookViewId="0">
      <selection activeCell="G2" sqref="G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72" customWidth="1"/>
  </cols>
  <sheetData>
    <row r="1" spans="1:6" ht="45" customHeight="1" x14ac:dyDescent="0.25">
      <c r="A1" s="1328" t="s">
        <v>713</v>
      </c>
      <c r="B1" s="1328"/>
      <c r="C1" s="1328"/>
      <c r="D1" s="1328"/>
    </row>
    <row r="2" spans="1:6" ht="17.25" customHeight="1" x14ac:dyDescent="0.25">
      <c r="A2" s="593"/>
      <c r="B2" s="593"/>
      <c r="C2" s="593"/>
      <c r="D2" s="1173"/>
    </row>
    <row r="3" spans="1:6" ht="13.5" thickBot="1" x14ac:dyDescent="0.25">
      <c r="A3" s="92"/>
      <c r="B3" s="92"/>
      <c r="C3" s="1329" t="s">
        <v>571</v>
      </c>
      <c r="D3" s="1329"/>
    </row>
    <row r="4" spans="1:6" ht="42.75" customHeight="1" thickBot="1" x14ac:dyDescent="0.25">
      <c r="A4" s="1178" t="s">
        <v>74</v>
      </c>
      <c r="B4" s="1179" t="s">
        <v>124</v>
      </c>
      <c r="C4" s="1179" t="s">
        <v>125</v>
      </c>
      <c r="D4" s="1180" t="s">
        <v>18</v>
      </c>
    </row>
    <row r="5" spans="1:6" ht="15.95" customHeight="1" x14ac:dyDescent="0.2">
      <c r="A5" s="1175" t="s">
        <v>22</v>
      </c>
      <c r="B5" s="1176" t="s">
        <v>425</v>
      </c>
      <c r="C5" s="271" t="s">
        <v>426</v>
      </c>
      <c r="D5" s="1177">
        <v>5000000</v>
      </c>
      <c r="E5" s="37"/>
      <c r="F5" s="37"/>
    </row>
    <row r="6" spans="1:6" ht="15.95" customHeight="1" x14ac:dyDescent="0.2">
      <c r="A6" s="93" t="s">
        <v>23</v>
      </c>
      <c r="B6" s="597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7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7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7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7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7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7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7" t="s">
        <v>871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7" t="s">
        <v>872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7" t="s">
        <v>871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7" t="s">
        <v>872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7" t="s">
        <v>873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7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7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7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8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7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7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7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7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7" t="s">
        <v>874</v>
      </c>
      <c r="C26" s="25" t="s">
        <v>426</v>
      </c>
      <c r="D26" s="46">
        <v>69312000</v>
      </c>
    </row>
    <row r="27" spans="1:6" s="599" customFormat="1" ht="15.95" customHeight="1" x14ac:dyDescent="0.2">
      <c r="A27" s="93" t="s">
        <v>44</v>
      </c>
      <c r="B27" s="597" t="s">
        <v>616</v>
      </c>
      <c r="C27" s="25" t="s">
        <v>426</v>
      </c>
      <c r="D27" s="46">
        <v>1000000</v>
      </c>
    </row>
    <row r="28" spans="1:6" s="599" customFormat="1" ht="15.95" customHeight="1" x14ac:dyDescent="0.2">
      <c r="A28" s="93" t="s">
        <v>45</v>
      </c>
      <c r="B28" s="597" t="s">
        <v>944</v>
      </c>
      <c r="C28" s="25" t="s">
        <v>426</v>
      </c>
      <c r="D28" s="46">
        <v>580000</v>
      </c>
    </row>
    <row r="29" spans="1:6" s="599" customFormat="1" ht="15.95" customHeight="1" x14ac:dyDescent="0.2">
      <c r="A29" s="1442" t="s">
        <v>46</v>
      </c>
      <c r="B29" s="1443" t="s">
        <v>950</v>
      </c>
      <c r="C29" s="1440" t="s">
        <v>426</v>
      </c>
      <c r="D29" s="1444">
        <v>1338067</v>
      </c>
    </row>
    <row r="30" spans="1:6" s="599" customFormat="1" ht="21.75" thickBot="1" x14ac:dyDescent="0.25">
      <c r="A30" s="1439" t="s">
        <v>47</v>
      </c>
      <c r="B30" s="1445" t="s">
        <v>951</v>
      </c>
      <c r="C30" s="1440" t="s">
        <v>426</v>
      </c>
      <c r="D30" s="1441">
        <v>67500</v>
      </c>
    </row>
    <row r="31" spans="1:6" ht="15.95" customHeight="1" thickBot="1" x14ac:dyDescent="0.25">
      <c r="A31" s="1330" t="s">
        <v>56</v>
      </c>
      <c r="B31" s="1331"/>
      <c r="C31" s="94"/>
      <c r="D31" s="1174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számú tájékoztató tábla a ./....(......)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1" t="s">
        <v>19</v>
      </c>
      <c r="B1" s="1251"/>
      <c r="C1" s="1251"/>
    </row>
    <row r="2" spans="1:3" ht="15.95" customHeight="1" thickBot="1" x14ac:dyDescent="0.3">
      <c r="A2" s="1250" t="s">
        <v>131</v>
      </c>
      <c r="B2" s="1250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6797468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5653632</f>
        <v>5653632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1143836</f>
        <v>1143836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6797468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6797468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1" t="s">
        <v>50</v>
      </c>
      <c r="B89" s="1251"/>
      <c r="C89" s="1251"/>
    </row>
    <row r="90" spans="1:3" s="222" customFormat="1" ht="16.5" customHeight="1" thickBot="1" x14ac:dyDescent="0.3">
      <c r="A90" s="1252" t="s">
        <v>132</v>
      </c>
      <c r="B90" s="1252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5791417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2">
        <f>3838395</f>
        <v>3838395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5859950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5859950</v>
      </c>
    </row>
    <row r="155" spans="1:6" ht="7.5" customHeight="1" x14ac:dyDescent="0.25"/>
    <row r="156" spans="1:6" x14ac:dyDescent="0.25">
      <c r="A156" s="1253" t="s">
        <v>324</v>
      </c>
      <c r="B156" s="1253"/>
      <c r="C156" s="1253"/>
    </row>
    <row r="157" spans="1:6" ht="15" customHeight="1" thickBot="1" x14ac:dyDescent="0.3">
      <c r="A157" s="1250" t="s">
        <v>133</v>
      </c>
      <c r="B157" s="1250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937518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1.5. számú melléklet a 4/2019.(II.19.)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0"/>
  <sheetViews>
    <sheetView view="pageLayout" topLeftCell="D1" zoomScale="85" zoomScaleNormal="100" zoomScaleSheetLayoutView="85" zoomScalePageLayoutView="85" workbookViewId="0">
      <selection activeCell="T7" sqref="T7"/>
    </sheetView>
  </sheetViews>
  <sheetFormatPr defaultColWidth="10.6640625" defaultRowHeight="12.75" x14ac:dyDescent="0.2"/>
  <cols>
    <col min="1" max="1" width="10.6640625" style="374"/>
    <col min="2" max="2" width="42.332031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83203125" style="375" bestFit="1" customWidth="1"/>
    <col min="8" max="8" width="13.6640625" style="1223" bestFit="1" customWidth="1"/>
    <col min="9" max="9" width="1.1640625" style="376" customWidth="1"/>
    <col min="10" max="10" width="12.6640625" style="374" bestFit="1" customWidth="1"/>
    <col min="11" max="11" width="11.1640625" style="374" bestFit="1" customWidth="1"/>
    <col min="12" max="12" width="13.33203125" style="374" bestFit="1" customWidth="1"/>
    <col min="13" max="14" width="11.1640625" style="374" bestFit="1" customWidth="1"/>
    <col min="15" max="15" width="15.1640625" style="377" bestFit="1" customWidth="1"/>
    <col min="16" max="16" width="15.1640625" style="374" bestFit="1" customWidth="1"/>
    <col min="17" max="16384" width="10.6640625" style="374"/>
  </cols>
  <sheetData>
    <row r="1" spans="1:194" x14ac:dyDescent="0.2">
      <c r="K1" s="1341"/>
      <c r="L1" s="1341"/>
      <c r="M1" s="1341"/>
      <c r="N1" s="1341"/>
    </row>
    <row r="2" spans="1:194" x14ac:dyDescent="0.2">
      <c r="B2" s="378"/>
      <c r="F2" s="379"/>
      <c r="J2" s="378"/>
      <c r="K2" s="1342"/>
      <c r="L2" s="1342"/>
      <c r="M2" s="1342"/>
      <c r="N2" s="1342"/>
      <c r="O2" s="380"/>
    </row>
    <row r="3" spans="1:194" ht="17.25" customHeight="1" x14ac:dyDescent="0.35">
      <c r="A3" s="1352" t="s">
        <v>714</v>
      </c>
      <c r="B3" s="1352"/>
      <c r="C3" s="1352"/>
      <c r="D3" s="1352"/>
      <c r="E3" s="1352"/>
      <c r="F3" s="1352"/>
      <c r="G3" s="1352"/>
      <c r="H3" s="1352"/>
      <c r="I3" s="1352"/>
      <c r="J3" s="1352"/>
      <c r="K3" s="1352"/>
      <c r="L3" s="1352"/>
      <c r="M3" s="1352"/>
      <c r="N3" s="1352"/>
      <c r="O3" s="1352"/>
      <c r="P3" s="581"/>
    </row>
    <row r="4" spans="1:194" ht="19.5" x14ac:dyDescent="0.35">
      <c r="A4" s="1353" t="s">
        <v>436</v>
      </c>
      <c r="B4" s="1353"/>
      <c r="C4" s="1353"/>
      <c r="D4" s="1353"/>
      <c r="E4" s="1353"/>
      <c r="F4" s="1353"/>
      <c r="G4" s="1353"/>
      <c r="H4" s="1353"/>
      <c r="I4" s="1353"/>
      <c r="J4" s="1353"/>
      <c r="K4" s="1353"/>
      <c r="L4" s="1353"/>
      <c r="M4" s="1353"/>
      <c r="N4" s="1353"/>
      <c r="O4" s="1353"/>
      <c r="P4" s="581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24"/>
      <c r="I5" s="382"/>
      <c r="J5" s="383"/>
      <c r="K5" s="383"/>
      <c r="L5" s="383"/>
      <c r="M5" s="383"/>
      <c r="N5" s="383"/>
      <c r="O5" s="380" t="s">
        <v>383</v>
      </c>
      <c r="P5" s="581"/>
    </row>
    <row r="6" spans="1:194" ht="15.75" x14ac:dyDescent="0.25">
      <c r="A6" s="1346" t="s">
        <v>875</v>
      </c>
      <c r="B6" s="1349" t="s">
        <v>168</v>
      </c>
      <c r="C6" s="1343" t="s">
        <v>437</v>
      </c>
      <c r="D6" s="1344"/>
      <c r="E6" s="1344"/>
      <c r="F6" s="1344"/>
      <c r="G6" s="1344"/>
      <c r="H6" s="1345"/>
      <c r="I6" s="385"/>
      <c r="J6" s="1343" t="s">
        <v>438</v>
      </c>
      <c r="K6" s="1344"/>
      <c r="L6" s="1344"/>
      <c r="M6" s="1344"/>
      <c r="N6" s="1344"/>
      <c r="O6" s="1345"/>
      <c r="P6" s="581"/>
    </row>
    <row r="7" spans="1:194" x14ac:dyDescent="0.2">
      <c r="A7" s="1347"/>
      <c r="B7" s="1350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25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1"/>
    </row>
    <row r="8" spans="1:194" ht="13.5" thickBot="1" x14ac:dyDescent="0.25">
      <c r="A8" s="1348"/>
      <c r="B8" s="1351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26" t="s">
        <v>443</v>
      </c>
      <c r="I8" s="1209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1"/>
    </row>
    <row r="9" spans="1:194" ht="14.25" thickBot="1" x14ac:dyDescent="0.3">
      <c r="A9" s="1332" t="s">
        <v>876</v>
      </c>
      <c r="B9" s="1333"/>
      <c r="C9" s="1334"/>
      <c r="D9" s="1334"/>
      <c r="E9" s="1334"/>
      <c r="F9" s="1334"/>
      <c r="G9" s="1334"/>
      <c r="H9" s="1334"/>
      <c r="I9" s="1334"/>
      <c r="J9" s="1334"/>
      <c r="K9" s="1334"/>
      <c r="L9" s="1334"/>
      <c r="M9" s="1334"/>
      <c r="N9" s="1334"/>
      <c r="O9" s="1335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97" t="s">
        <v>877</v>
      </c>
      <c r="B10" s="1198" t="s">
        <v>883</v>
      </c>
      <c r="C10" s="1189">
        <f>25400</f>
        <v>25400</v>
      </c>
      <c r="D10" s="1186"/>
      <c r="E10" s="1186"/>
      <c r="F10" s="1186"/>
      <c r="G10" s="1186"/>
      <c r="H10" s="390">
        <f>SUM(C10:G10)</f>
        <v>25400</v>
      </c>
      <c r="I10" s="395"/>
      <c r="J10" s="1449">
        <f>27952802+3199848+561576</f>
        <v>31714226</v>
      </c>
      <c r="K10" s="1182"/>
      <c r="L10" s="1182"/>
      <c r="M10" s="1182"/>
      <c r="N10" s="1182"/>
      <c r="O10" s="1184">
        <f>SUM(J10:N10)</f>
        <v>31714226</v>
      </c>
      <c r="P10" s="581"/>
    </row>
    <row r="11" spans="1:194" x14ac:dyDescent="0.2">
      <c r="A11" s="1199" t="s">
        <v>878</v>
      </c>
      <c r="B11" s="1200" t="s">
        <v>884</v>
      </c>
      <c r="C11" s="392">
        <f>9378983</f>
        <v>9378983</v>
      </c>
      <c r="D11" s="393"/>
      <c r="E11" s="393"/>
      <c r="F11" s="393"/>
      <c r="G11" s="393"/>
      <c r="H11" s="1184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84">
        <f t="shared" ref="O11:O15" si="0">SUM(J11:N11)</f>
        <v>1000000</v>
      </c>
      <c r="P11" s="581"/>
    </row>
    <row r="12" spans="1:194" ht="25.5" x14ac:dyDescent="0.2">
      <c r="A12" s="1199" t="s">
        <v>879</v>
      </c>
      <c r="B12" s="1200" t="s">
        <v>885</v>
      </c>
      <c r="C12" s="1450">
        <f>34904538+2125000</f>
        <v>37029538</v>
      </c>
      <c r="D12" s="1453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1448">
        <f>34588831+400000+1778250+346750</f>
        <v>37113831</v>
      </c>
      <c r="K12" s="1453">
        <f>239507251+45359984+20445905+16502091</f>
        <v>321815231</v>
      </c>
      <c r="L12" s="393"/>
      <c r="M12" s="393"/>
      <c r="N12" s="393"/>
      <c r="O12" s="1184">
        <f t="shared" si="0"/>
        <v>358929062</v>
      </c>
      <c r="P12" s="581"/>
    </row>
    <row r="13" spans="1:194" ht="25.5" x14ac:dyDescent="0.2">
      <c r="A13" s="1199" t="s">
        <v>880</v>
      </c>
      <c r="B13" s="1200" t="s">
        <v>453</v>
      </c>
      <c r="C13" s="1450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1448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84">
        <f t="shared" si="0"/>
        <v>8624996</v>
      </c>
      <c r="P13" s="581"/>
    </row>
    <row r="14" spans="1:194" ht="25.5" x14ac:dyDescent="0.2">
      <c r="A14" s="1199" t="s">
        <v>881</v>
      </c>
      <c r="B14" s="1200" t="s">
        <v>886</v>
      </c>
      <c r="C14" s="392">
        <v>1587852850</v>
      </c>
      <c r="D14" s="401"/>
      <c r="E14" s="393"/>
      <c r="F14" s="401"/>
      <c r="G14" s="401"/>
      <c r="H14" s="397">
        <f t="shared" si="1"/>
        <v>1587852850</v>
      </c>
      <c r="I14" s="395"/>
      <c r="J14" s="396">
        <f>42004332</f>
        <v>42004332</v>
      </c>
      <c r="K14" s="393"/>
      <c r="L14" s="401"/>
      <c r="M14" s="401"/>
      <c r="N14" s="401"/>
      <c r="O14" s="1184">
        <f t="shared" si="0"/>
        <v>42004332</v>
      </c>
      <c r="P14" s="581"/>
    </row>
    <row r="15" spans="1:194" ht="13.5" thickBot="1" x14ac:dyDescent="0.25">
      <c r="A15" s="1201" t="s">
        <v>882</v>
      </c>
      <c r="B15" s="1202" t="s">
        <v>451</v>
      </c>
      <c r="C15" s="1190"/>
      <c r="D15" s="1187"/>
      <c r="E15" s="1188"/>
      <c r="F15" s="1188"/>
      <c r="G15" s="1188">
        <v>346583469</v>
      </c>
      <c r="H15" s="1227">
        <f t="shared" si="1"/>
        <v>346583469</v>
      </c>
      <c r="I15" s="395"/>
      <c r="J15" s="408"/>
      <c r="K15" s="405"/>
      <c r="L15" s="575">
        <v>1535917266</v>
      </c>
      <c r="M15" s="405"/>
      <c r="N15" s="405"/>
      <c r="O15" s="1184">
        <f t="shared" si="0"/>
        <v>1535917266</v>
      </c>
      <c r="P15" s="581"/>
    </row>
    <row r="16" spans="1:194" ht="14.25" thickBot="1" x14ac:dyDescent="0.3">
      <c r="A16" s="1336" t="s">
        <v>887</v>
      </c>
      <c r="B16" s="1337"/>
      <c r="C16" s="1334"/>
      <c r="D16" s="1334"/>
      <c r="E16" s="1334"/>
      <c r="F16" s="1334"/>
      <c r="G16" s="1334"/>
      <c r="H16" s="1334"/>
      <c r="I16" s="1334"/>
      <c r="J16" s="1334"/>
      <c r="K16" s="1334"/>
      <c r="L16" s="1334"/>
      <c r="M16" s="1334"/>
      <c r="N16" s="1334"/>
      <c r="O16" s="1335"/>
      <c r="P16" s="581"/>
    </row>
    <row r="17" spans="1:16" s="581" customFormat="1" ht="26.25" thickBot="1" x14ac:dyDescent="0.25">
      <c r="A17" s="1221" t="s">
        <v>888</v>
      </c>
      <c r="B17" s="1222" t="s">
        <v>889</v>
      </c>
      <c r="C17" s="1212"/>
      <c r="D17" s="1210"/>
      <c r="E17" s="1210"/>
      <c r="F17" s="1210"/>
      <c r="G17" s="1210"/>
      <c r="H17" s="1211">
        <f>SUM(C17:G17)</f>
        <v>0</v>
      </c>
      <c r="I17" s="1219"/>
      <c r="J17" s="1213">
        <v>103817</v>
      </c>
      <c r="K17" s="1210"/>
      <c r="L17" s="1210"/>
      <c r="M17" s="1210"/>
      <c r="N17" s="1210"/>
      <c r="O17" s="1184">
        <f>SUM(J17:N17)</f>
        <v>103817</v>
      </c>
    </row>
    <row r="18" spans="1:16" s="581" customFormat="1" ht="14.25" thickBot="1" x14ac:dyDescent="0.3">
      <c r="A18" s="1338" t="s">
        <v>927</v>
      </c>
      <c r="B18" s="1339" t="s">
        <v>927</v>
      </c>
      <c r="C18" s="1333" t="s">
        <v>927</v>
      </c>
      <c r="D18" s="1333" t="s">
        <v>927</v>
      </c>
      <c r="E18" s="1333" t="s">
        <v>927</v>
      </c>
      <c r="F18" s="1333" t="s">
        <v>927</v>
      </c>
      <c r="G18" s="1333" t="s">
        <v>927</v>
      </c>
      <c r="H18" s="1333" t="s">
        <v>927</v>
      </c>
      <c r="I18" s="1334" t="s">
        <v>927</v>
      </c>
      <c r="J18" s="1333" t="s">
        <v>927</v>
      </c>
      <c r="K18" s="1333" t="s">
        <v>927</v>
      </c>
      <c r="L18" s="1333" t="s">
        <v>927</v>
      </c>
      <c r="M18" s="1333" t="s">
        <v>927</v>
      </c>
      <c r="N18" s="1333" t="s">
        <v>927</v>
      </c>
      <c r="O18" s="1354" t="s">
        <v>927</v>
      </c>
    </row>
    <row r="19" spans="1:16" s="581" customFormat="1" x14ac:dyDescent="0.2">
      <c r="A19" s="1191" t="s">
        <v>928</v>
      </c>
      <c r="B19" s="1192" t="s">
        <v>929</v>
      </c>
      <c r="C19" s="1189">
        <v>889000</v>
      </c>
      <c r="D19" s="1186"/>
      <c r="E19" s="1186"/>
      <c r="F19" s="1186"/>
      <c r="G19" s="1186"/>
      <c r="H19" s="390">
        <f t="shared" ref="H19:H24" si="2">SUM(C19:G19)</f>
        <v>889000</v>
      </c>
      <c r="I19" s="420"/>
      <c r="J19" s="1446">
        <f>50165820+91201</f>
        <v>50257021</v>
      </c>
      <c r="K19" s="1186"/>
      <c r="L19" s="1186"/>
      <c r="M19" s="1186"/>
      <c r="N19" s="1186"/>
      <c r="O19" s="390">
        <f t="shared" ref="O19:O24" si="3">SUM(J19:N19)</f>
        <v>50257021</v>
      </c>
    </row>
    <row r="20" spans="1:16" s="581" customFormat="1" ht="25.5" x14ac:dyDescent="0.2">
      <c r="A20" s="1193" t="s">
        <v>930</v>
      </c>
      <c r="B20" s="1194" t="s">
        <v>931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1" customFormat="1" x14ac:dyDescent="0.2">
      <c r="A21" s="1193" t="s">
        <v>932</v>
      </c>
      <c r="B21" s="1194" t="s">
        <v>933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1" customFormat="1" ht="25.5" x14ac:dyDescent="0.2">
      <c r="A22" s="1193" t="s">
        <v>934</v>
      </c>
      <c r="B22" s="1194" t="s">
        <v>935</v>
      </c>
      <c r="C22" s="392"/>
      <c r="D22" s="393">
        <v>25377271</v>
      </c>
      <c r="E22" s="393"/>
      <c r="F22" s="393"/>
      <c r="G22" s="393"/>
      <c r="H22" s="397">
        <f t="shared" si="2"/>
        <v>25377271</v>
      </c>
      <c r="I22" s="420"/>
      <c r="J22" s="396">
        <v>6918729</v>
      </c>
      <c r="K22" s="393">
        <v>52310187</v>
      </c>
      <c r="L22" s="393"/>
      <c r="M22" s="393"/>
      <c r="N22" s="393"/>
      <c r="O22" s="397">
        <f t="shared" si="3"/>
        <v>59228916</v>
      </c>
    </row>
    <row r="23" spans="1:16" s="581" customFormat="1" ht="25.5" x14ac:dyDescent="0.2">
      <c r="A23" s="1193" t="s">
        <v>936</v>
      </c>
      <c r="B23" s="1194" t="s">
        <v>937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1" customFormat="1" ht="26.25" thickBot="1" x14ac:dyDescent="0.25">
      <c r="A24" s="1195" t="s">
        <v>938</v>
      </c>
      <c r="B24" s="1196" t="s">
        <v>939</v>
      </c>
      <c r="C24" s="1190"/>
      <c r="D24" s="1188">
        <f>3487179</f>
        <v>3487179</v>
      </c>
      <c r="E24" s="1188"/>
      <c r="F24" s="1188"/>
      <c r="G24" s="1188"/>
      <c r="H24" s="1227">
        <f t="shared" si="2"/>
        <v>3487179</v>
      </c>
      <c r="I24" s="420"/>
      <c r="J24" s="1220">
        <f>698500</f>
        <v>698500</v>
      </c>
      <c r="K24" s="1188">
        <f>1270000</f>
        <v>1270000</v>
      </c>
      <c r="L24" s="1188"/>
      <c r="M24" s="1188"/>
      <c r="N24" s="1188"/>
      <c r="O24" s="1227">
        <f t="shared" si="3"/>
        <v>1968500</v>
      </c>
    </row>
    <row r="25" spans="1:16" ht="14.25" thickBot="1" x14ac:dyDescent="0.3">
      <c r="A25" s="1338" t="s">
        <v>890</v>
      </c>
      <c r="B25" s="1339"/>
      <c r="C25" s="1337"/>
      <c r="D25" s="1337"/>
      <c r="E25" s="1337"/>
      <c r="F25" s="1337"/>
      <c r="G25" s="1337"/>
      <c r="H25" s="1337"/>
      <c r="I25" s="1334"/>
      <c r="J25" s="1337"/>
      <c r="K25" s="1337"/>
      <c r="L25" s="1337"/>
      <c r="M25" s="1337"/>
      <c r="N25" s="1337"/>
      <c r="O25" s="1340"/>
      <c r="P25" s="581"/>
    </row>
    <row r="26" spans="1:16" ht="25.5" x14ac:dyDescent="0.2">
      <c r="A26" s="1191" t="s">
        <v>891</v>
      </c>
      <c r="B26" s="1192" t="s">
        <v>892</v>
      </c>
      <c r="C26" s="1189">
        <v>507601</v>
      </c>
      <c r="D26" s="1203"/>
      <c r="E26" s="1203"/>
      <c r="F26" s="1203"/>
      <c r="G26" s="1203"/>
      <c r="H26" s="390">
        <f t="shared" ref="H26:H28" si="4">SUM(C26:G26)</f>
        <v>507601</v>
      </c>
      <c r="I26" s="1204"/>
      <c r="J26" s="1185">
        <v>16688593</v>
      </c>
      <c r="K26" s="1203"/>
      <c r="L26" s="1203"/>
      <c r="M26" s="1203"/>
      <c r="N26" s="1203"/>
      <c r="O26" s="1184">
        <f t="shared" ref="O26:O28" si="5">SUM(J26:N26)</f>
        <v>16688593</v>
      </c>
      <c r="P26" s="581"/>
    </row>
    <row r="27" spans="1:16" ht="25.5" x14ac:dyDescent="0.2">
      <c r="A27" s="1193" t="s">
        <v>893</v>
      </c>
      <c r="B27" s="1194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84">
        <f t="shared" si="5"/>
        <v>835000</v>
      </c>
      <c r="P27" s="581"/>
    </row>
    <row r="28" spans="1:16" ht="26.25" thickBot="1" x14ac:dyDescent="0.25">
      <c r="A28" s="1195" t="s">
        <v>894</v>
      </c>
      <c r="B28" s="1196" t="s">
        <v>895</v>
      </c>
      <c r="C28" s="1190">
        <f>950000</f>
        <v>950000</v>
      </c>
      <c r="D28" s="1205"/>
      <c r="E28" s="1206"/>
      <c r="F28" s="1205"/>
      <c r="G28" s="1205"/>
      <c r="H28" s="1227">
        <f t="shared" si="4"/>
        <v>950000</v>
      </c>
      <c r="I28" s="1207"/>
      <c r="J28" s="1208"/>
      <c r="K28" s="1188">
        <v>359410</v>
      </c>
      <c r="L28" s="1205"/>
      <c r="M28" s="1205"/>
      <c r="N28" s="1205"/>
      <c r="O28" s="1184">
        <f t="shared" si="5"/>
        <v>359410</v>
      </c>
      <c r="P28" s="581"/>
    </row>
    <row r="29" spans="1:16" ht="14.25" thickBot="1" x14ac:dyDescent="0.3">
      <c r="A29" s="1359" t="s">
        <v>901</v>
      </c>
      <c r="B29" s="1360"/>
      <c r="C29" s="1361"/>
      <c r="D29" s="1361"/>
      <c r="E29" s="1361"/>
      <c r="F29" s="1361"/>
      <c r="G29" s="1361"/>
      <c r="H29" s="1361"/>
      <c r="I29" s="1361"/>
      <c r="J29" s="1361"/>
      <c r="K29" s="1361"/>
      <c r="L29" s="1361"/>
      <c r="M29" s="1361"/>
      <c r="N29" s="1361"/>
      <c r="O29" s="1362"/>
      <c r="P29" s="581"/>
    </row>
    <row r="30" spans="1:16" x14ac:dyDescent="0.2">
      <c r="A30" s="1191" t="s">
        <v>896</v>
      </c>
      <c r="B30" s="1192" t="s">
        <v>446</v>
      </c>
      <c r="C30" s="1181"/>
      <c r="D30" s="1182"/>
      <c r="E30" s="1181"/>
      <c r="F30" s="1182"/>
      <c r="G30" s="1182"/>
      <c r="H30" s="1184">
        <f t="shared" ref="H30:H32" si="6">SUM(C30:G30)</f>
        <v>0</v>
      </c>
      <c r="I30" s="402"/>
      <c r="J30" s="1183">
        <f>27068590</f>
        <v>27068590</v>
      </c>
      <c r="K30" s="1182">
        <f>4508500</f>
        <v>4508500</v>
      </c>
      <c r="L30" s="1182"/>
      <c r="M30" s="1182"/>
      <c r="N30" s="1182"/>
      <c r="O30" s="1184">
        <f t="shared" ref="O30:O32" si="7">SUM(J30:N30)</f>
        <v>31577090</v>
      </c>
      <c r="P30" s="581"/>
    </row>
    <row r="31" spans="1:16" x14ac:dyDescent="0.2">
      <c r="A31" s="1193" t="s">
        <v>897</v>
      </c>
      <c r="B31" s="1194" t="s">
        <v>898</v>
      </c>
      <c r="C31" s="1231"/>
      <c r="D31" s="393"/>
      <c r="E31" s="393"/>
      <c r="F31" s="393"/>
      <c r="G31" s="393"/>
      <c r="H31" s="397">
        <f t="shared" si="6"/>
        <v>0</v>
      </c>
      <c r="I31" s="402"/>
      <c r="J31" s="396">
        <f>16314715</f>
        <v>16314715</v>
      </c>
      <c r="K31" s="393"/>
      <c r="L31" s="393"/>
      <c r="M31" s="393"/>
      <c r="N31" s="393"/>
      <c r="O31" s="1184">
        <f t="shared" si="7"/>
        <v>16314715</v>
      </c>
      <c r="P31" s="581"/>
    </row>
    <row r="32" spans="1:16" ht="25.5" x14ac:dyDescent="0.2">
      <c r="A32" s="1193" t="s">
        <v>899</v>
      </c>
      <c r="B32" s="1194" t="s">
        <v>900</v>
      </c>
      <c r="C32" s="392">
        <v>7818450</v>
      </c>
      <c r="D32" s="393"/>
      <c r="E32" s="393">
        <v>6000000</v>
      </c>
      <c r="F32" s="393"/>
      <c r="G32" s="393"/>
      <c r="H32" s="397">
        <f t="shared" si="6"/>
        <v>13818450</v>
      </c>
      <c r="I32" s="1240"/>
      <c r="J32" s="396">
        <f>109346348+580000</f>
        <v>109926348</v>
      </c>
      <c r="K32" s="393">
        <f>3155001</f>
        <v>3155001</v>
      </c>
      <c r="L32" s="393"/>
      <c r="M32" s="393"/>
      <c r="N32" s="393"/>
      <c r="O32" s="1184">
        <f t="shared" si="7"/>
        <v>113081349</v>
      </c>
      <c r="P32" s="581"/>
    </row>
    <row r="33" spans="1:16" ht="15.75" thickBot="1" x14ac:dyDescent="0.3">
      <c r="A33" s="1363" t="s">
        <v>902</v>
      </c>
      <c r="B33" s="1364"/>
      <c r="C33" s="1365"/>
      <c r="D33" s="1365"/>
      <c r="E33" s="1365"/>
      <c r="F33" s="1365"/>
      <c r="G33" s="1365"/>
      <c r="H33" s="1365"/>
      <c r="I33" s="1365"/>
      <c r="J33" s="1365"/>
      <c r="K33" s="1365"/>
      <c r="L33" s="1365"/>
      <c r="M33" s="1365"/>
      <c r="N33" s="1365"/>
      <c r="O33" s="1366"/>
      <c r="P33" s="581"/>
    </row>
    <row r="34" spans="1:16" x14ac:dyDescent="0.2">
      <c r="A34" s="1217" t="s">
        <v>903</v>
      </c>
      <c r="B34" s="1200" t="s">
        <v>1</v>
      </c>
      <c r="C34" s="392"/>
      <c r="D34" s="392"/>
      <c r="E34" s="392"/>
      <c r="F34" s="392"/>
      <c r="G34" s="392"/>
      <c r="H34" s="397">
        <f t="shared" ref="H34:H37" si="8">SUM(C34:G34)</f>
        <v>0</v>
      </c>
      <c r="I34" s="407"/>
      <c r="J34" s="1232">
        <v>45600000</v>
      </c>
      <c r="K34" s="393"/>
      <c r="L34" s="393"/>
      <c r="M34" s="393"/>
      <c r="N34" s="393"/>
      <c r="O34" s="1184">
        <f t="shared" ref="O34:O37" si="9">SUM(J34:N34)</f>
        <v>45600000</v>
      </c>
      <c r="P34" s="581"/>
    </row>
    <row r="35" spans="1:16" x14ac:dyDescent="0.2">
      <c r="A35" s="1217" t="s">
        <v>904</v>
      </c>
      <c r="B35" s="1200" t="s">
        <v>4</v>
      </c>
      <c r="C35" s="392"/>
      <c r="D35" s="393"/>
      <c r="E35" s="393"/>
      <c r="F35" s="393"/>
      <c r="G35" s="393"/>
      <c r="H35" s="397">
        <f t="shared" si="8"/>
        <v>0</v>
      </c>
      <c r="I35" s="402"/>
      <c r="J35" s="396">
        <v>4500000</v>
      </c>
      <c r="K35" s="393"/>
      <c r="L35" s="393"/>
      <c r="M35" s="393"/>
      <c r="N35" s="393"/>
      <c r="O35" s="1184">
        <f t="shared" si="9"/>
        <v>4500000</v>
      </c>
      <c r="P35" s="581"/>
    </row>
    <row r="36" spans="1:16" ht="25.5" x14ac:dyDescent="0.2">
      <c r="A36" s="1217" t="s">
        <v>905</v>
      </c>
      <c r="B36" s="1200" t="s">
        <v>907</v>
      </c>
      <c r="C36" s="392">
        <v>1109692</v>
      </c>
      <c r="D36" s="393"/>
      <c r="E36" s="393"/>
      <c r="F36" s="393"/>
      <c r="G36" s="393"/>
      <c r="H36" s="397">
        <f t="shared" si="8"/>
        <v>1109692</v>
      </c>
      <c r="I36" s="395"/>
      <c r="J36" s="396">
        <v>20525292</v>
      </c>
      <c r="K36" s="393"/>
      <c r="L36" s="393"/>
      <c r="M36" s="393"/>
      <c r="N36" s="393"/>
      <c r="O36" s="1184">
        <f t="shared" si="9"/>
        <v>20525292</v>
      </c>
      <c r="P36" s="581"/>
    </row>
    <row r="37" spans="1:16" ht="26.25" thickBot="1" x14ac:dyDescent="0.25">
      <c r="A37" s="1218" t="s">
        <v>906</v>
      </c>
      <c r="B37" s="1202" t="s">
        <v>908</v>
      </c>
      <c r="C37" s="404"/>
      <c r="D37" s="405"/>
      <c r="E37" s="405"/>
      <c r="F37" s="405"/>
      <c r="G37" s="405"/>
      <c r="H37" s="406">
        <f t="shared" si="8"/>
        <v>0</v>
      </c>
      <c r="I37" s="402"/>
      <c r="J37" s="408">
        <f>345000</f>
        <v>345000</v>
      </c>
      <c r="K37" s="405">
        <f>5000</f>
        <v>5000</v>
      </c>
      <c r="L37" s="405"/>
      <c r="M37" s="405"/>
      <c r="N37" s="405"/>
      <c r="O37" s="1184">
        <f t="shared" si="9"/>
        <v>350000</v>
      </c>
      <c r="P37" s="581"/>
    </row>
    <row r="38" spans="1:16" ht="14.25" thickBot="1" x14ac:dyDescent="0.3">
      <c r="A38" s="1338" t="s">
        <v>909</v>
      </c>
      <c r="B38" s="1339"/>
      <c r="C38" s="1334"/>
      <c r="D38" s="1334"/>
      <c r="E38" s="1334"/>
      <c r="F38" s="1334"/>
      <c r="G38" s="1334"/>
      <c r="H38" s="1334"/>
      <c r="I38" s="1334"/>
      <c r="J38" s="1334"/>
      <c r="K38" s="1334"/>
      <c r="L38" s="1334"/>
      <c r="M38" s="1334"/>
      <c r="N38" s="1334"/>
      <c r="O38" s="1335"/>
      <c r="P38" s="581"/>
    </row>
    <row r="39" spans="1:16" x14ac:dyDescent="0.2">
      <c r="A39" s="1216" t="s">
        <v>910</v>
      </c>
      <c r="B39" s="1198" t="s">
        <v>696</v>
      </c>
      <c r="C39" s="1212">
        <f>635000</f>
        <v>635000</v>
      </c>
      <c r="D39" s="1210"/>
      <c r="E39" s="1210"/>
      <c r="F39" s="1210"/>
      <c r="G39" s="1210"/>
      <c r="H39" s="1184">
        <f t="shared" ref="H39:H41" si="10">SUM(C39:G39)</f>
        <v>635000</v>
      </c>
      <c r="I39" s="402"/>
      <c r="J39" s="1213">
        <f>6732663</f>
        <v>6732663</v>
      </c>
      <c r="K39" s="1210"/>
      <c r="L39" s="1210"/>
      <c r="M39" s="1210"/>
      <c r="N39" s="1210"/>
      <c r="O39" s="1184">
        <f t="shared" ref="O39:O41" si="11">SUM(J39:N39)</f>
        <v>6732663</v>
      </c>
      <c r="P39" s="581"/>
    </row>
    <row r="40" spans="1:16" s="580" customFormat="1" x14ac:dyDescent="0.2">
      <c r="A40" s="1217" t="s">
        <v>911</v>
      </c>
      <c r="B40" s="1200" t="s">
        <v>447</v>
      </c>
      <c r="C40" s="1447">
        <f>2935064</f>
        <v>2935064</v>
      </c>
      <c r="D40" s="1230"/>
      <c r="E40" s="1230"/>
      <c r="F40" s="1230"/>
      <c r="G40" s="1230"/>
      <c r="H40" s="397">
        <f t="shared" si="10"/>
        <v>2935064</v>
      </c>
      <c r="I40" s="782"/>
      <c r="J40" s="1451">
        <f>23326783+437750+1236244+101823</f>
        <v>25102600</v>
      </c>
      <c r="K40" s="405">
        <f>26269106</f>
        <v>26269106</v>
      </c>
      <c r="L40" s="405"/>
      <c r="M40" s="405"/>
      <c r="N40" s="405"/>
      <c r="O40" s="1184">
        <f t="shared" si="11"/>
        <v>51371706</v>
      </c>
    </row>
    <row r="41" spans="1:16" s="580" customFormat="1" ht="39" thickBot="1" x14ac:dyDescent="0.25">
      <c r="A41" s="1218" t="s">
        <v>912</v>
      </c>
      <c r="B41" s="1202" t="s">
        <v>913</v>
      </c>
      <c r="C41" s="404">
        <f>67037993</f>
        <v>67037993</v>
      </c>
      <c r="D41" s="405">
        <f>47949076</f>
        <v>47949076</v>
      </c>
      <c r="E41" s="1230"/>
      <c r="F41" s="1230"/>
      <c r="G41" s="1230"/>
      <c r="H41" s="406">
        <f t="shared" si="10"/>
        <v>114987069</v>
      </c>
      <c r="I41" s="782"/>
      <c r="J41" s="408">
        <f>84625796</f>
        <v>84625796</v>
      </c>
      <c r="K41" s="405">
        <f>49155576</f>
        <v>49155576</v>
      </c>
      <c r="L41" s="405"/>
      <c r="M41" s="405"/>
      <c r="N41" s="405"/>
      <c r="O41" s="1184">
        <f t="shared" si="11"/>
        <v>133781372</v>
      </c>
    </row>
    <row r="42" spans="1:16" ht="14.25" thickBot="1" x14ac:dyDescent="0.3">
      <c r="A42" s="1338" t="s">
        <v>914</v>
      </c>
      <c r="B42" s="1339"/>
      <c r="C42" s="1334"/>
      <c r="D42" s="1334"/>
      <c r="E42" s="1334"/>
      <c r="F42" s="1334"/>
      <c r="G42" s="1334"/>
      <c r="H42" s="1334"/>
      <c r="I42" s="1334"/>
      <c r="J42" s="1334"/>
      <c r="K42" s="1334"/>
      <c r="L42" s="1334"/>
      <c r="M42" s="1334"/>
      <c r="N42" s="1334"/>
      <c r="O42" s="1335"/>
      <c r="P42" s="581"/>
    </row>
    <row r="43" spans="1:16" x14ac:dyDescent="0.2">
      <c r="A43" s="1216" t="s">
        <v>915</v>
      </c>
      <c r="B43" s="1198" t="s">
        <v>574</v>
      </c>
      <c r="C43" s="1212"/>
      <c r="D43" s="1210"/>
      <c r="E43" s="1210"/>
      <c r="F43" s="1210"/>
      <c r="G43" s="1210"/>
      <c r="H43" s="1184">
        <f t="shared" ref="H43:H47" si="12">SUM(C43:G43)</f>
        <v>0</v>
      </c>
      <c r="I43" s="402"/>
      <c r="J43" s="1213">
        <f>300000</f>
        <v>300000</v>
      </c>
      <c r="K43" s="1210"/>
      <c r="L43" s="1210"/>
      <c r="M43" s="1210"/>
      <c r="N43" s="1210"/>
      <c r="O43" s="1184">
        <f t="shared" ref="O43:O47" si="13">SUM(J43:N43)</f>
        <v>300000</v>
      </c>
      <c r="P43" s="581"/>
    </row>
    <row r="44" spans="1:16" x14ac:dyDescent="0.2">
      <c r="A44" s="1217" t="s">
        <v>916</v>
      </c>
      <c r="B44" s="1200" t="s">
        <v>555</v>
      </c>
      <c r="C44" s="404"/>
      <c r="D44" s="405"/>
      <c r="E44" s="405"/>
      <c r="F44" s="405"/>
      <c r="G44" s="405"/>
      <c r="H44" s="397">
        <f t="shared" si="12"/>
        <v>0</v>
      </c>
      <c r="I44" s="402"/>
      <c r="J44" s="408">
        <f>49047304</f>
        <v>49047304</v>
      </c>
      <c r="K44" s="405"/>
      <c r="L44" s="405"/>
      <c r="M44" s="405"/>
      <c r="N44" s="405"/>
      <c r="O44" s="1184">
        <f t="shared" si="13"/>
        <v>49047304</v>
      </c>
      <c r="P44" s="581"/>
    </row>
    <row r="45" spans="1:16" ht="25.5" x14ac:dyDescent="0.2">
      <c r="A45" s="1217" t="s">
        <v>917</v>
      </c>
      <c r="B45" s="1200" t="s">
        <v>617</v>
      </c>
      <c r="C45" s="404"/>
      <c r="D45" s="405"/>
      <c r="E45" s="405"/>
      <c r="F45" s="405"/>
      <c r="G45" s="405"/>
      <c r="H45" s="397">
        <f t="shared" si="12"/>
        <v>0</v>
      </c>
      <c r="I45" s="402"/>
      <c r="J45" s="1452">
        <f>24250000+67500</f>
        <v>24317500</v>
      </c>
      <c r="K45" s="405"/>
      <c r="L45" s="405"/>
      <c r="M45" s="405"/>
      <c r="N45" s="405"/>
      <c r="O45" s="1184">
        <f t="shared" si="13"/>
        <v>24317500</v>
      </c>
      <c r="P45" s="581"/>
    </row>
    <row r="46" spans="1:16" ht="25.5" x14ac:dyDescent="0.2">
      <c r="A46" s="1217" t="s">
        <v>918</v>
      </c>
      <c r="B46" s="1200" t="s">
        <v>919</v>
      </c>
      <c r="C46" s="404">
        <f>300000</f>
        <v>300000</v>
      </c>
      <c r="D46" s="405"/>
      <c r="E46" s="405"/>
      <c r="F46" s="405"/>
      <c r="G46" s="405"/>
      <c r="H46" s="397">
        <f t="shared" si="12"/>
        <v>300000</v>
      </c>
      <c r="I46" s="402"/>
      <c r="J46" s="408">
        <f>2354100</f>
        <v>2354100</v>
      </c>
      <c r="K46" s="405">
        <f>1905000</f>
        <v>1905000</v>
      </c>
      <c r="L46" s="405"/>
      <c r="M46" s="405"/>
      <c r="N46" s="405"/>
      <c r="O46" s="1184">
        <f t="shared" si="13"/>
        <v>4259100</v>
      </c>
      <c r="P46" s="581"/>
    </row>
    <row r="47" spans="1:16" ht="26.25" thickBot="1" x14ac:dyDescent="0.25">
      <c r="A47" s="1218" t="s">
        <v>920</v>
      </c>
      <c r="B47" s="1202" t="s">
        <v>921</v>
      </c>
      <c r="C47" s="404">
        <f>700000</f>
        <v>700000</v>
      </c>
      <c r="D47" s="405"/>
      <c r="E47" s="405"/>
      <c r="F47" s="405"/>
      <c r="G47" s="405"/>
      <c r="H47" s="406">
        <f t="shared" si="12"/>
        <v>700000</v>
      </c>
      <c r="I47" s="402"/>
      <c r="J47" s="408">
        <f>59455000</f>
        <v>59455000</v>
      </c>
      <c r="K47" s="405"/>
      <c r="L47" s="405"/>
      <c r="M47" s="405"/>
      <c r="N47" s="405"/>
      <c r="O47" s="1184">
        <f t="shared" si="13"/>
        <v>59455000</v>
      </c>
      <c r="P47" s="581"/>
    </row>
    <row r="48" spans="1:16" ht="14.25" thickBot="1" x14ac:dyDescent="0.3">
      <c r="A48" s="1338" t="s">
        <v>922</v>
      </c>
      <c r="B48" s="1339"/>
      <c r="C48" s="1334"/>
      <c r="D48" s="1334"/>
      <c r="E48" s="1334"/>
      <c r="F48" s="1334"/>
      <c r="G48" s="1334"/>
      <c r="H48" s="1334"/>
      <c r="I48" s="1334"/>
      <c r="J48" s="1334"/>
      <c r="K48" s="1334"/>
      <c r="L48" s="1334"/>
      <c r="M48" s="1334"/>
      <c r="N48" s="1334"/>
      <c r="O48" s="1335"/>
      <c r="P48" s="581"/>
    </row>
    <row r="49" spans="1:16" ht="25.5" x14ac:dyDescent="0.2">
      <c r="A49" s="1216" t="s">
        <v>923</v>
      </c>
      <c r="B49" s="1198" t="s">
        <v>924</v>
      </c>
      <c r="C49" s="1214"/>
      <c r="D49" s="1210"/>
      <c r="E49" s="1210">
        <f>475500000</f>
        <v>475500000</v>
      </c>
      <c r="F49" s="1210"/>
      <c r="G49" s="1210"/>
      <c r="H49" s="1184">
        <f t="shared" ref="H49:H50" si="14">SUM(C49:G49)</f>
        <v>475500000</v>
      </c>
      <c r="I49" s="402"/>
      <c r="J49" s="1213">
        <f>10000</f>
        <v>10000</v>
      </c>
      <c r="K49" s="1210"/>
      <c r="L49" s="1215"/>
      <c r="M49" s="1210"/>
      <c r="N49" s="1210"/>
      <c r="O49" s="1184">
        <f t="shared" ref="O49:O50" si="15">SUM(J49:N49)</f>
        <v>10000</v>
      </c>
      <c r="P49" s="581"/>
    </row>
    <row r="50" spans="1:16" ht="26.25" thickBot="1" x14ac:dyDescent="0.25">
      <c r="A50" s="1218" t="s">
        <v>925</v>
      </c>
      <c r="B50" s="1202" t="s">
        <v>926</v>
      </c>
      <c r="C50" s="409"/>
      <c r="D50" s="405"/>
      <c r="E50" s="405"/>
      <c r="F50" s="405">
        <v>169269106</v>
      </c>
      <c r="G50" s="405"/>
      <c r="H50" s="397">
        <f t="shared" si="14"/>
        <v>169269106</v>
      </c>
      <c r="I50" s="402"/>
      <c r="J50" s="408">
        <f>4070204+259082+8850000</f>
        <v>13179286</v>
      </c>
      <c r="K50" s="575"/>
      <c r="L50" s="405"/>
      <c r="M50" s="405">
        <f>100000000+11674500+5278000</f>
        <v>116952500</v>
      </c>
      <c r="N50" s="575">
        <v>79352963</v>
      </c>
      <c r="O50" s="397">
        <f t="shared" si="15"/>
        <v>209484749</v>
      </c>
      <c r="P50" s="581"/>
    </row>
    <row r="51" spans="1:16" ht="13.5" thickBot="1" x14ac:dyDescent="0.25">
      <c r="A51" s="1355" t="s">
        <v>56</v>
      </c>
      <c r="B51" s="1356"/>
      <c r="C51" s="411">
        <f t="shared" ref="C51:H51" si="16">SUM(C10:C50)</f>
        <v>1736159665</v>
      </c>
      <c r="D51" s="411">
        <f t="shared" si="16"/>
        <v>187072066</v>
      </c>
      <c r="E51" s="411">
        <f t="shared" si="16"/>
        <v>481500000</v>
      </c>
      <c r="F51" s="411">
        <f t="shared" si="16"/>
        <v>169269106</v>
      </c>
      <c r="G51" s="411">
        <f t="shared" si="16"/>
        <v>346583469</v>
      </c>
      <c r="H51" s="1228">
        <f t="shared" si="16"/>
        <v>2920584306</v>
      </c>
      <c r="I51" s="410" t="e">
        <f>SUM(I9:I13,I15:I27,I32:I34,I36:I44,I45:I50)</f>
        <v>#REF!</v>
      </c>
      <c r="J51" s="411">
        <f t="shared" ref="J51:O51" si="17">SUM(J10:J50)</f>
        <v>701423243</v>
      </c>
      <c r="K51" s="411">
        <f t="shared" si="17"/>
        <v>486938334</v>
      </c>
      <c r="L51" s="411">
        <f t="shared" si="17"/>
        <v>1535917266</v>
      </c>
      <c r="M51" s="411">
        <f t="shared" si="17"/>
        <v>116952500</v>
      </c>
      <c r="N51" s="411">
        <f t="shared" si="17"/>
        <v>79352963</v>
      </c>
      <c r="O51" s="411">
        <f t="shared" si="17"/>
        <v>2920584306</v>
      </c>
      <c r="P51" s="582">
        <f>O51-H51</f>
        <v>0</v>
      </c>
    </row>
    <row r="52" spans="1:16" ht="13.5" thickBot="1" x14ac:dyDescent="0.25">
      <c r="A52" s="1357" t="s">
        <v>448</v>
      </c>
      <c r="B52" s="1358"/>
      <c r="C52" s="412"/>
      <c r="D52" s="413"/>
      <c r="E52" s="413"/>
      <c r="F52" s="413"/>
      <c r="G52" s="413"/>
      <c r="H52" s="397"/>
      <c r="I52" s="398"/>
      <c r="J52" s="414"/>
      <c r="K52" s="393"/>
      <c r="L52" s="393">
        <f>SUM(L49:L50,L43:L47,L39:L41,L34:L37,L30:L32,L26:L28,L17,L10:L15)</f>
        <v>1535917266</v>
      </c>
      <c r="M52" s="413"/>
      <c r="N52" s="413"/>
      <c r="O52" s="394">
        <f>SUM(J52:N52)</f>
        <v>1535917266</v>
      </c>
      <c r="P52" s="582"/>
    </row>
    <row r="53" spans="1:16" ht="13.5" thickBot="1" x14ac:dyDescent="0.25">
      <c r="A53" s="1355" t="s">
        <v>68</v>
      </c>
      <c r="B53" s="1356"/>
      <c r="C53" s="415">
        <f t="shared" ref="C53:N53" si="18">C51-C52</f>
        <v>1736159665</v>
      </c>
      <c r="D53" s="416">
        <f t="shared" si="18"/>
        <v>187072066</v>
      </c>
      <c r="E53" s="416">
        <f t="shared" si="18"/>
        <v>481500000</v>
      </c>
      <c r="F53" s="416">
        <f t="shared" si="18"/>
        <v>169269106</v>
      </c>
      <c r="G53" s="416">
        <f t="shared" si="18"/>
        <v>346583469</v>
      </c>
      <c r="H53" s="1229">
        <f t="shared" si="18"/>
        <v>2920584306</v>
      </c>
      <c r="I53" s="417" t="e">
        <f t="shared" si="18"/>
        <v>#REF!</v>
      </c>
      <c r="J53" s="415">
        <f t="shared" si="18"/>
        <v>701423243</v>
      </c>
      <c r="K53" s="416">
        <f t="shared" si="18"/>
        <v>486938334</v>
      </c>
      <c r="L53" s="416">
        <f t="shared" si="18"/>
        <v>0</v>
      </c>
      <c r="M53" s="416">
        <f t="shared" si="18"/>
        <v>116952500</v>
      </c>
      <c r="N53" s="416">
        <f t="shared" si="18"/>
        <v>79352963</v>
      </c>
      <c r="O53" s="418">
        <f>O51-O52</f>
        <v>1384667040</v>
      </c>
      <c r="P53" s="582"/>
    </row>
    <row r="54" spans="1:16" x14ac:dyDescent="0.2">
      <c r="B54" s="419"/>
      <c r="C54" s="420"/>
      <c r="D54" s="420"/>
      <c r="E54" s="420"/>
      <c r="F54" s="420"/>
      <c r="G54" s="420"/>
      <c r="H54" s="1233"/>
      <c r="I54" s="421"/>
      <c r="J54" s="422"/>
      <c r="K54" s="420"/>
      <c r="L54" s="423"/>
      <c r="M54" s="422"/>
      <c r="N54" s="422"/>
      <c r="O54" s="421"/>
    </row>
    <row r="55" spans="1:16" x14ac:dyDescent="0.2">
      <c r="B55" s="419"/>
      <c r="C55" s="420"/>
      <c r="D55" s="420"/>
      <c r="E55" s="420"/>
      <c r="F55" s="420"/>
      <c r="G55" s="420"/>
      <c r="H55" s="1233"/>
      <c r="I55" s="421"/>
      <c r="J55" s="420"/>
      <c r="K55" s="420"/>
      <c r="L55" s="423"/>
      <c r="M55" s="422"/>
      <c r="N55" s="422"/>
      <c r="O55" s="421"/>
    </row>
    <row r="56" spans="1:16" x14ac:dyDescent="0.2">
      <c r="B56" s="419"/>
      <c r="C56" s="420"/>
      <c r="D56" s="420"/>
      <c r="E56" s="420"/>
      <c r="F56" s="420"/>
      <c r="G56" s="420"/>
      <c r="H56" s="1233"/>
      <c r="I56" s="421"/>
      <c r="J56" s="425"/>
      <c r="K56" s="420"/>
      <c r="L56" s="424"/>
      <c r="M56" s="420"/>
      <c r="N56" s="420"/>
      <c r="O56" s="421"/>
    </row>
    <row r="57" spans="1:16" x14ac:dyDescent="0.2">
      <c r="B57" s="419"/>
      <c r="C57" s="420"/>
      <c r="D57" s="420"/>
      <c r="E57" s="420"/>
      <c r="F57" s="420"/>
      <c r="G57" s="420"/>
      <c r="H57" s="1233"/>
      <c r="I57" s="421"/>
      <c r="J57" s="420"/>
      <c r="K57" s="420"/>
      <c r="L57" s="424"/>
      <c r="M57" s="420"/>
      <c r="N57" s="420"/>
      <c r="O57" s="421"/>
    </row>
    <row r="58" spans="1:16" x14ac:dyDescent="0.2">
      <c r="B58" s="419"/>
      <c r="C58" s="420"/>
      <c r="D58" s="420"/>
      <c r="E58" s="420"/>
      <c r="F58" s="420"/>
      <c r="G58" s="420"/>
      <c r="H58" s="1233"/>
      <c r="I58" s="421"/>
      <c r="J58" s="420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33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33"/>
      <c r="I60" s="421"/>
      <c r="J60" s="420"/>
      <c r="K60" s="420"/>
      <c r="L60" s="424"/>
      <c r="M60" s="420"/>
      <c r="N60" s="420"/>
      <c r="O60" s="421"/>
    </row>
  </sheetData>
  <mergeCells count="20">
    <mergeCell ref="A48:O48"/>
    <mergeCell ref="A51:B51"/>
    <mergeCell ref="A52:B52"/>
    <mergeCell ref="A53:B53"/>
    <mergeCell ref="A29:O29"/>
    <mergeCell ref="A33:O33"/>
    <mergeCell ref="A38:O38"/>
    <mergeCell ref="A42:O42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0" orientation="landscape" r:id="rId1"/>
  <headerFooter alignWithMargins="0">
    <oddHeader>&amp;R&amp;"Times New Roman CE,Félkövér dőlt"&amp;11 30. számú tájékoztató tábla a ./....(......)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F2" sqref="F2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367" t="s">
        <v>717</v>
      </c>
      <c r="B1" s="1367"/>
      <c r="C1" s="1367"/>
      <c r="D1" s="1367"/>
      <c r="E1" s="1367"/>
      <c r="F1" s="1367"/>
    </row>
    <row r="3" spans="1:6" ht="15.95" customHeight="1" x14ac:dyDescent="0.25">
      <c r="A3" s="1251" t="s">
        <v>19</v>
      </c>
      <c r="B3" s="1251"/>
      <c r="C3" s="1251"/>
      <c r="D3" s="1251"/>
      <c r="E3" s="1251"/>
      <c r="F3" s="210"/>
    </row>
    <row r="4" spans="1:6" ht="15.95" customHeight="1" thickBot="1" x14ac:dyDescent="0.3">
      <c r="A4" s="1250" t="s">
        <v>131</v>
      </c>
      <c r="B4" s="1250"/>
      <c r="D4" s="643"/>
      <c r="E4" s="144"/>
      <c r="F4" s="144" t="s">
        <v>578</v>
      </c>
    </row>
    <row r="5" spans="1:6" ht="38.1" customHeight="1" thickBot="1" x14ac:dyDescent="0.3">
      <c r="A5" s="21" t="s">
        <v>74</v>
      </c>
      <c r="B5" s="558" t="s">
        <v>21</v>
      </c>
      <c r="C5" s="743" t="s">
        <v>682</v>
      </c>
      <c r="D5" s="743" t="s">
        <v>683</v>
      </c>
      <c r="E5" s="743" t="s">
        <v>684</v>
      </c>
      <c r="F5" s="743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44" t="s">
        <v>459</v>
      </c>
      <c r="D6" s="206" t="s">
        <v>459</v>
      </c>
      <c r="E6" s="756" t="s">
        <v>509</v>
      </c>
      <c r="F6" s="756" t="s">
        <v>510</v>
      </c>
    </row>
    <row r="7" spans="1:6" s="212" customFormat="1" ht="12" customHeight="1" thickBot="1" x14ac:dyDescent="0.25">
      <c r="A7" s="18" t="s">
        <v>22</v>
      </c>
      <c r="B7" s="540" t="s">
        <v>685</v>
      </c>
      <c r="C7" s="745">
        <v>1350000000</v>
      </c>
      <c r="D7" s="745">
        <v>1450000000</v>
      </c>
      <c r="E7" s="745">
        <v>1460000000</v>
      </c>
      <c r="F7" s="745">
        <v>1470000000</v>
      </c>
    </row>
    <row r="8" spans="1:6" s="212" customFormat="1" ht="12" customHeight="1" thickBot="1" x14ac:dyDescent="0.25">
      <c r="A8" s="18" t="s">
        <v>23</v>
      </c>
      <c r="B8" s="543" t="s">
        <v>326</v>
      </c>
      <c r="C8" s="745">
        <v>181000000</v>
      </c>
      <c r="D8" s="745">
        <v>200000000</v>
      </c>
      <c r="E8" s="745">
        <v>200000000</v>
      </c>
      <c r="F8" s="745">
        <v>200000000</v>
      </c>
    </row>
    <row r="9" spans="1:6" s="212" customFormat="1" ht="12" customHeight="1" thickBot="1" x14ac:dyDescent="0.25">
      <c r="A9" s="18" t="s">
        <v>24</v>
      </c>
      <c r="B9" s="540" t="s">
        <v>333</v>
      </c>
      <c r="C9" s="745">
        <v>300000000</v>
      </c>
      <c r="D9" s="745">
        <v>80000000</v>
      </c>
      <c r="E9" s="745">
        <v>80000000</v>
      </c>
      <c r="F9" s="745">
        <v>80000000</v>
      </c>
    </row>
    <row r="10" spans="1:6" s="212" customFormat="1" ht="12" customHeight="1" thickBot="1" x14ac:dyDescent="0.25">
      <c r="A10" s="18" t="s">
        <v>141</v>
      </c>
      <c r="B10" s="540" t="s">
        <v>941</v>
      </c>
      <c r="C10" s="746">
        <f>SUM(C15:C17)+C11</f>
        <v>353500000</v>
      </c>
      <c r="D10" s="746">
        <f>D11+D14+D15+D16+D17</f>
        <v>491000000</v>
      </c>
      <c r="E10" s="746">
        <f t="shared" ref="E10:F10" si="0">E11+E14+E15+E16+E17</f>
        <v>502000000</v>
      </c>
      <c r="F10" s="746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940</v>
      </c>
      <c r="C11" s="747">
        <f>SUM(C12:C14)</f>
        <v>310000000</v>
      </c>
      <c r="D11" s="747">
        <f>D12+D13</f>
        <v>440000000</v>
      </c>
      <c r="E11" s="747">
        <f t="shared" ref="E11:F11" si="1">E12+E13</f>
        <v>450000000</v>
      </c>
      <c r="F11" s="747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8">
        <v>78000000</v>
      </c>
      <c r="D12" s="748">
        <v>90000000</v>
      </c>
      <c r="E12" s="748">
        <v>90000000</v>
      </c>
      <c r="F12" s="748">
        <v>90000000</v>
      </c>
    </row>
    <row r="13" spans="1:6" s="212" customFormat="1" ht="12" customHeight="1" x14ac:dyDescent="0.2">
      <c r="A13" s="12" t="s">
        <v>217</v>
      </c>
      <c r="B13" s="937" t="s">
        <v>697</v>
      </c>
      <c r="C13" s="748">
        <v>232000000</v>
      </c>
      <c r="D13" s="748">
        <v>350000000</v>
      </c>
      <c r="E13" s="748">
        <v>360000000</v>
      </c>
      <c r="F13" s="748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9"/>
      <c r="D14" s="749"/>
      <c r="E14" s="749"/>
      <c r="F14" s="749"/>
    </row>
    <row r="15" spans="1:6" s="212" customFormat="1" ht="12" customHeight="1" x14ac:dyDescent="0.2">
      <c r="A15" s="12" t="s">
        <v>551</v>
      </c>
      <c r="B15" s="343" t="s">
        <v>220</v>
      </c>
      <c r="C15" s="748">
        <v>28000000</v>
      </c>
      <c r="D15" s="748">
        <v>35000000</v>
      </c>
      <c r="E15" s="748">
        <v>35000000</v>
      </c>
      <c r="F15" s="748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8">
        <v>4500000</v>
      </c>
      <c r="D16" s="748"/>
      <c r="E16" s="748"/>
      <c r="F16" s="748"/>
    </row>
    <row r="17" spans="1:11" s="212" customFormat="1" ht="12" customHeight="1" thickBot="1" x14ac:dyDescent="0.25">
      <c r="A17" s="14" t="s">
        <v>565</v>
      </c>
      <c r="B17" s="344" t="s">
        <v>222</v>
      </c>
      <c r="C17" s="750">
        <v>11000000</v>
      </c>
      <c r="D17" s="750">
        <v>16000000</v>
      </c>
      <c r="E17" s="750">
        <v>17000000</v>
      </c>
      <c r="F17" s="750">
        <v>17000000</v>
      </c>
    </row>
    <row r="18" spans="1:11" s="212" customFormat="1" ht="12" customHeight="1" thickBot="1" x14ac:dyDescent="0.25">
      <c r="A18" s="18" t="s">
        <v>26</v>
      </c>
      <c r="B18" s="540" t="s">
        <v>686</v>
      </c>
      <c r="C18" s="745">
        <v>440000000</v>
      </c>
      <c r="D18" s="745">
        <v>340000000</v>
      </c>
      <c r="E18" s="745">
        <v>340000000</v>
      </c>
      <c r="F18" s="745">
        <v>350000000</v>
      </c>
    </row>
    <row r="19" spans="1:11" s="212" customFormat="1" ht="12" customHeight="1" thickBot="1" x14ac:dyDescent="0.25">
      <c r="A19" s="18" t="s">
        <v>27</v>
      </c>
      <c r="B19" s="540" t="s">
        <v>14</v>
      </c>
      <c r="C19" s="745">
        <v>6000000</v>
      </c>
      <c r="D19" s="745">
        <v>10000000</v>
      </c>
      <c r="E19" s="745">
        <v>10000000</v>
      </c>
      <c r="F19" s="745">
        <v>10000000</v>
      </c>
    </row>
    <row r="20" spans="1:11" s="212" customFormat="1" ht="12" customHeight="1" thickBot="1" x14ac:dyDescent="0.25">
      <c r="A20" s="18" t="s">
        <v>148</v>
      </c>
      <c r="B20" s="540" t="s">
        <v>687</v>
      </c>
      <c r="C20" s="745">
        <v>2000000</v>
      </c>
      <c r="D20" s="745">
        <v>800000</v>
      </c>
      <c r="E20" s="745">
        <v>700000</v>
      </c>
      <c r="F20" s="745">
        <v>500000</v>
      </c>
    </row>
    <row r="21" spans="1:11" s="212" customFormat="1" ht="12" customHeight="1" thickBot="1" x14ac:dyDescent="0.25">
      <c r="A21" s="18" t="s">
        <v>29</v>
      </c>
      <c r="B21" s="543" t="s">
        <v>688</v>
      </c>
      <c r="C21" s="745"/>
      <c r="D21" s="745"/>
      <c r="E21" s="745"/>
      <c r="F21" s="745"/>
    </row>
    <row r="22" spans="1:11" s="212" customFormat="1" ht="12" customHeight="1" thickBot="1" x14ac:dyDescent="0.25">
      <c r="A22" s="18" t="s">
        <v>30</v>
      </c>
      <c r="B22" s="540" t="s">
        <v>255</v>
      </c>
      <c r="C22" s="746">
        <f>+C7+C8+C9+C10+C18+C19+C20+C21</f>
        <v>2632500000</v>
      </c>
      <c r="D22" s="746">
        <f>SUM(D7:D10)+SUM(D18:D21)</f>
        <v>2571800000</v>
      </c>
      <c r="E22" s="746">
        <f t="shared" ref="E22:F22" si="2">SUM(E7:E10)+SUM(E18:E21)</f>
        <v>2592700000</v>
      </c>
      <c r="F22" s="746">
        <f t="shared" si="2"/>
        <v>2622500000</v>
      </c>
      <c r="H22" s="1241"/>
      <c r="I22" s="1241"/>
      <c r="J22" s="1241"/>
      <c r="K22" s="1241"/>
    </row>
    <row r="23" spans="1:11" s="212" customFormat="1" ht="12" customHeight="1" thickBot="1" x14ac:dyDescent="0.25">
      <c r="A23" s="18" t="s">
        <v>31</v>
      </c>
      <c r="B23" s="540" t="s">
        <v>689</v>
      </c>
      <c r="C23" s="751">
        <v>400000000</v>
      </c>
      <c r="D23" s="751">
        <v>400000000</v>
      </c>
      <c r="E23" s="751">
        <v>400000000</v>
      </c>
      <c r="F23" s="751">
        <v>400000000</v>
      </c>
      <c r="H23" s="1241"/>
      <c r="I23" s="1241"/>
      <c r="J23" s="1241"/>
      <c r="K23" s="1241"/>
    </row>
    <row r="24" spans="1:11" s="212" customFormat="1" ht="12" customHeight="1" thickBot="1" x14ac:dyDescent="0.25">
      <c r="A24" s="18" t="s">
        <v>32</v>
      </c>
      <c r="B24" s="540" t="s">
        <v>690</v>
      </c>
      <c r="C24" s="746">
        <f>+C22+C23</f>
        <v>3032500000</v>
      </c>
      <c r="D24" s="746">
        <f>D22+D23</f>
        <v>2971800000</v>
      </c>
      <c r="E24" s="746">
        <f t="shared" ref="E24:F24" si="3">E22+E23</f>
        <v>2992700000</v>
      </c>
      <c r="F24" s="746">
        <f t="shared" si="3"/>
        <v>3022500000</v>
      </c>
      <c r="H24" s="1241"/>
      <c r="I24" s="1241"/>
      <c r="J24" s="1241"/>
      <c r="K24" s="1241"/>
    </row>
    <row r="25" spans="1:11" s="212" customFormat="1" ht="12" customHeight="1" x14ac:dyDescent="0.2">
      <c r="A25" s="317"/>
      <c r="B25" s="318"/>
      <c r="C25" s="752"/>
      <c r="D25" s="753"/>
      <c r="E25" s="754"/>
      <c r="F25" s="754"/>
      <c r="H25" s="1241"/>
      <c r="I25" s="1241"/>
      <c r="J25" s="1242"/>
      <c r="K25" s="1241"/>
    </row>
    <row r="26" spans="1:11" s="212" customFormat="1" ht="12" customHeight="1" x14ac:dyDescent="0.2">
      <c r="A26" s="1251" t="s">
        <v>50</v>
      </c>
      <c r="B26" s="1251"/>
      <c r="C26" s="1251"/>
      <c r="D26" s="1251"/>
      <c r="E26" s="1251"/>
      <c r="H26" s="1241"/>
      <c r="I26" s="1241"/>
      <c r="J26" s="1241"/>
      <c r="K26" s="1241"/>
    </row>
    <row r="27" spans="1:11" s="212" customFormat="1" ht="12" customHeight="1" thickBot="1" x14ac:dyDescent="0.25">
      <c r="A27" s="1252" t="s">
        <v>132</v>
      </c>
      <c r="B27" s="1252"/>
      <c r="C27" s="200"/>
      <c r="D27" s="643"/>
      <c r="E27" s="144"/>
      <c r="F27" s="144" t="str">
        <f>F4</f>
        <v>Forintban!</v>
      </c>
      <c r="H27" s="1241"/>
      <c r="I27" s="1241"/>
      <c r="J27" s="1241"/>
      <c r="K27" s="1241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55" t="str">
        <f>+E5</f>
        <v>2021. évi</v>
      </c>
      <c r="F28" s="755" t="str">
        <f>+F5</f>
        <v>2022. évi</v>
      </c>
      <c r="H28" s="1241"/>
      <c r="I28" s="1241"/>
      <c r="J28" s="1241"/>
      <c r="K28" s="1241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6" t="s">
        <v>509</v>
      </c>
      <c r="F29" s="756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7">
        <v>2420500000</v>
      </c>
      <c r="D30" s="757">
        <v>2550000000</v>
      </c>
      <c r="E30" s="757">
        <v>2570000000</v>
      </c>
      <c r="F30" s="757">
        <v>2590000000</v>
      </c>
    </row>
    <row r="31" spans="1:11" ht="12" customHeight="1" thickBot="1" x14ac:dyDescent="0.3">
      <c r="A31" s="280" t="s">
        <v>23</v>
      </c>
      <c r="B31" s="758" t="s">
        <v>692</v>
      </c>
      <c r="C31" s="759">
        <f>+C32+C33+C34</f>
        <v>457000000</v>
      </c>
      <c r="D31" s="759">
        <f>D32+D33+D34</f>
        <v>261800000</v>
      </c>
      <c r="E31" s="759">
        <f t="shared" ref="E31:F31" si="4">E32+E33+E34</f>
        <v>259700000</v>
      </c>
      <c r="F31" s="759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60">
        <v>145000000</v>
      </c>
      <c r="D32" s="760">
        <f>150000000-5000000</f>
        <v>145000000</v>
      </c>
      <c r="E32" s="760">
        <f>150000000-6000000</f>
        <v>144000000</v>
      </c>
      <c r="F32" s="760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61">
        <v>292000000</v>
      </c>
      <c r="D33" s="761">
        <f>100000000-3200000</f>
        <v>96800000</v>
      </c>
      <c r="E33" s="761">
        <f>100000000-4300000</f>
        <v>95700000</v>
      </c>
      <c r="F33" s="761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61">
        <v>20000000</v>
      </c>
      <c r="D34" s="761">
        <v>20000000</v>
      </c>
      <c r="E34" s="761">
        <v>20000000</v>
      </c>
      <c r="F34" s="761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62">
        <f>+C30+C31</f>
        <v>2877500000</v>
      </c>
      <c r="D35" s="762">
        <f>D30+D31</f>
        <v>2811800000</v>
      </c>
      <c r="E35" s="762">
        <f t="shared" ref="E35:F35" si="5">E30+E31</f>
        <v>2829700000</v>
      </c>
      <c r="F35" s="762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63">
        <v>155000000</v>
      </c>
      <c r="D36" s="763">
        <v>160000000</v>
      </c>
      <c r="E36" s="764">
        <v>163000000</v>
      </c>
      <c r="F36" s="764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65">
        <f>+C35+C36</f>
        <v>3032500000</v>
      </c>
      <c r="D37" s="765">
        <f>D35+D36</f>
        <v>2971800000</v>
      </c>
      <c r="E37" s="765">
        <f t="shared" ref="E37:F37" si="6">E35+E36</f>
        <v>2992700000</v>
      </c>
      <c r="F37" s="765">
        <f t="shared" si="6"/>
        <v>3022500000</v>
      </c>
    </row>
    <row r="38" spans="1:7" x14ac:dyDescent="0.25">
      <c r="C38" s="199"/>
      <c r="D38" s="971">
        <f>D24-D37</f>
        <v>0</v>
      </c>
      <c r="E38" s="971">
        <f t="shared" ref="E38:F38" si="7">E24-E37</f>
        <v>0</v>
      </c>
      <c r="F38" s="971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topLeftCell="D1" zoomScale="115" zoomScaleNormal="100" zoomScalePageLayoutView="115" workbookViewId="0">
      <selection activeCell="H5" sqref="H5"/>
    </sheetView>
  </sheetViews>
  <sheetFormatPr defaultColWidth="10.6640625" defaultRowHeight="12.75" x14ac:dyDescent="0.2"/>
  <cols>
    <col min="1" max="2" width="9.33203125" style="991" hidden="1" customWidth="1"/>
    <col min="3" max="3" width="58.1640625" style="991" hidden="1" customWidth="1"/>
    <col min="4" max="4" width="21.6640625" style="991" customWidth="1"/>
    <col min="5" max="5" width="62.6640625" style="991" bestFit="1" customWidth="1"/>
    <col min="6" max="6" width="14.33203125" style="991" customWidth="1"/>
    <col min="7" max="7" width="9.6640625" style="991" customWidth="1"/>
    <col min="8" max="8" width="10.6640625" style="991" customWidth="1"/>
    <col min="9" max="16384" width="10.6640625" style="991"/>
  </cols>
  <sheetData>
    <row r="1" spans="5:8" x14ac:dyDescent="0.2">
      <c r="E1" s="364"/>
      <c r="F1" s="833"/>
      <c r="G1" s="364"/>
      <c r="H1" s="364"/>
    </row>
    <row r="2" spans="5:8" x14ac:dyDescent="0.2">
      <c r="E2" s="364"/>
      <c r="F2" s="1368"/>
      <c r="G2" s="1368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371" t="s">
        <v>762</v>
      </c>
      <c r="F4" s="1371"/>
      <c r="G4" s="365"/>
      <c r="H4" s="365"/>
    </row>
    <row r="5" spans="5:8" ht="19.5" x14ac:dyDescent="0.35">
      <c r="E5" s="1371"/>
      <c r="F5" s="1371"/>
      <c r="G5" s="365"/>
      <c r="H5" s="365"/>
    </row>
    <row r="6" spans="5:8" ht="13.5" thickBot="1" x14ac:dyDescent="0.25">
      <c r="E6" s="364"/>
      <c r="F6" s="992"/>
      <c r="G6" s="364"/>
      <c r="H6" s="364"/>
    </row>
    <row r="7" spans="5:8" ht="15.95" customHeight="1" x14ac:dyDescent="0.2">
      <c r="E7" s="993"/>
      <c r="F7" s="1369" t="s">
        <v>748</v>
      </c>
      <c r="G7" s="994"/>
      <c r="H7" s="995"/>
    </row>
    <row r="8" spans="5:8" ht="15.95" customHeight="1" x14ac:dyDescent="0.2">
      <c r="E8" s="996" t="s">
        <v>749</v>
      </c>
      <c r="F8" s="1370"/>
      <c r="G8" s="997"/>
      <c r="H8" s="997"/>
    </row>
    <row r="9" spans="5:8" ht="15.95" customHeight="1" thickBot="1" x14ac:dyDescent="0.25">
      <c r="E9" s="998" t="s">
        <v>750</v>
      </c>
      <c r="F9" s="999"/>
      <c r="G9" s="997"/>
      <c r="H9" s="997"/>
    </row>
    <row r="10" spans="5:8" s="367" customFormat="1" ht="18" customHeight="1" x14ac:dyDescent="0.2">
      <c r="E10" s="1078" t="s">
        <v>852</v>
      </c>
      <c r="F10" s="1076">
        <v>24.5</v>
      </c>
      <c r="G10" s="1001"/>
      <c r="H10" s="1001"/>
    </row>
    <row r="11" spans="5:8" s="367" customFormat="1" ht="18" customHeight="1" x14ac:dyDescent="0.2">
      <c r="E11" s="1000" t="s">
        <v>853</v>
      </c>
      <c r="F11" s="1076">
        <v>20.5</v>
      </c>
      <c r="G11" s="1001"/>
      <c r="H11" s="1001"/>
    </row>
    <row r="12" spans="5:8" s="367" customFormat="1" ht="18" customHeight="1" x14ac:dyDescent="0.2">
      <c r="E12" s="1079" t="s">
        <v>751</v>
      </c>
      <c r="F12" s="1004">
        <v>55</v>
      </c>
      <c r="G12" s="1002"/>
      <c r="H12" s="1001"/>
    </row>
    <row r="13" spans="5:8" s="367" customFormat="1" ht="18" customHeight="1" x14ac:dyDescent="0.2">
      <c r="E13" s="1079" t="s">
        <v>952</v>
      </c>
      <c r="F13" s="1004">
        <v>1</v>
      </c>
      <c r="G13" s="1002"/>
      <c r="H13" s="1001"/>
    </row>
    <row r="14" spans="5:8" s="367" customFormat="1" ht="18" customHeight="1" x14ac:dyDescent="0.2">
      <c r="E14" s="1080" t="s">
        <v>752</v>
      </c>
      <c r="F14" s="1004">
        <v>15.75</v>
      </c>
      <c r="G14" s="1001"/>
      <c r="H14" s="1001"/>
    </row>
    <row r="15" spans="5:8" s="367" customFormat="1" ht="18" customHeight="1" x14ac:dyDescent="0.2">
      <c r="E15" s="1003" t="s">
        <v>819</v>
      </c>
      <c r="F15" s="1077">
        <v>18.75</v>
      </c>
      <c r="G15" s="1001"/>
      <c r="H15" s="1001"/>
    </row>
    <row r="16" spans="5:8" s="367" customFormat="1" ht="18" customHeight="1" x14ac:dyDescent="0.2">
      <c r="E16" s="1079" t="s">
        <v>753</v>
      </c>
      <c r="F16" s="1077">
        <v>21</v>
      </c>
      <c r="G16" s="1002"/>
      <c r="H16" s="1001"/>
    </row>
    <row r="17" spans="5:8" s="367" customFormat="1" ht="18" customHeight="1" x14ac:dyDescent="0.2">
      <c r="E17" s="1079" t="s">
        <v>754</v>
      </c>
      <c r="F17" s="1077">
        <v>146</v>
      </c>
      <c r="G17" s="1002"/>
      <c r="H17" s="1001"/>
    </row>
    <row r="18" spans="5:8" s="367" customFormat="1" ht="18" customHeight="1" x14ac:dyDescent="0.2">
      <c r="E18" s="1005" t="s">
        <v>823</v>
      </c>
      <c r="F18" s="1077">
        <v>148</v>
      </c>
      <c r="G18" s="1002"/>
      <c r="H18" s="1001"/>
    </row>
    <row r="19" spans="5:8" s="367" customFormat="1" ht="18" customHeight="1" x14ac:dyDescent="0.2">
      <c r="E19" s="1005" t="s">
        <v>824</v>
      </c>
      <c r="F19" s="1077">
        <v>150</v>
      </c>
      <c r="G19" s="1002"/>
      <c r="H19" s="1001"/>
    </row>
    <row r="20" spans="5:8" s="367" customFormat="1" ht="18" customHeight="1" x14ac:dyDescent="0.2">
      <c r="E20" s="1079" t="s">
        <v>755</v>
      </c>
      <c r="F20" s="1077">
        <v>4</v>
      </c>
      <c r="G20" s="1002"/>
      <c r="H20" s="1001"/>
    </row>
    <row r="21" spans="5:8" s="367" customFormat="1" ht="18" customHeight="1" x14ac:dyDescent="0.2">
      <c r="E21" s="1087" t="s">
        <v>756</v>
      </c>
      <c r="F21" s="1077">
        <v>55</v>
      </c>
      <c r="G21" s="1002"/>
      <c r="H21" s="1001"/>
    </row>
    <row r="22" spans="5:8" s="367" customFormat="1" ht="18" customHeight="1" x14ac:dyDescent="0.2">
      <c r="E22" s="1087" t="s">
        <v>757</v>
      </c>
      <c r="F22" s="1077">
        <v>1.5</v>
      </c>
      <c r="G22" s="1002"/>
      <c r="H22" s="1001"/>
    </row>
    <row r="23" spans="5:8" s="367" customFormat="1" ht="18" customHeight="1" x14ac:dyDescent="0.2">
      <c r="E23" s="1087" t="s">
        <v>758</v>
      </c>
      <c r="F23" s="1077">
        <v>2</v>
      </c>
      <c r="G23" s="1002"/>
      <c r="H23" s="1001"/>
    </row>
    <row r="24" spans="5:8" s="367" customFormat="1" ht="22.5" x14ac:dyDescent="0.2">
      <c r="E24" s="1086" t="s">
        <v>825</v>
      </c>
      <c r="F24" s="1077">
        <v>0</v>
      </c>
      <c r="G24" s="1002"/>
      <c r="H24" s="1001"/>
    </row>
    <row r="25" spans="5:8" s="367" customFormat="1" ht="18" customHeight="1" x14ac:dyDescent="0.2">
      <c r="E25" s="1081" t="s">
        <v>563</v>
      </c>
      <c r="F25" s="1077">
        <v>47.38</v>
      </c>
      <c r="G25" s="1002"/>
      <c r="H25" s="1001"/>
    </row>
    <row r="26" spans="5:8" s="364" customFormat="1" ht="13.5" thickBot="1" x14ac:dyDescent="0.25">
      <c r="E26" s="1006" t="s">
        <v>818</v>
      </c>
      <c r="F26" s="1088">
        <v>48.375</v>
      </c>
      <c r="G26" s="1007"/>
      <c r="H26" s="1007"/>
    </row>
    <row r="27" spans="5:8" s="364" customFormat="1" ht="13.5" thickBot="1" x14ac:dyDescent="0.25">
      <c r="E27" s="1008" t="s">
        <v>759</v>
      </c>
      <c r="F27" s="1009">
        <f>F10+F12+F14+F16+F17+F20+F21+F22+F23+F25+F13</f>
        <v>373.13</v>
      </c>
      <c r="G27" s="1010"/>
      <c r="H27" s="1010"/>
    </row>
    <row r="28" spans="5:8" s="364" customFormat="1" ht="13.5" thickBot="1" x14ac:dyDescent="0.25">
      <c r="E28" s="1011" t="s">
        <v>760</v>
      </c>
      <c r="F28" s="1009">
        <f>F10+F12+F14+F16+F17+F25</f>
        <v>309.63</v>
      </c>
      <c r="G28" s="1010"/>
      <c r="H28" s="1010"/>
    </row>
    <row r="29" spans="5:8" s="364" customFormat="1" ht="13.5" thickBot="1" x14ac:dyDescent="0.25">
      <c r="E29" s="1012" t="s">
        <v>172</v>
      </c>
      <c r="F29" s="1089">
        <v>5</v>
      </c>
      <c r="G29" s="1010"/>
      <c r="H29" s="1010"/>
    </row>
    <row r="30" spans="5:8" s="364" customFormat="1" ht="13.5" thickBot="1" x14ac:dyDescent="0.25">
      <c r="E30" s="1454" t="s">
        <v>761</v>
      </c>
      <c r="F30" s="1455">
        <f>SUM(F28:F29)</f>
        <v>314.63</v>
      </c>
      <c r="G30" s="1010"/>
      <c r="H30" s="1010"/>
    </row>
  </sheetData>
  <mergeCells count="3">
    <mergeCell ref="F2:G2"/>
    <mergeCell ref="F7:F8"/>
    <mergeCell ref="E4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180" verticalDpi="180" r:id="rId1"/>
  <headerFooter alignWithMargins="0">
    <oddHeader>&amp;R&amp;"Times New Roman CE,Félkövér dőlt"&amp;11 31. számú tájékoztató tábla a ./....(......)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2"/>
  <sheetViews>
    <sheetView view="pageLayout" zoomScaleNormal="100" zoomScaleSheetLayoutView="100" workbookViewId="0">
      <selection activeCell="G3" sqref="G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259" t="s">
        <v>136</v>
      </c>
      <c r="B1" s="1259"/>
      <c r="C1" s="1259"/>
      <c r="D1" s="1259"/>
      <c r="E1" s="1259"/>
      <c r="F1" s="1255"/>
    </row>
    <row r="2" spans="1:6" ht="18" customHeight="1" thickBot="1" x14ac:dyDescent="0.25">
      <c r="A2" s="1256" t="s">
        <v>74</v>
      </c>
      <c r="B2" s="788" t="s">
        <v>60</v>
      </c>
      <c r="C2" s="789"/>
      <c r="D2" s="788" t="s">
        <v>61</v>
      </c>
      <c r="E2" s="790"/>
      <c r="F2" s="1255"/>
    </row>
    <row r="3" spans="1:6" s="154" customFormat="1" ht="35.25" customHeight="1" thickBot="1" x14ac:dyDescent="0.25">
      <c r="A3" s="1257"/>
      <c r="B3" s="791" t="s">
        <v>66</v>
      </c>
      <c r="C3" s="792" t="s">
        <v>700</v>
      </c>
      <c r="D3" s="791" t="s">
        <v>66</v>
      </c>
      <c r="E3" s="793" t="str">
        <f>+C3</f>
        <v>2019.évi előirányzat</v>
      </c>
      <c r="F3" s="1255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255"/>
    </row>
    <row r="5" spans="1:6" ht="12.95" customHeight="1" x14ac:dyDescent="0.2">
      <c r="A5" s="794" t="s">
        <v>22</v>
      </c>
      <c r="B5" s="176" t="s">
        <v>325</v>
      </c>
      <c r="C5" s="770">
        <v>1460810310</v>
      </c>
      <c r="D5" s="176" t="s">
        <v>67</v>
      </c>
      <c r="E5" s="569">
        <v>1060522902</v>
      </c>
      <c r="F5" s="1255"/>
    </row>
    <row r="6" spans="1:6" ht="12.95" customHeight="1" x14ac:dyDescent="0.2">
      <c r="A6" s="795" t="s">
        <v>23</v>
      </c>
      <c r="B6" s="166" t="s">
        <v>326</v>
      </c>
      <c r="C6" s="1246">
        <v>232190024</v>
      </c>
      <c r="D6" s="166" t="s">
        <v>151</v>
      </c>
      <c r="E6" s="570">
        <v>220941970</v>
      </c>
      <c r="F6" s="1255"/>
    </row>
    <row r="7" spans="1:6" ht="12.95" customHeight="1" x14ac:dyDescent="0.2">
      <c r="A7" s="795" t="s">
        <v>24</v>
      </c>
      <c r="B7" s="166" t="s">
        <v>346</v>
      </c>
      <c r="C7" s="1246">
        <v>70617011</v>
      </c>
      <c r="D7" s="166" t="s">
        <v>180</v>
      </c>
      <c r="E7" s="570">
        <v>911691403</v>
      </c>
      <c r="F7" s="1255"/>
    </row>
    <row r="8" spans="1:6" ht="12.95" customHeight="1" x14ac:dyDescent="0.2">
      <c r="A8" s="795" t="s">
        <v>25</v>
      </c>
      <c r="B8" s="166" t="s">
        <v>142</v>
      </c>
      <c r="C8" s="43">
        <v>481500000</v>
      </c>
      <c r="D8" s="166" t="s">
        <v>152</v>
      </c>
      <c r="E8" s="44">
        <f>75850000</f>
        <v>75850000</v>
      </c>
      <c r="F8" s="1255"/>
    </row>
    <row r="9" spans="1:6" ht="12.95" customHeight="1" x14ac:dyDescent="0.2">
      <c r="A9" s="795" t="s">
        <v>26</v>
      </c>
      <c r="B9" s="796" t="s">
        <v>371</v>
      </c>
      <c r="C9" s="1246">
        <v>341663172</v>
      </c>
      <c r="D9" s="166" t="s">
        <v>153</v>
      </c>
      <c r="E9" s="570">
        <v>221964570</v>
      </c>
      <c r="F9" s="1255"/>
    </row>
    <row r="10" spans="1:6" ht="12.95" customHeight="1" x14ac:dyDescent="0.2">
      <c r="A10" s="795" t="s">
        <v>27</v>
      </c>
      <c r="B10" s="166" t="s">
        <v>327</v>
      </c>
      <c r="C10" s="1247">
        <v>2182700</v>
      </c>
      <c r="D10" s="166" t="s">
        <v>53</v>
      </c>
      <c r="E10" s="570">
        <v>33540503</v>
      </c>
      <c r="F10" s="1255"/>
    </row>
    <row r="11" spans="1:6" ht="12.95" customHeight="1" x14ac:dyDescent="0.2">
      <c r="A11" s="795" t="s">
        <v>28</v>
      </c>
      <c r="B11" s="166" t="s">
        <v>511</v>
      </c>
      <c r="C11" s="43"/>
      <c r="D11" s="348"/>
      <c r="E11" s="44"/>
      <c r="F11" s="1255"/>
    </row>
    <row r="12" spans="1:6" ht="12.95" customHeight="1" x14ac:dyDescent="0.2">
      <c r="A12" s="795" t="s">
        <v>29</v>
      </c>
      <c r="B12" s="348"/>
      <c r="C12" s="43"/>
      <c r="D12" s="348"/>
      <c r="E12" s="44"/>
      <c r="F12" s="1255"/>
    </row>
    <row r="13" spans="1:6" ht="12.95" customHeight="1" x14ac:dyDescent="0.2">
      <c r="A13" s="795" t="s">
        <v>30</v>
      </c>
      <c r="B13" s="225"/>
      <c r="C13" s="302"/>
      <c r="D13" s="348"/>
      <c r="E13" s="44"/>
      <c r="F13" s="1255"/>
    </row>
    <row r="14" spans="1:6" ht="12.95" customHeight="1" x14ac:dyDescent="0.2">
      <c r="A14" s="795" t="s">
        <v>31</v>
      </c>
      <c r="B14" s="348"/>
      <c r="C14" s="43"/>
      <c r="D14" s="348"/>
      <c r="E14" s="44"/>
      <c r="F14" s="1255"/>
    </row>
    <row r="15" spans="1:6" ht="12.95" customHeight="1" x14ac:dyDescent="0.2">
      <c r="A15" s="795" t="s">
        <v>32</v>
      </c>
      <c r="B15" s="348"/>
      <c r="C15" s="43"/>
      <c r="D15" s="348"/>
      <c r="E15" s="44"/>
      <c r="F15" s="1255"/>
    </row>
    <row r="16" spans="1:6" ht="12.95" customHeight="1" thickBot="1" x14ac:dyDescent="0.25">
      <c r="A16" s="795" t="s">
        <v>33</v>
      </c>
      <c r="B16" s="797"/>
      <c r="C16" s="523"/>
      <c r="D16" s="348"/>
      <c r="E16" s="572"/>
      <c r="F16" s="1255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2518346206</v>
      </c>
      <c r="D17" s="68" t="s">
        <v>332</v>
      </c>
      <c r="E17" s="149">
        <f>SUM(E5:E16)</f>
        <v>2524511348</v>
      </c>
      <c r="F17" s="1255"/>
    </row>
    <row r="18" spans="1:6" ht="12.95" customHeight="1" x14ac:dyDescent="0.2">
      <c r="A18" s="798" t="s">
        <v>35</v>
      </c>
      <c r="B18" s="165" t="s">
        <v>329</v>
      </c>
      <c r="C18" s="254">
        <f>SUM(C19:C22)</f>
        <v>364667600</v>
      </c>
      <c r="D18" s="166" t="s">
        <v>159</v>
      </c>
      <c r="E18" s="150"/>
      <c r="F18" s="1255"/>
    </row>
    <row r="19" spans="1:6" ht="12.95" customHeight="1" x14ac:dyDescent="0.2">
      <c r="A19" s="795" t="s">
        <v>36</v>
      </c>
      <c r="B19" s="166" t="s">
        <v>173</v>
      </c>
      <c r="C19" s="43">
        <v>364667600</v>
      </c>
      <c r="D19" s="166" t="s">
        <v>331</v>
      </c>
      <c r="E19" s="44">
        <v>100000000</v>
      </c>
      <c r="F19" s="1255"/>
    </row>
    <row r="20" spans="1:6" ht="12.95" customHeight="1" x14ac:dyDescent="0.2">
      <c r="A20" s="795" t="s">
        <v>37</v>
      </c>
      <c r="B20" s="166" t="s">
        <v>174</v>
      </c>
      <c r="C20" s="43"/>
      <c r="D20" s="166" t="s">
        <v>134</v>
      </c>
      <c r="E20" s="44"/>
      <c r="F20" s="1255"/>
    </row>
    <row r="21" spans="1:6" ht="12.95" customHeight="1" x14ac:dyDescent="0.2">
      <c r="A21" s="795" t="s">
        <v>38</v>
      </c>
      <c r="B21" s="166" t="s">
        <v>178</v>
      </c>
      <c r="C21" s="43"/>
      <c r="D21" s="166" t="s">
        <v>135</v>
      </c>
      <c r="E21" s="44"/>
      <c r="F21" s="1255"/>
    </row>
    <row r="22" spans="1:6" ht="12.95" customHeight="1" x14ac:dyDescent="0.2">
      <c r="A22" s="795" t="s">
        <v>39</v>
      </c>
      <c r="B22" s="166" t="s">
        <v>179</v>
      </c>
      <c r="C22" s="43"/>
      <c r="D22" s="165" t="s">
        <v>181</v>
      </c>
      <c r="E22" s="44"/>
      <c r="F22" s="1255"/>
    </row>
    <row r="23" spans="1:6" ht="12.95" customHeight="1" x14ac:dyDescent="0.2">
      <c r="A23" s="795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255"/>
    </row>
    <row r="24" spans="1:6" ht="12.95" customHeight="1" x14ac:dyDescent="0.2">
      <c r="A24" s="798" t="s">
        <v>41</v>
      </c>
      <c r="B24" s="165" t="s">
        <v>328</v>
      </c>
      <c r="C24" s="146">
        <v>100000000</v>
      </c>
      <c r="D24" s="176" t="s">
        <v>494</v>
      </c>
      <c r="E24" s="150"/>
      <c r="F24" s="1255"/>
    </row>
    <row r="25" spans="1:6" ht="12.95" customHeight="1" x14ac:dyDescent="0.2">
      <c r="A25" s="795" t="s">
        <v>42</v>
      </c>
      <c r="B25" s="166" t="s">
        <v>513</v>
      </c>
      <c r="C25" s="43"/>
      <c r="D25" s="166" t="s">
        <v>502</v>
      </c>
      <c r="E25" s="44"/>
      <c r="F25" s="1255"/>
    </row>
    <row r="26" spans="1:6" ht="12.95" customHeight="1" x14ac:dyDescent="0.2">
      <c r="A26" s="795" t="s">
        <v>43</v>
      </c>
      <c r="B26" s="166" t="s">
        <v>467</v>
      </c>
      <c r="C26" s="43"/>
      <c r="D26" s="166" t="s">
        <v>503</v>
      </c>
      <c r="E26" s="44"/>
      <c r="F26" s="1255"/>
    </row>
    <row r="27" spans="1:6" ht="12.95" customHeight="1" thickBot="1" x14ac:dyDescent="0.25">
      <c r="A27" s="798" t="s">
        <v>44</v>
      </c>
      <c r="B27" s="165" t="s">
        <v>286</v>
      </c>
      <c r="C27" s="146"/>
      <c r="D27" s="799" t="s">
        <v>561</v>
      </c>
      <c r="E27" s="150">
        <v>41904332</v>
      </c>
      <c r="F27" s="1255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464667600</v>
      </c>
      <c r="D28" s="68" t="s">
        <v>515</v>
      </c>
      <c r="E28" s="149">
        <f>SUM(E18:E27)</f>
        <v>141904332</v>
      </c>
      <c r="F28" s="1255"/>
    </row>
    <row r="29" spans="1:6" ht="13.5" thickBot="1" x14ac:dyDescent="0.25">
      <c r="A29" s="164" t="s">
        <v>46</v>
      </c>
      <c r="B29" s="168" t="s">
        <v>516</v>
      </c>
      <c r="C29" s="356">
        <f>+C17+C28</f>
        <v>2983013806</v>
      </c>
      <c r="D29" s="168" t="s">
        <v>517</v>
      </c>
      <c r="E29" s="356">
        <f>E28+E17</f>
        <v>2666415680</v>
      </c>
      <c r="F29" s="1255"/>
    </row>
    <row r="30" spans="1:6" ht="13.5" thickBot="1" x14ac:dyDescent="0.25">
      <c r="A30" s="164" t="s">
        <v>47</v>
      </c>
      <c r="B30" s="168" t="s">
        <v>137</v>
      </c>
      <c r="C30" s="356">
        <f>IF(C17-E17&lt;0,E17-C17,"-")</f>
        <v>6165142</v>
      </c>
      <c r="D30" s="168" t="s">
        <v>138</v>
      </c>
      <c r="E30" s="356" t="str">
        <f>IF(C17-E17&gt;0,C17-E17,"-")</f>
        <v>-</v>
      </c>
      <c r="F30" s="1255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316598126</v>
      </c>
      <c r="F31" s="1255"/>
    </row>
    <row r="32" spans="1:6" ht="18.75" x14ac:dyDescent="0.2">
      <c r="B32" s="1258"/>
      <c r="C32" s="1258"/>
      <c r="D32" s="1258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5. számú melléklet a ./....(......)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8"/>
  <sheetViews>
    <sheetView view="pageLayout" zoomScaleNormal="100" zoomScaleSheetLayoutView="115" workbookViewId="0">
      <selection activeCell="G8" sqref="G8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262" t="s">
        <v>588</v>
      </c>
      <c r="B1" s="1262"/>
      <c r="C1" s="1262"/>
      <c r="D1" s="1262"/>
      <c r="E1" s="1262"/>
      <c r="F1" s="1255"/>
    </row>
    <row r="2" spans="1:6" ht="13.5" thickBot="1" x14ac:dyDescent="0.25">
      <c r="A2" s="1260" t="s">
        <v>74</v>
      </c>
      <c r="B2" s="151" t="s">
        <v>60</v>
      </c>
      <c r="C2" s="152"/>
      <c r="D2" s="151" t="s">
        <v>61</v>
      </c>
      <c r="E2" s="153"/>
      <c r="F2" s="1255"/>
    </row>
    <row r="3" spans="1:6" s="154" customFormat="1" ht="24.75" thickBot="1" x14ac:dyDescent="0.25">
      <c r="A3" s="1261"/>
      <c r="B3" s="87" t="s">
        <v>66</v>
      </c>
      <c r="C3" s="32" t="s">
        <v>699</v>
      </c>
      <c r="D3" s="87" t="s">
        <v>66</v>
      </c>
      <c r="E3" s="32" t="s">
        <v>699</v>
      </c>
      <c r="F3" s="1255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255"/>
    </row>
    <row r="5" spans="1:6" ht="12.95" customHeight="1" x14ac:dyDescent="0.2">
      <c r="A5" s="160" t="s">
        <v>22</v>
      </c>
      <c r="B5" s="161" t="s">
        <v>333</v>
      </c>
      <c r="C5" s="1248">
        <v>165284566</v>
      </c>
      <c r="D5" s="176" t="s">
        <v>175</v>
      </c>
      <c r="E5" s="569">
        <v>377241731</v>
      </c>
      <c r="F5" s="1255"/>
    </row>
    <row r="6" spans="1:6" ht="12.75" customHeight="1" x14ac:dyDescent="0.2">
      <c r="A6" s="162" t="s">
        <v>23</v>
      </c>
      <c r="B6" s="163" t="s">
        <v>334</v>
      </c>
      <c r="C6" s="1246">
        <v>165284566</v>
      </c>
      <c r="D6" s="166" t="s">
        <v>339</v>
      </c>
      <c r="E6" s="1249">
        <v>300690547</v>
      </c>
      <c r="F6" s="1255"/>
    </row>
    <row r="7" spans="1:6" ht="12.95" customHeight="1" x14ac:dyDescent="0.2">
      <c r="A7" s="162" t="s">
        <v>24</v>
      </c>
      <c r="B7" s="163" t="s">
        <v>14</v>
      </c>
      <c r="C7" s="43">
        <v>22087500</v>
      </c>
      <c r="D7" s="166" t="s">
        <v>155</v>
      </c>
      <c r="E7" s="44">
        <v>106313501</v>
      </c>
      <c r="F7" s="1255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v>69859070</v>
      </c>
      <c r="F8" s="1255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v>26919106</v>
      </c>
      <c r="F9" s="1255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255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255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255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255"/>
    </row>
    <row r="14" spans="1:6" x14ac:dyDescent="0.2">
      <c r="A14" s="162" t="s">
        <v>31</v>
      </c>
      <c r="B14" s="36"/>
      <c r="C14" s="302"/>
      <c r="D14" s="284"/>
      <c r="E14" s="44"/>
      <c r="F14" s="1255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255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556286798</v>
      </c>
      <c r="F16" s="1255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255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255"/>
    </row>
    <row r="19" spans="1:6" ht="12.95" customHeight="1" x14ac:dyDescent="0.2">
      <c r="A19" s="160" t="s">
        <v>36</v>
      </c>
      <c r="B19" s="173" t="s">
        <v>185</v>
      </c>
      <c r="C19" s="43"/>
      <c r="D19" s="1016" t="s">
        <v>134</v>
      </c>
      <c r="E19" s="44"/>
      <c r="F19" s="1255"/>
    </row>
    <row r="20" spans="1:6" ht="12.95" customHeight="1" x14ac:dyDescent="0.2">
      <c r="A20" s="162" t="s">
        <v>37</v>
      </c>
      <c r="B20" s="173" t="s">
        <v>186</v>
      </c>
      <c r="C20" s="43"/>
      <c r="D20" s="1016" t="s">
        <v>135</v>
      </c>
      <c r="E20" s="44">
        <v>16952500</v>
      </c>
      <c r="F20" s="1255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255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255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255"/>
    </row>
    <row r="24" spans="1:6" ht="12.95" customHeight="1" x14ac:dyDescent="0.2">
      <c r="A24" s="162" t="s">
        <v>41</v>
      </c>
      <c r="B24" s="174" t="s">
        <v>190</v>
      </c>
      <c r="C24" s="43">
        <v>69269106</v>
      </c>
      <c r="D24" s="176" t="s">
        <v>341</v>
      </c>
      <c r="E24" s="44"/>
      <c r="F24" s="1255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255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255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255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255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255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573239298</v>
      </c>
      <c r="F30" s="1255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368914732</v>
      </c>
      <c r="D31" s="168" t="s">
        <v>138</v>
      </c>
      <c r="E31" s="169" t="str">
        <f>IF(C16-E16&gt;0,C16-E16,"-")</f>
        <v>-</v>
      </c>
      <c r="F31" s="1255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316598126</v>
      </c>
      <c r="D32" s="168" t="s">
        <v>183</v>
      </c>
      <c r="E32" s="169" t="str">
        <f>IF(C30-E30&gt;0,C30-E30,"-")</f>
        <v>-</v>
      </c>
      <c r="F32" s="1255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6. számú melléklet a ./....(......)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13" zoomScale="85" zoomScaleNormal="120" zoomScaleSheetLayoutView="55" zoomScalePageLayoutView="85" workbookViewId="0">
      <selection sqref="A1:F1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263" t="s">
        <v>454</v>
      </c>
      <c r="B1" s="1263"/>
      <c r="C1" s="1263"/>
      <c r="D1" s="1263"/>
      <c r="E1" s="1263"/>
      <c r="F1" s="1263"/>
      <c r="G1" s="1263"/>
      <c r="H1" s="1263"/>
    </row>
    <row r="2" spans="1:11" ht="15.95" customHeight="1" thickBot="1" x14ac:dyDescent="0.3">
      <c r="A2" s="76"/>
      <c r="B2" s="255"/>
      <c r="C2" s="255"/>
      <c r="D2" s="1264"/>
      <c r="E2" s="1264"/>
      <c r="F2" s="1264"/>
      <c r="G2" s="1265" t="s">
        <v>580</v>
      </c>
      <c r="H2" s="1265"/>
      <c r="I2" s="79"/>
    </row>
    <row r="3" spans="1:11" ht="63" customHeight="1" x14ac:dyDescent="0.25">
      <c r="A3" s="1266" t="s">
        <v>20</v>
      </c>
      <c r="B3" s="1268" t="s">
        <v>164</v>
      </c>
      <c r="C3" s="1090" t="s">
        <v>826</v>
      </c>
      <c r="D3" s="1268" t="s">
        <v>196</v>
      </c>
      <c r="E3" s="1268"/>
      <c r="F3" s="1268"/>
      <c r="G3" s="1268"/>
      <c r="H3" s="1270" t="s">
        <v>585</v>
      </c>
    </row>
    <row r="4" spans="1:11" ht="15.75" thickBot="1" x14ac:dyDescent="0.3">
      <c r="A4" s="1267"/>
      <c r="B4" s="1269"/>
      <c r="C4" s="1091"/>
      <c r="D4" s="1091">
        <v>2019</v>
      </c>
      <c r="E4" s="1091">
        <v>2020</v>
      </c>
      <c r="F4" s="1091">
        <v>2021</v>
      </c>
      <c r="G4" s="1092">
        <v>2022</v>
      </c>
      <c r="H4" s="1271"/>
    </row>
    <row r="5" spans="1:11" ht="21" customHeight="1" thickBot="1" x14ac:dyDescent="0.3">
      <c r="A5" s="1093" t="s">
        <v>22</v>
      </c>
      <c r="B5" s="1094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95" t="s">
        <v>22</v>
      </c>
      <c r="B6" s="1096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97">
        <f t="shared" ref="H6:H21" si="0">SUM(D6:G6)</f>
        <v>0</v>
      </c>
    </row>
    <row r="7" spans="1:11" ht="39" x14ac:dyDescent="0.25">
      <c r="A7" s="1095" t="s">
        <v>23</v>
      </c>
      <c r="B7" s="1096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97">
        <f t="shared" si="0"/>
        <v>6250590</v>
      </c>
      <c r="K7" s="1098"/>
    </row>
    <row r="8" spans="1:11" ht="39" x14ac:dyDescent="0.25">
      <c r="A8" s="1095" t="s">
        <v>24</v>
      </c>
      <c r="B8" s="1096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97">
        <f t="shared" si="0"/>
        <v>6256000</v>
      </c>
      <c r="I8" s="1099"/>
      <c r="J8" s="1100"/>
      <c r="K8" s="1101"/>
    </row>
    <row r="9" spans="1:11" ht="30.75" customHeight="1" x14ac:dyDescent="0.25">
      <c r="A9" s="1095" t="s">
        <v>25</v>
      </c>
      <c r="B9" s="1096" t="s">
        <v>827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97">
        <f t="shared" si="0"/>
        <v>2217461</v>
      </c>
    </row>
    <row r="10" spans="1:11" ht="34.5" customHeight="1" x14ac:dyDescent="0.25">
      <c r="A10" s="1095" t="s">
        <v>26</v>
      </c>
      <c r="B10" s="1096" t="s">
        <v>828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97">
        <f t="shared" si="0"/>
        <v>2782539</v>
      </c>
    </row>
    <row r="11" spans="1:11" ht="26.25" customHeight="1" x14ac:dyDescent="0.25">
      <c r="A11" s="1095" t="s">
        <v>27</v>
      </c>
      <c r="B11" s="503" t="s">
        <v>586</v>
      </c>
      <c r="C11" s="1102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97">
        <f t="shared" si="0"/>
        <v>19760000</v>
      </c>
    </row>
    <row r="12" spans="1:11" ht="26.25" customHeight="1" x14ac:dyDescent="0.25">
      <c r="A12" s="1095" t="s">
        <v>28</v>
      </c>
      <c r="B12" s="1103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97">
        <f t="shared" si="0"/>
        <v>5500000</v>
      </c>
    </row>
    <row r="13" spans="1:11" ht="26.25" customHeight="1" x14ac:dyDescent="0.25">
      <c r="A13" s="1095" t="s">
        <v>29</v>
      </c>
      <c r="B13" s="335" t="s">
        <v>829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97">
        <f t="shared" si="0"/>
        <v>3201452</v>
      </c>
    </row>
    <row r="14" spans="1:11" ht="26.25" customHeight="1" x14ac:dyDescent="0.25">
      <c r="A14" s="1095" t="s">
        <v>30</v>
      </c>
      <c r="B14" s="335" t="s">
        <v>830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97">
        <f t="shared" si="0"/>
        <v>2981946</v>
      </c>
    </row>
    <row r="15" spans="1:11" ht="26.25" customHeight="1" x14ac:dyDescent="0.25">
      <c r="A15" s="1095" t="s">
        <v>31</v>
      </c>
      <c r="B15" s="335" t="s">
        <v>831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97">
        <f t="shared" si="0"/>
        <v>4127500</v>
      </c>
    </row>
    <row r="16" spans="1:11" ht="26.25" customHeight="1" x14ac:dyDescent="0.25">
      <c r="A16" s="1095" t="s">
        <v>32</v>
      </c>
      <c r="B16" s="503" t="s">
        <v>832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97">
        <f t="shared" si="0"/>
        <v>5838000</v>
      </c>
    </row>
    <row r="17" spans="1:8" ht="26.25" customHeight="1" x14ac:dyDescent="0.25">
      <c r="A17" s="1095" t="s">
        <v>33</v>
      </c>
      <c r="B17" s="503" t="s">
        <v>833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97">
        <f t="shared" si="0"/>
        <v>5503512</v>
      </c>
    </row>
    <row r="18" spans="1:8" ht="26.25" customHeight="1" x14ac:dyDescent="0.25">
      <c r="A18" s="1095" t="s">
        <v>34</v>
      </c>
      <c r="B18" s="503" t="s">
        <v>834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97">
        <f t="shared" si="0"/>
        <v>9515220</v>
      </c>
    </row>
    <row r="19" spans="1:8" ht="26.25" customHeight="1" x14ac:dyDescent="0.25">
      <c r="A19" s="1095" t="s">
        <v>35</v>
      </c>
      <c r="B19" s="503" t="s">
        <v>835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97">
        <f t="shared" si="0"/>
        <v>8332800</v>
      </c>
    </row>
    <row r="20" spans="1:8" ht="26.25" customHeight="1" x14ac:dyDescent="0.25">
      <c r="A20" s="1095" t="s">
        <v>36</v>
      </c>
      <c r="B20" s="503" t="s">
        <v>836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97">
        <f t="shared" si="0"/>
        <v>2542500</v>
      </c>
    </row>
    <row r="21" spans="1:8" ht="27" thickBot="1" x14ac:dyDescent="0.3">
      <c r="A21" s="1095" t="s">
        <v>37</v>
      </c>
      <c r="B21" s="503" t="s">
        <v>837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97">
        <f t="shared" si="0"/>
        <v>8100000</v>
      </c>
    </row>
    <row r="22" spans="1:8" ht="31.5" customHeight="1" thickBot="1" x14ac:dyDescent="0.3">
      <c r="A22" s="1104"/>
      <c r="B22" s="1105" t="s">
        <v>165</v>
      </c>
      <c r="C22" s="1106">
        <f t="shared" ref="C22:H22" si="1">SUM(C6:C21)</f>
        <v>97041173</v>
      </c>
      <c r="D22" s="1106">
        <f t="shared" si="1"/>
        <v>16952500</v>
      </c>
      <c r="E22" s="1106">
        <f t="shared" si="1"/>
        <v>26038934</v>
      </c>
      <c r="F22" s="1106">
        <f t="shared" si="1"/>
        <v>26317790</v>
      </c>
      <c r="G22" s="1106">
        <f t="shared" si="1"/>
        <v>23600296</v>
      </c>
      <c r="H22" s="1106">
        <f t="shared" si="1"/>
        <v>92909520</v>
      </c>
    </row>
    <row r="24" spans="1:8" x14ac:dyDescent="0.25">
      <c r="B24" s="1107" t="s">
        <v>838</v>
      </c>
    </row>
    <row r="26" spans="1:8" x14ac:dyDescent="0.25">
      <c r="B26" s="55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4/2019.(II.19.)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zoomScale="115" zoomScaleNormal="120" zoomScalePageLayoutView="115" workbookViewId="0">
      <selection sqref="A1:F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263" t="s">
        <v>618</v>
      </c>
      <c r="B1" s="1263"/>
      <c r="C1" s="1263"/>
    </row>
    <row r="2" spans="1:4" ht="15.95" customHeight="1" thickBot="1" x14ac:dyDescent="0.3">
      <c r="A2" s="76"/>
      <c r="B2" s="76"/>
      <c r="C2" s="80" t="s">
        <v>570</v>
      </c>
      <c r="D2" s="64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5">
        <v>1</v>
      </c>
      <c r="B4" s="646">
        <v>2</v>
      </c>
      <c r="C4" s="647">
        <v>3</v>
      </c>
    </row>
    <row r="5" spans="1:4" x14ac:dyDescent="0.25">
      <c r="A5" s="84" t="s">
        <v>22</v>
      </c>
      <c r="B5" s="648" t="s">
        <v>620</v>
      </c>
      <c r="C5" s="1017">
        <f>430000000</f>
        <v>430000000</v>
      </c>
    </row>
    <row r="6" spans="1:4" ht="24.75" x14ac:dyDescent="0.25">
      <c r="A6" s="85" t="s">
        <v>23</v>
      </c>
      <c r="B6" s="649" t="s">
        <v>621</v>
      </c>
      <c r="C6" s="650">
        <v>740000</v>
      </c>
    </row>
    <row r="7" spans="1:4" ht="36.75" x14ac:dyDescent="0.25">
      <c r="A7" s="85" t="s">
        <v>24</v>
      </c>
      <c r="B7" s="649" t="s">
        <v>622</v>
      </c>
      <c r="C7" s="650">
        <f>15901900+1241400+39574680</f>
        <v>56717980</v>
      </c>
    </row>
    <row r="8" spans="1:4" x14ac:dyDescent="0.25">
      <c r="A8" s="85" t="s">
        <v>25</v>
      </c>
      <c r="B8" s="651" t="s">
        <v>623</v>
      </c>
      <c r="C8" s="650"/>
    </row>
    <row r="9" spans="1:4" ht="24.75" x14ac:dyDescent="0.25">
      <c r="A9" s="85" t="s">
        <v>26</v>
      </c>
      <c r="B9" s="651" t="s">
        <v>624</v>
      </c>
      <c r="C9" s="650">
        <f>21787500+300000</f>
        <v>22087500</v>
      </c>
    </row>
    <row r="10" spans="1:4" x14ac:dyDescent="0.25">
      <c r="A10" s="85" t="s">
        <v>27</v>
      </c>
      <c r="B10" s="651" t="s">
        <v>771</v>
      </c>
      <c r="C10" s="652">
        <v>16500000</v>
      </c>
    </row>
    <row r="11" spans="1:4" ht="15.75" thickBot="1" x14ac:dyDescent="0.3">
      <c r="A11" s="653" t="s">
        <v>28</v>
      </c>
      <c r="B11" s="654" t="s">
        <v>625</v>
      </c>
      <c r="C11" s="655"/>
    </row>
    <row r="12" spans="1:4" ht="15.75" thickBot="1" x14ac:dyDescent="0.3">
      <c r="A12" s="1272" t="s">
        <v>626</v>
      </c>
      <c r="B12" s="1273"/>
      <c r="C12" s="656">
        <f>SUM(C5:C11)</f>
        <v>526045480</v>
      </c>
    </row>
    <row r="13" spans="1:4" ht="23.25" customHeight="1" x14ac:dyDescent="0.25">
      <c r="A13" s="1274" t="s">
        <v>627</v>
      </c>
      <c r="B13" s="1274"/>
      <c r="C13" s="1274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4/2019.(II.19.)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2019-03-25T14:36:10Z</cp:lastPrinted>
  <dcterms:created xsi:type="dcterms:W3CDTF">1999-10-30T10:30:45Z</dcterms:created>
  <dcterms:modified xsi:type="dcterms:W3CDTF">2019-03-25T14:40:17Z</dcterms:modified>
</cp:coreProperties>
</file>