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40" windowHeight="8835"/>
  </bookViews>
  <sheets>
    <sheet name="Fogyatékos ellátás 2018.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4" l="1"/>
  <c r="F16" i="4"/>
  <c r="E39" i="4"/>
  <c r="E29" i="4"/>
  <c r="J21" i="4" l="1"/>
  <c r="F40" i="4"/>
  <c r="F39" i="4"/>
  <c r="F30" i="4"/>
  <c r="F31" i="4"/>
  <c r="F32" i="4"/>
  <c r="F33" i="4"/>
  <c r="F34" i="4"/>
  <c r="F35" i="4"/>
  <c r="F36" i="4"/>
  <c r="F37" i="4"/>
  <c r="F28" i="4"/>
  <c r="I46" i="4"/>
  <c r="F22" i="4"/>
  <c r="F12" i="4"/>
  <c r="F57" i="4" l="1"/>
  <c r="G56" i="4"/>
  <c r="H56" i="4" s="1"/>
  <c r="G55" i="4"/>
  <c r="H55" i="4" s="1"/>
  <c r="G54" i="4"/>
  <c r="G53" i="4"/>
  <c r="H53" i="4" s="1"/>
  <c r="G52" i="4"/>
  <c r="H52" i="4" s="1"/>
  <c r="G51" i="4"/>
  <c r="G50" i="4"/>
  <c r="G49" i="4"/>
  <c r="H13" i="4"/>
  <c r="F45" i="4"/>
  <c r="G44" i="4"/>
  <c r="G43" i="4"/>
  <c r="H43" i="4" s="1"/>
  <c r="G42" i="4"/>
  <c r="G45" i="4" s="1"/>
  <c r="F41" i="4"/>
  <c r="G40" i="4"/>
  <c r="G39" i="4"/>
  <c r="H39" i="4" s="1"/>
  <c r="G38" i="4"/>
  <c r="G37" i="4"/>
  <c r="H37" i="4" s="1"/>
  <c r="G36" i="4"/>
  <c r="G35" i="4"/>
  <c r="H35" i="4" s="1"/>
  <c r="G34" i="4"/>
  <c r="H34" i="4" s="1"/>
  <c r="G33" i="4"/>
  <c r="H33" i="4" s="1"/>
  <c r="G32" i="4"/>
  <c r="G31" i="4"/>
  <c r="G30" i="4"/>
  <c r="G29" i="4"/>
  <c r="H29" i="4" s="1"/>
  <c r="G28" i="4"/>
  <c r="H28" i="4" s="1"/>
  <c r="F27" i="4"/>
  <c r="G26" i="4"/>
  <c r="H26" i="4" s="1"/>
  <c r="G25" i="4"/>
  <c r="G24" i="4"/>
  <c r="H24" i="4" s="1"/>
  <c r="G23" i="4"/>
  <c r="H23" i="4" s="1"/>
  <c r="G22" i="4"/>
  <c r="G27" i="4" s="1"/>
  <c r="K27" i="4" s="1"/>
  <c r="F21" i="4"/>
  <c r="G13" i="4"/>
  <c r="G14" i="4"/>
  <c r="G15" i="4"/>
  <c r="H15" i="4" s="1"/>
  <c r="G16" i="4"/>
  <c r="H16" i="4" s="1"/>
  <c r="G17" i="4"/>
  <c r="H17" i="4" s="1"/>
  <c r="G18" i="4"/>
  <c r="H18" i="4" s="1"/>
  <c r="G19" i="4"/>
  <c r="H19" i="4" s="1"/>
  <c r="G20" i="4"/>
  <c r="H20" i="4" s="1"/>
  <c r="G12" i="4"/>
  <c r="H12" i="4" s="1"/>
  <c r="D22" i="4"/>
  <c r="D12" i="4"/>
  <c r="D39" i="4"/>
  <c r="D37" i="4"/>
  <c r="D29" i="4"/>
  <c r="D43" i="4"/>
  <c r="G21" i="4" l="1"/>
  <c r="K21" i="4" s="1"/>
  <c r="F46" i="4"/>
  <c r="G57" i="4"/>
  <c r="J41" i="4" s="1"/>
  <c r="J46" i="4" s="1"/>
  <c r="G41" i="4"/>
  <c r="K41" i="4" s="1"/>
  <c r="H22" i="4"/>
  <c r="K46" i="4" l="1"/>
  <c r="G46" i="4"/>
  <c r="D31" i="4" l="1"/>
  <c r="H31" i="4" s="1"/>
  <c r="D30" i="4"/>
  <c r="H30" i="4" s="1"/>
  <c r="D54" i="4"/>
  <c r="D44" i="4"/>
  <c r="H44" i="4" s="1"/>
  <c r="D32" i="4"/>
  <c r="H32" i="4" s="1"/>
  <c r="D38" i="4"/>
  <c r="H38" i="4" s="1"/>
  <c r="D36" i="4"/>
  <c r="H36" i="4" s="1"/>
  <c r="D40" i="4"/>
  <c r="H40" i="4" s="1"/>
  <c r="D57" i="4" l="1"/>
  <c r="H57" i="4" s="1"/>
  <c r="H54" i="4"/>
  <c r="D45" i="4" l="1"/>
  <c r="H45" i="4" s="1"/>
  <c r="D41" i="4"/>
  <c r="H41" i="4" s="1"/>
  <c r="D27" i="4"/>
  <c r="H27" i="4" s="1"/>
  <c r="D21" i="4"/>
  <c r="H21" i="4" s="1"/>
  <c r="E57" i="4"/>
  <c r="D46" i="4" l="1"/>
  <c r="H46" i="4" s="1"/>
  <c r="E45" i="4" l="1"/>
  <c r="E41" i="4"/>
  <c r="E27" i="4"/>
  <c r="C57" i="4"/>
  <c r="C45" i="4" l="1"/>
  <c r="C41" i="4"/>
  <c r="C27" i="4"/>
  <c r="E21" i="4"/>
  <c r="E46" i="4" s="1"/>
  <c r="C21" i="4"/>
  <c r="C46" i="4" l="1"/>
</calcChain>
</file>

<file path=xl/sharedStrings.xml><?xml version="1.0" encoding="utf-8"?>
<sst xmlns="http://schemas.openxmlformats.org/spreadsheetml/2006/main" count="105" uniqueCount="103">
  <si>
    <t>Kormányzati funkció:</t>
  </si>
  <si>
    <t>Megnevezés</t>
  </si>
  <si>
    <t>Kornisné Liptay Elza Szociális és Gyermekjóléti Központ</t>
  </si>
  <si>
    <t>4440 Tiszavasvári, Vasvári Pál u. 87.</t>
  </si>
  <si>
    <t>adatok: Ft-ban</t>
  </si>
  <si>
    <t>KIADÁSOK</t>
  </si>
  <si>
    <t>K1101</t>
  </si>
  <si>
    <t>Törvény sz. illetmények</t>
  </si>
  <si>
    <t>K1109</t>
  </si>
  <si>
    <t>Munkábajárás költségtérítése</t>
  </si>
  <si>
    <t>K1113</t>
  </si>
  <si>
    <t>K2</t>
  </si>
  <si>
    <t>Szociális hozzájárulási adó</t>
  </si>
  <si>
    <t>K312</t>
  </si>
  <si>
    <t>K351</t>
  </si>
  <si>
    <t>K355</t>
  </si>
  <si>
    <t>Kiadás összesen:</t>
  </si>
  <si>
    <t>BEVÉTELEK</t>
  </si>
  <si>
    <t>B402</t>
  </si>
  <si>
    <t>B406</t>
  </si>
  <si>
    <t>Kiszámlázott Áfa</t>
  </si>
  <si>
    <t>Bevétel összesen:</t>
  </si>
  <si>
    <t>Városi Kincstár</t>
  </si>
  <si>
    <t>Módosított előirányzat</t>
  </si>
  <si>
    <t>Teljesítés %-a</t>
  </si>
  <si>
    <t>Eredeti előirányzat</t>
  </si>
  <si>
    <t>Rovat</t>
  </si>
  <si>
    <t>K1102</t>
  </si>
  <si>
    <t>Normatív jutalom</t>
  </si>
  <si>
    <t>Végkielégítés</t>
  </si>
  <si>
    <t>K1105</t>
  </si>
  <si>
    <t>K1106</t>
  </si>
  <si>
    <t>Jubileumi jutalom</t>
  </si>
  <si>
    <t>K1110</t>
  </si>
  <si>
    <t>Egyéb költségtérítés előirányata</t>
  </si>
  <si>
    <t>K123</t>
  </si>
  <si>
    <t>Egyéb külső személyi juttatások</t>
  </si>
  <si>
    <t>K1</t>
  </si>
  <si>
    <t>Személyi jutatás összesen:</t>
  </si>
  <si>
    <t>Rehabilitációs hozzájárulás</t>
  </si>
  <si>
    <t>Táppénz hozzájárulás</t>
  </si>
  <si>
    <t>Egészségügyi hozzájárulás</t>
  </si>
  <si>
    <t>Személyi jövedelemadó</t>
  </si>
  <si>
    <t>Munkaadókat terhelő járulékok és szociális hozzájárulási adó össz:</t>
  </si>
  <si>
    <t>K311</t>
  </si>
  <si>
    <t>Szakmai anyagok beszerzése</t>
  </si>
  <si>
    <t>Üzemeltetési anyagok beszerzése</t>
  </si>
  <si>
    <t>K321</t>
  </si>
  <si>
    <t>K322</t>
  </si>
  <si>
    <t>K331</t>
  </si>
  <si>
    <t>K333</t>
  </si>
  <si>
    <t>K335</t>
  </si>
  <si>
    <t>K337</t>
  </si>
  <si>
    <t>K341</t>
  </si>
  <si>
    <t>K334</t>
  </si>
  <si>
    <t>K336</t>
  </si>
  <si>
    <t xml:space="preserve">Működési c. előzetesen felszámított Áfa </t>
  </si>
  <si>
    <t>K3</t>
  </si>
  <si>
    <t>Dologi kiadások összesen:</t>
  </si>
  <si>
    <t>K63</t>
  </si>
  <si>
    <t>Informatikai eszközök beszerzése</t>
  </si>
  <si>
    <t>K64</t>
  </si>
  <si>
    <t>Egyéb tárgyi eszközök beszerzése</t>
  </si>
  <si>
    <t>K67</t>
  </si>
  <si>
    <t>Beruházási c. Áfa</t>
  </si>
  <si>
    <t>K6</t>
  </si>
  <si>
    <t>Beruházások összesen</t>
  </si>
  <si>
    <t>Közüzemi díjak</t>
  </si>
  <si>
    <t>Informatikai szolgáltatások</t>
  </si>
  <si>
    <t>Egyéb kommunikációs szolgáltatások</t>
  </si>
  <si>
    <t>Bérleti és lízingdíjak</t>
  </si>
  <si>
    <t>Karbantartási, kisjavítási szolgáltatások</t>
  </si>
  <si>
    <t>Közvetített szolgáltatások</t>
  </si>
  <si>
    <t>Szakmai tevékenységet segítő szolgáltatások</t>
  </si>
  <si>
    <t>Egyéb szolgáltatások</t>
  </si>
  <si>
    <t>Kiküldetés</t>
  </si>
  <si>
    <t>B16</t>
  </si>
  <si>
    <t xml:space="preserve">Egyéb működési c. támogatások </t>
  </si>
  <si>
    <t>B405</t>
  </si>
  <si>
    <t>Ellátási díjak</t>
  </si>
  <si>
    <t>B403</t>
  </si>
  <si>
    <t>K122</t>
  </si>
  <si>
    <t>B411</t>
  </si>
  <si>
    <t>Egyéb működési bevétel</t>
  </si>
  <si>
    <t xml:space="preserve">Egyéb dologi kiadás </t>
  </si>
  <si>
    <t>Megbízási díj</t>
  </si>
  <si>
    <t>Foglalkoztatottak egyéb szem. Jutt. (konyhai dolgozók pótléka, bérkompenzáció, munkaszüneti napra járó bér, stb.)</t>
  </si>
  <si>
    <t>Fogyatékos ellátás 2019. évi költségvetésénak várható teljesítése</t>
  </si>
  <si>
    <t>Készült: 2018. december 06., kiadások könyvelve: 2018. november 30-ig</t>
  </si>
  <si>
    <t>101211 Fogyatékossággal élők tartós bentlakásos ellátása</t>
  </si>
  <si>
    <t>Tiszavasvári, 2018. december 6.</t>
  </si>
  <si>
    <t>B401</t>
  </si>
  <si>
    <t>Készletértékesítés ellenértéke</t>
  </si>
  <si>
    <t>Szolgáltatások ellenértéke</t>
  </si>
  <si>
    <t>Bérleti díj bevétel</t>
  </si>
  <si>
    <t>Teljesítés            11.30-ig</t>
  </si>
  <si>
    <t>Decemberben várható kifizetés</t>
  </si>
  <si>
    <t>Éves várható teljesítés</t>
  </si>
  <si>
    <t>ÖSSZES KIADÁS ÉS BEVÉTEL</t>
  </si>
  <si>
    <t>Elszámolható költségterv szerint</t>
  </si>
  <si>
    <t>Különbözet</t>
  </si>
  <si>
    <t>Egyéb bevétellel fedezett kiadás</t>
  </si>
  <si>
    <t>+103983398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</si>
</sst>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/>
    <xf numFmtId="3" fontId="0" fillId="0" borderId="1" xfId="0" applyNumberFormat="1" applyBorder="1"/>
    <xf numFmtId="3" fontId="1" fillId="0" borderId="2" xfId="0" applyNumberFormat="1" applyFont="1" applyBorder="1"/>
    <xf numFmtId="3" fontId="0" fillId="0" borderId="2" xfId="0" applyNumberFormat="1" applyBorder="1"/>
    <xf numFmtId="0" fontId="1" fillId="0" borderId="6" xfId="0" applyFont="1" applyBorder="1"/>
    <xf numFmtId="0" fontId="0" fillId="0" borderId="6" xfId="0" applyBorder="1"/>
    <xf numFmtId="0" fontId="0" fillId="0" borderId="3" xfId="0" applyBorder="1"/>
    <xf numFmtId="3" fontId="0" fillId="0" borderId="4" xfId="0" applyNumberFormat="1" applyBorder="1"/>
    <xf numFmtId="3" fontId="0" fillId="0" borderId="5" xfId="0" applyNumberFormat="1" applyBorder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right"/>
    </xf>
    <xf numFmtId="0" fontId="0" fillId="0" borderId="0" xfId="0" applyFont="1" applyAlignment="1">
      <alignment vertical="center"/>
    </xf>
    <xf numFmtId="10" fontId="0" fillId="0" borderId="0" xfId="0" applyNumberFormat="1"/>
    <xf numFmtId="0" fontId="0" fillId="0" borderId="6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/>
    <xf numFmtId="0" fontId="0" fillId="0" borderId="2" xfId="0" quotePrefix="1" applyBorder="1"/>
    <xf numFmtId="3" fontId="0" fillId="0" borderId="2" xfId="0" quotePrefix="1" applyNumberFormat="1" applyBorder="1"/>
    <xf numFmtId="0" fontId="0" fillId="0" borderId="2" xfId="0" quotePrefix="1" applyBorder="1" applyAlignment="1">
      <alignment vertical="center" wrapText="1"/>
    </xf>
    <xf numFmtId="3" fontId="0" fillId="0" borderId="2" xfId="0" quotePrefix="1" applyNumberFormat="1" applyBorder="1" applyAlignment="1">
      <alignment vertical="center" wrapText="1"/>
    </xf>
    <xf numFmtId="3" fontId="0" fillId="0" borderId="2" xfId="0" applyNumberFormat="1" applyBorder="1" applyAlignment="1">
      <alignment vertical="center"/>
    </xf>
    <xf numFmtId="0" fontId="1" fillId="0" borderId="2" xfId="0" quotePrefix="1" applyFont="1" applyBorder="1" applyAlignment="1">
      <alignment vertical="center"/>
    </xf>
    <xf numFmtId="3" fontId="1" fillId="0" borderId="2" xfId="0" quotePrefix="1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vertical="center" wrapText="1"/>
    </xf>
    <xf numFmtId="0" fontId="0" fillId="0" borderId="2" xfId="0" quotePrefix="1" applyFont="1" applyBorder="1" applyAlignment="1">
      <alignment vertical="center" wrapText="1"/>
    </xf>
    <xf numFmtId="3" fontId="0" fillId="0" borderId="2" xfId="0" quotePrefix="1" applyNumberFormat="1" applyFont="1" applyBorder="1" applyAlignment="1">
      <alignment vertical="center" wrapText="1"/>
    </xf>
    <xf numFmtId="3" fontId="0" fillId="0" borderId="2" xfId="0" applyNumberFormat="1" applyFont="1" applyBorder="1" applyAlignment="1">
      <alignment vertical="center"/>
    </xf>
    <xf numFmtId="0" fontId="1" fillId="0" borderId="2" xfId="0" applyFont="1" applyBorder="1"/>
    <xf numFmtId="0" fontId="2" fillId="0" borderId="8" xfId="0" applyFont="1" applyBorder="1"/>
    <xf numFmtId="0" fontId="0" fillId="0" borderId="9" xfId="0" applyBorder="1"/>
    <xf numFmtId="3" fontId="0" fillId="0" borderId="9" xfId="0" applyNumberFormat="1" applyBorder="1"/>
    <xf numFmtId="0" fontId="0" fillId="0" borderId="6" xfId="0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3" xfId="0" applyFont="1" applyBorder="1"/>
    <xf numFmtId="0" fontId="1" fillId="0" borderId="4" xfId="0" quotePrefix="1" applyFont="1" applyBorder="1"/>
    <xf numFmtId="3" fontId="1" fillId="0" borderId="4" xfId="0" quotePrefix="1" applyNumberFormat="1" applyFont="1" applyBorder="1"/>
    <xf numFmtId="0" fontId="0" fillId="0" borderId="4" xfId="0" applyBorder="1"/>
    <xf numFmtId="0" fontId="1" fillId="0" borderId="8" xfId="0" applyFont="1" applyBorder="1" applyAlignment="1">
      <alignment wrapText="1"/>
    </xf>
    <xf numFmtId="3" fontId="4" fillId="0" borderId="0" xfId="0" quotePrefix="1" applyNumberFormat="1" applyFont="1" applyAlignment="1">
      <alignment horizontal="right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/>
    </xf>
    <xf numFmtId="10" fontId="0" fillId="0" borderId="2" xfId="0" applyNumberFormat="1" applyBorder="1"/>
    <xf numFmtId="10" fontId="0" fillId="0" borderId="2" xfId="0" applyNumberFormat="1" applyBorder="1" applyAlignment="1">
      <alignment vertical="center"/>
    </xf>
    <xf numFmtId="10" fontId="1" fillId="0" borderId="2" xfId="0" applyNumberFormat="1" applyFont="1" applyBorder="1"/>
    <xf numFmtId="3" fontId="1" fillId="0" borderId="2" xfId="0" applyNumberFormat="1" applyFont="1" applyBorder="1" applyAlignment="1">
      <alignment vertical="center"/>
    </xf>
    <xf numFmtId="10" fontId="1" fillId="0" borderId="2" xfId="0" applyNumberFormat="1" applyFont="1" applyBorder="1" applyAlignment="1">
      <alignment vertical="center"/>
    </xf>
    <xf numFmtId="3" fontId="0" fillId="0" borderId="10" xfId="0" applyNumberFormat="1" applyBorder="1"/>
    <xf numFmtId="3" fontId="0" fillId="0" borderId="7" xfId="0" applyNumberFormat="1" applyBorder="1"/>
    <xf numFmtId="3" fontId="0" fillId="0" borderId="7" xfId="0" applyNumberFormat="1" applyBorder="1" applyAlignment="1">
      <alignment vertical="center"/>
    </xf>
    <xf numFmtId="3" fontId="1" fillId="0" borderId="7" xfId="0" applyNumberFormat="1" applyFont="1" applyBorder="1" applyAlignment="1">
      <alignment vertical="center"/>
    </xf>
    <xf numFmtId="3" fontId="0" fillId="0" borderId="7" xfId="0" applyNumberFormat="1" applyFont="1" applyBorder="1" applyAlignment="1">
      <alignment vertical="center"/>
    </xf>
    <xf numFmtId="10" fontId="1" fillId="0" borderId="4" xfId="0" applyNumberFormat="1" applyFont="1" applyBorder="1"/>
    <xf numFmtId="10" fontId="0" fillId="0" borderId="9" xfId="0" applyNumberFormat="1" applyBorder="1"/>
    <xf numFmtId="3" fontId="1" fillId="0" borderId="7" xfId="0" applyNumberFormat="1" applyFont="1" applyBorder="1"/>
    <xf numFmtId="3" fontId="1" fillId="0" borderId="5" xfId="0" quotePrefix="1" applyNumberFormat="1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topLeftCell="A34" workbookViewId="0">
      <selection activeCell="D47" sqref="D47"/>
    </sheetView>
  </sheetViews>
  <sheetFormatPr defaultRowHeight="15" x14ac:dyDescent="0.25"/>
  <cols>
    <col min="1" max="1" width="14.42578125" customWidth="1"/>
    <col min="2" max="2" width="42.140625" customWidth="1"/>
    <col min="3" max="3" width="12.7109375" style="4" customWidth="1"/>
    <col min="4" max="4" width="15" style="4" customWidth="1"/>
    <col min="5" max="7" width="13.7109375" style="4" customWidth="1"/>
    <col min="8" max="8" width="9.7109375" style="4" customWidth="1"/>
    <col min="9" max="9" width="13.28515625" style="4" customWidth="1"/>
    <col min="10" max="10" width="10.7109375" style="4" customWidth="1"/>
    <col min="11" max="11" width="11.28515625" style="4" customWidth="1"/>
  </cols>
  <sheetData>
    <row r="1" spans="1:11" x14ac:dyDescent="0.25">
      <c r="A1" s="1" t="s">
        <v>2</v>
      </c>
    </row>
    <row r="2" spans="1:11" x14ac:dyDescent="0.25">
      <c r="A2" s="1" t="s">
        <v>3</v>
      </c>
    </row>
    <row r="3" spans="1:11" ht="14.45" x14ac:dyDescent="0.3">
      <c r="A3" s="1"/>
    </row>
    <row r="4" spans="1:11" x14ac:dyDescent="0.25">
      <c r="A4" s="66" t="s">
        <v>87</v>
      </c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11" x14ac:dyDescent="0.25">
      <c r="A5" s="66" t="s">
        <v>98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 ht="14.45" x14ac:dyDescent="0.3">
      <c r="A6" s="19"/>
      <c r="B6" s="19"/>
      <c r="C6" s="19"/>
      <c r="D6" s="19"/>
      <c r="E6" s="19"/>
      <c r="F6" s="19"/>
      <c r="G6" s="19"/>
      <c r="H6" s="19"/>
    </row>
    <row r="7" spans="1:11" x14ac:dyDescent="0.25">
      <c r="A7" s="20" t="s">
        <v>88</v>
      </c>
      <c r="B7" s="13"/>
      <c r="C7" s="14"/>
      <c r="D7" s="14"/>
      <c r="E7" s="14"/>
      <c r="F7" s="14"/>
      <c r="G7" s="14"/>
      <c r="H7" s="13"/>
    </row>
    <row r="8" spans="1:11" thickBot="1" x14ac:dyDescent="0.35">
      <c r="K8" s="15" t="s">
        <v>4</v>
      </c>
    </row>
    <row r="9" spans="1:11" ht="30" x14ac:dyDescent="0.25">
      <c r="A9" s="44" t="s">
        <v>0</v>
      </c>
      <c r="B9" s="64" t="s">
        <v>89</v>
      </c>
      <c r="C9" s="64"/>
      <c r="D9" s="64"/>
      <c r="E9" s="64"/>
      <c r="F9" s="64"/>
      <c r="G9" s="64"/>
      <c r="H9" s="64"/>
      <c r="I9" s="64"/>
      <c r="J9" s="64"/>
      <c r="K9" s="65"/>
    </row>
    <row r="10" spans="1:11" s="3" customFormat="1" ht="52.15" customHeight="1" thickBot="1" x14ac:dyDescent="0.3">
      <c r="A10" s="46" t="s">
        <v>26</v>
      </c>
      <c r="B10" s="47" t="s">
        <v>1</v>
      </c>
      <c r="C10" s="48" t="s">
        <v>25</v>
      </c>
      <c r="D10" s="48" t="s">
        <v>23</v>
      </c>
      <c r="E10" s="48" t="s">
        <v>95</v>
      </c>
      <c r="F10" s="48" t="s">
        <v>96</v>
      </c>
      <c r="G10" s="48" t="s">
        <v>97</v>
      </c>
      <c r="H10" s="48" t="s">
        <v>24</v>
      </c>
      <c r="I10" s="48" t="s">
        <v>99</v>
      </c>
      <c r="J10" s="48" t="s">
        <v>101</v>
      </c>
      <c r="K10" s="49" t="s">
        <v>100</v>
      </c>
    </row>
    <row r="11" spans="1:11" x14ac:dyDescent="0.25">
      <c r="A11" s="34" t="s">
        <v>5</v>
      </c>
      <c r="B11" s="35"/>
      <c r="C11" s="36"/>
      <c r="D11" s="36"/>
      <c r="E11" s="36"/>
      <c r="F11" s="36"/>
      <c r="G11" s="36"/>
      <c r="H11" s="36"/>
      <c r="I11" s="36"/>
      <c r="J11" s="36"/>
      <c r="K11" s="55"/>
    </row>
    <row r="12" spans="1:11" x14ac:dyDescent="0.25">
      <c r="A12" s="9" t="s">
        <v>6</v>
      </c>
      <c r="B12" s="22" t="s">
        <v>7</v>
      </c>
      <c r="C12" s="23">
        <v>131215334</v>
      </c>
      <c r="D12" s="23">
        <f>131215334+(374000*0.45)+544884+92634+72000+1263500+216146</f>
        <v>133572798</v>
      </c>
      <c r="E12" s="7">
        <v>113673197</v>
      </c>
      <c r="F12" s="7">
        <f>10962416+10900871</f>
        <v>21863287</v>
      </c>
      <c r="G12" s="7">
        <f>SUM(E12:F12)</f>
        <v>135536484</v>
      </c>
      <c r="H12" s="50">
        <f>G12/D12</f>
        <v>1.0147012417902632</v>
      </c>
      <c r="I12" s="7"/>
      <c r="J12" s="7"/>
      <c r="K12" s="56"/>
    </row>
    <row r="13" spans="1:11" x14ac:dyDescent="0.25">
      <c r="A13" s="9" t="s">
        <v>27</v>
      </c>
      <c r="B13" s="22" t="s">
        <v>28</v>
      </c>
      <c r="C13" s="23">
        <v>70000</v>
      </c>
      <c r="D13" s="23">
        <v>70000</v>
      </c>
      <c r="E13" s="7">
        <v>60151</v>
      </c>
      <c r="F13" s="7"/>
      <c r="G13" s="7">
        <f t="shared" ref="G13:G44" si="0">SUM(E13:F13)</f>
        <v>60151</v>
      </c>
      <c r="H13" s="50">
        <f t="shared" ref="H13:H46" si="1">G13/D13</f>
        <v>0.85929999999999995</v>
      </c>
      <c r="I13" s="7"/>
      <c r="J13" s="7"/>
      <c r="K13" s="56"/>
    </row>
    <row r="14" spans="1:11" x14ac:dyDescent="0.25">
      <c r="A14" s="9" t="s">
        <v>30</v>
      </c>
      <c r="B14" s="22" t="s">
        <v>29</v>
      </c>
      <c r="C14" s="23"/>
      <c r="D14" s="23"/>
      <c r="E14" s="7"/>
      <c r="F14" s="7"/>
      <c r="G14" s="7">
        <f t="shared" si="0"/>
        <v>0</v>
      </c>
      <c r="H14" s="50"/>
      <c r="I14" s="7"/>
      <c r="J14" s="7"/>
      <c r="K14" s="56"/>
    </row>
    <row r="15" spans="1:11" ht="14.45" x14ac:dyDescent="0.3">
      <c r="A15" s="9" t="s">
        <v>31</v>
      </c>
      <c r="B15" s="22" t="s">
        <v>32</v>
      </c>
      <c r="C15" s="23"/>
      <c r="D15" s="23">
        <v>258000</v>
      </c>
      <c r="E15" s="7">
        <v>258000</v>
      </c>
      <c r="F15" s="7"/>
      <c r="G15" s="7">
        <f t="shared" si="0"/>
        <v>258000</v>
      </c>
      <c r="H15" s="50">
        <f t="shared" si="1"/>
        <v>1</v>
      </c>
      <c r="I15" s="7"/>
      <c r="J15" s="7"/>
      <c r="K15" s="56"/>
    </row>
    <row r="16" spans="1:11" x14ac:dyDescent="0.25">
      <c r="A16" s="9" t="s">
        <v>8</v>
      </c>
      <c r="B16" s="22" t="s">
        <v>9</v>
      </c>
      <c r="C16" s="23">
        <v>600896</v>
      </c>
      <c r="D16" s="23">
        <v>600896</v>
      </c>
      <c r="E16" s="7">
        <v>175352</v>
      </c>
      <c r="F16" s="7">
        <f>19100+18215</f>
        <v>37315</v>
      </c>
      <c r="G16" s="7">
        <f t="shared" si="0"/>
        <v>212667</v>
      </c>
      <c r="H16" s="50">
        <f t="shared" si="1"/>
        <v>0.35391648471615722</v>
      </c>
      <c r="I16" s="7"/>
      <c r="J16" s="7"/>
      <c r="K16" s="56"/>
    </row>
    <row r="17" spans="1:11" x14ac:dyDescent="0.25">
      <c r="A17" s="9" t="s">
        <v>33</v>
      </c>
      <c r="B17" s="22" t="s">
        <v>34</v>
      </c>
      <c r="C17" s="23">
        <v>20000</v>
      </c>
      <c r="D17" s="23">
        <v>20000</v>
      </c>
      <c r="E17" s="7">
        <v>20000</v>
      </c>
      <c r="F17" s="7"/>
      <c r="G17" s="7">
        <f t="shared" si="0"/>
        <v>20000</v>
      </c>
      <c r="H17" s="50">
        <f t="shared" si="1"/>
        <v>1</v>
      </c>
      <c r="I17" s="7"/>
      <c r="J17" s="7"/>
      <c r="K17" s="56"/>
    </row>
    <row r="18" spans="1:11" s="3" customFormat="1" ht="45" x14ac:dyDescent="0.25">
      <c r="A18" s="37" t="s">
        <v>10</v>
      </c>
      <c r="B18" s="24" t="s">
        <v>86</v>
      </c>
      <c r="C18" s="25">
        <v>6906697</v>
      </c>
      <c r="D18" s="25">
        <v>6906697</v>
      </c>
      <c r="E18" s="26">
        <v>5176573</v>
      </c>
      <c r="F18" s="26">
        <f>296013+76000+152388</f>
        <v>524401</v>
      </c>
      <c r="G18" s="26">
        <f t="shared" si="0"/>
        <v>5700974</v>
      </c>
      <c r="H18" s="51">
        <f t="shared" si="1"/>
        <v>0.82542697326956715</v>
      </c>
      <c r="I18" s="26"/>
      <c r="J18" s="26"/>
      <c r="K18" s="57"/>
    </row>
    <row r="19" spans="1:11" s="3" customFormat="1" x14ac:dyDescent="0.25">
      <c r="A19" s="37" t="s">
        <v>81</v>
      </c>
      <c r="B19" s="24" t="s">
        <v>85</v>
      </c>
      <c r="C19" s="25">
        <v>0</v>
      </c>
      <c r="D19" s="25">
        <v>360000</v>
      </c>
      <c r="E19" s="26">
        <v>325361</v>
      </c>
      <c r="F19" s="26"/>
      <c r="G19" s="7">
        <f t="shared" si="0"/>
        <v>325361</v>
      </c>
      <c r="H19" s="50">
        <f t="shared" si="1"/>
        <v>0.90378055555555559</v>
      </c>
      <c r="I19" s="26"/>
      <c r="J19" s="26"/>
      <c r="K19" s="57"/>
    </row>
    <row r="20" spans="1:11" s="3" customFormat="1" x14ac:dyDescent="0.25">
      <c r="A20" s="37" t="s">
        <v>35</v>
      </c>
      <c r="B20" s="24" t="s">
        <v>36</v>
      </c>
      <c r="C20" s="25">
        <v>360000</v>
      </c>
      <c r="D20" s="25">
        <v>360000</v>
      </c>
      <c r="E20" s="26">
        <v>2632</v>
      </c>
      <c r="F20" s="26"/>
      <c r="G20" s="7">
        <f t="shared" si="0"/>
        <v>2632</v>
      </c>
      <c r="H20" s="50">
        <f t="shared" si="1"/>
        <v>7.3111111111111111E-3</v>
      </c>
      <c r="I20" s="26"/>
      <c r="J20" s="26"/>
      <c r="K20" s="57"/>
    </row>
    <row r="21" spans="1:11" s="2" customFormat="1" x14ac:dyDescent="0.25">
      <c r="A21" s="38" t="s">
        <v>37</v>
      </c>
      <c r="B21" s="27" t="s">
        <v>38</v>
      </c>
      <c r="C21" s="28">
        <f>SUM(C12:C20)</f>
        <v>139172927</v>
      </c>
      <c r="D21" s="28">
        <f>SUM(D12:D20)</f>
        <v>142148391</v>
      </c>
      <c r="E21" s="28">
        <f>SUM(E12:E20)</f>
        <v>119691266</v>
      </c>
      <c r="F21" s="28">
        <f>SUM(F12:F20)</f>
        <v>22425003</v>
      </c>
      <c r="G21" s="28">
        <f>SUM(G12:G20)</f>
        <v>142116269</v>
      </c>
      <c r="H21" s="52">
        <f t="shared" si="1"/>
        <v>0.99977402487798828</v>
      </c>
      <c r="I21" s="53">
        <v>95000000</v>
      </c>
      <c r="J21" s="53">
        <f>2043000+16230367+979236</f>
        <v>19252603</v>
      </c>
      <c r="K21" s="58">
        <f>G21-I21-J21</f>
        <v>27863666</v>
      </c>
    </row>
    <row r="22" spans="1:11" s="3" customFormat="1" x14ac:dyDescent="0.25">
      <c r="A22" s="37" t="s">
        <v>11</v>
      </c>
      <c r="B22" s="24" t="s">
        <v>12</v>
      </c>
      <c r="C22" s="25">
        <v>27234086</v>
      </c>
      <c r="D22" s="25">
        <f>27234086+(72930*0.45)+138356+288531+70200</f>
        <v>27763991.5</v>
      </c>
      <c r="E22" s="26">
        <v>23337156</v>
      </c>
      <c r="F22" s="26">
        <f>2217500+2125670</f>
        <v>4343170</v>
      </c>
      <c r="G22" s="7">
        <f t="shared" si="0"/>
        <v>27680326</v>
      </c>
      <c r="H22" s="50">
        <f t="shared" si="1"/>
        <v>0.99698654640490003</v>
      </c>
      <c r="I22" s="26"/>
      <c r="J22" s="26"/>
      <c r="K22" s="57"/>
    </row>
    <row r="23" spans="1:11" s="3" customFormat="1" x14ac:dyDescent="0.25">
      <c r="A23" s="37"/>
      <c r="B23" s="24" t="s">
        <v>39</v>
      </c>
      <c r="C23" s="25">
        <v>1939500</v>
      </c>
      <c r="D23" s="25">
        <v>1939500</v>
      </c>
      <c r="E23" s="26">
        <v>1639850</v>
      </c>
      <c r="F23" s="26"/>
      <c r="G23" s="7">
        <f t="shared" si="0"/>
        <v>1639850</v>
      </c>
      <c r="H23" s="50">
        <f t="shared" si="1"/>
        <v>0.84550141789120903</v>
      </c>
      <c r="I23" s="26"/>
      <c r="J23" s="26"/>
      <c r="K23" s="57"/>
    </row>
    <row r="24" spans="1:11" s="3" customFormat="1" x14ac:dyDescent="0.25">
      <c r="A24" s="37"/>
      <c r="B24" s="24" t="s">
        <v>41</v>
      </c>
      <c r="C24" s="25">
        <v>119119</v>
      </c>
      <c r="D24" s="25">
        <v>119119</v>
      </c>
      <c r="E24" s="26">
        <v>64366</v>
      </c>
      <c r="F24" s="26">
        <v>3039</v>
      </c>
      <c r="G24" s="7">
        <f t="shared" si="0"/>
        <v>67405</v>
      </c>
      <c r="H24" s="50">
        <f t="shared" si="1"/>
        <v>0.56586270871985156</v>
      </c>
      <c r="I24" s="26"/>
      <c r="J24" s="26"/>
      <c r="K24" s="57"/>
    </row>
    <row r="25" spans="1:11" s="3" customFormat="1" x14ac:dyDescent="0.25">
      <c r="A25" s="37"/>
      <c r="B25" s="24" t="s">
        <v>40</v>
      </c>
      <c r="C25" s="25"/>
      <c r="D25" s="25"/>
      <c r="E25" s="26">
        <v>328400</v>
      </c>
      <c r="F25" s="26">
        <v>21313</v>
      </c>
      <c r="G25" s="7">
        <f t="shared" si="0"/>
        <v>349713</v>
      </c>
      <c r="H25" s="50"/>
      <c r="I25" s="26"/>
      <c r="J25" s="26"/>
      <c r="K25" s="57"/>
    </row>
    <row r="26" spans="1:11" s="3" customFormat="1" x14ac:dyDescent="0.25">
      <c r="A26" s="37"/>
      <c r="B26" s="24" t="s">
        <v>42</v>
      </c>
      <c r="C26" s="25">
        <v>81218</v>
      </c>
      <c r="D26" s="25">
        <v>81218</v>
      </c>
      <c r="E26" s="26">
        <v>45049</v>
      </c>
      <c r="F26" s="26">
        <v>2338</v>
      </c>
      <c r="G26" s="7">
        <f t="shared" si="0"/>
        <v>47387</v>
      </c>
      <c r="H26" s="50">
        <f t="shared" si="1"/>
        <v>0.58345440665862247</v>
      </c>
      <c r="I26" s="26"/>
      <c r="J26" s="26"/>
      <c r="K26" s="57"/>
    </row>
    <row r="27" spans="1:11" s="2" customFormat="1" ht="30" x14ac:dyDescent="0.25">
      <c r="A27" s="38" t="s">
        <v>11</v>
      </c>
      <c r="B27" s="29" t="s">
        <v>43</v>
      </c>
      <c r="C27" s="28">
        <f>SUM(C22:C26)</f>
        <v>29373923</v>
      </c>
      <c r="D27" s="28">
        <f>SUM(D22:D26)</f>
        <v>29903828.5</v>
      </c>
      <c r="E27" s="28">
        <f t="shared" ref="E27:G27" si="2">SUM(E22:E26)</f>
        <v>25414821</v>
      </c>
      <c r="F27" s="28">
        <f t="shared" si="2"/>
        <v>4369860</v>
      </c>
      <c r="G27" s="28">
        <f t="shared" si="2"/>
        <v>29784681</v>
      </c>
      <c r="H27" s="54">
        <f t="shared" si="1"/>
        <v>0.99601564395007147</v>
      </c>
      <c r="I27" s="53">
        <v>18525000</v>
      </c>
      <c r="J27" s="53">
        <v>3274909</v>
      </c>
      <c r="K27" s="58">
        <f>G27-I27-J27</f>
        <v>7984772</v>
      </c>
    </row>
    <row r="28" spans="1:11" s="16" customFormat="1" x14ac:dyDescent="0.25">
      <c r="A28" s="39" t="s">
        <v>44</v>
      </c>
      <c r="B28" s="30" t="s">
        <v>45</v>
      </c>
      <c r="C28" s="31">
        <v>2685000</v>
      </c>
      <c r="D28" s="31">
        <v>2685000</v>
      </c>
      <c r="E28" s="32">
        <v>2241047</v>
      </c>
      <c r="F28" s="32">
        <f>ROUND((E28/11),0)</f>
        <v>203732</v>
      </c>
      <c r="G28" s="7">
        <f t="shared" si="0"/>
        <v>2444779</v>
      </c>
      <c r="H28" s="50">
        <f t="shared" si="1"/>
        <v>0.91053221601489753</v>
      </c>
      <c r="I28" s="32"/>
      <c r="J28" s="32"/>
      <c r="K28" s="59"/>
    </row>
    <row r="29" spans="1:11" s="3" customFormat="1" x14ac:dyDescent="0.25">
      <c r="A29" s="37" t="s">
        <v>13</v>
      </c>
      <c r="B29" s="24" t="s">
        <v>46</v>
      </c>
      <c r="C29" s="25">
        <v>22061100</v>
      </c>
      <c r="D29" s="25">
        <f>22061100+141732+2436000-180000+180000</f>
        <v>24638832</v>
      </c>
      <c r="E29" s="26">
        <f>36491740-18511538</f>
        <v>17980202</v>
      </c>
      <c r="F29" s="32">
        <v>2600000</v>
      </c>
      <c r="G29" s="7">
        <f t="shared" si="0"/>
        <v>20580202</v>
      </c>
      <c r="H29" s="50">
        <f t="shared" si="1"/>
        <v>0.83527506498684678</v>
      </c>
      <c r="I29" s="26"/>
      <c r="J29" s="26"/>
      <c r="K29" s="57"/>
    </row>
    <row r="30" spans="1:11" s="3" customFormat="1" x14ac:dyDescent="0.25">
      <c r="A30" s="37" t="s">
        <v>47</v>
      </c>
      <c r="B30" s="24" t="s">
        <v>68</v>
      </c>
      <c r="C30" s="25">
        <v>350000</v>
      </c>
      <c r="D30" s="25">
        <f>350000-90000+90000</f>
        <v>350000</v>
      </c>
      <c r="E30" s="26">
        <v>407144</v>
      </c>
      <c r="F30" s="32">
        <f t="shared" ref="F30:F40" si="3">ROUND((E30/11),0)</f>
        <v>37013</v>
      </c>
      <c r="G30" s="7">
        <f t="shared" si="0"/>
        <v>444157</v>
      </c>
      <c r="H30" s="50">
        <f t="shared" si="1"/>
        <v>1.26902</v>
      </c>
      <c r="I30" s="26"/>
      <c r="J30" s="26"/>
      <c r="K30" s="57"/>
    </row>
    <row r="31" spans="1:11" s="3" customFormat="1" x14ac:dyDescent="0.25">
      <c r="A31" s="37" t="s">
        <v>48</v>
      </c>
      <c r="B31" s="24" t="s">
        <v>69</v>
      </c>
      <c r="C31" s="25">
        <v>175000</v>
      </c>
      <c r="D31" s="25">
        <f>175000+90000+216000</f>
        <v>481000</v>
      </c>
      <c r="E31" s="26">
        <v>442617</v>
      </c>
      <c r="F31" s="32">
        <f t="shared" si="3"/>
        <v>40238</v>
      </c>
      <c r="G31" s="7">
        <f t="shared" si="0"/>
        <v>482855</v>
      </c>
      <c r="H31" s="50">
        <f t="shared" si="1"/>
        <v>1.003856548856549</v>
      </c>
      <c r="I31" s="26"/>
      <c r="J31" s="26"/>
      <c r="K31" s="57"/>
    </row>
    <row r="32" spans="1:11" s="3" customFormat="1" x14ac:dyDescent="0.25">
      <c r="A32" s="37" t="s">
        <v>49</v>
      </c>
      <c r="B32" s="24" t="s">
        <v>67</v>
      </c>
      <c r="C32" s="25">
        <v>8900000</v>
      </c>
      <c r="D32" s="25">
        <f>8900000+540000</f>
        <v>9440000</v>
      </c>
      <c r="E32" s="26">
        <v>12436509</v>
      </c>
      <c r="F32" s="32">
        <f t="shared" si="3"/>
        <v>1130592</v>
      </c>
      <c r="G32" s="7">
        <f t="shared" si="0"/>
        <v>13567101</v>
      </c>
      <c r="H32" s="50">
        <f t="shared" si="1"/>
        <v>1.4371929025423729</v>
      </c>
      <c r="I32" s="26"/>
      <c r="J32" s="26"/>
      <c r="K32" s="57"/>
    </row>
    <row r="33" spans="1:11" s="3" customFormat="1" x14ac:dyDescent="0.25">
      <c r="A33" s="37" t="s">
        <v>50</v>
      </c>
      <c r="B33" s="24" t="s">
        <v>70</v>
      </c>
      <c r="C33" s="25">
        <v>160000</v>
      </c>
      <c r="D33" s="25">
        <v>160000</v>
      </c>
      <c r="E33" s="26">
        <v>148940</v>
      </c>
      <c r="F33" s="32">
        <f t="shared" si="3"/>
        <v>13540</v>
      </c>
      <c r="G33" s="7">
        <f t="shared" si="0"/>
        <v>162480</v>
      </c>
      <c r="H33" s="50">
        <f t="shared" si="1"/>
        <v>1.0155000000000001</v>
      </c>
      <c r="I33" s="26"/>
      <c r="J33" s="26"/>
      <c r="K33" s="57"/>
    </row>
    <row r="34" spans="1:11" s="3" customFormat="1" x14ac:dyDescent="0.25">
      <c r="A34" s="37" t="s">
        <v>54</v>
      </c>
      <c r="B34" s="24" t="s">
        <v>71</v>
      </c>
      <c r="C34" s="25">
        <v>1800000</v>
      </c>
      <c r="D34" s="25">
        <v>1800000</v>
      </c>
      <c r="E34" s="26">
        <v>1946804</v>
      </c>
      <c r="F34" s="32">
        <f t="shared" si="3"/>
        <v>176982</v>
      </c>
      <c r="G34" s="7">
        <f t="shared" si="0"/>
        <v>2123786</v>
      </c>
      <c r="H34" s="50">
        <f t="shared" si="1"/>
        <v>1.1798811111111112</v>
      </c>
      <c r="I34" s="26"/>
      <c r="J34" s="26"/>
      <c r="K34" s="57"/>
    </row>
    <row r="35" spans="1:11" s="3" customFormat="1" x14ac:dyDescent="0.25">
      <c r="A35" s="37" t="s">
        <v>51</v>
      </c>
      <c r="B35" s="24" t="s">
        <v>72</v>
      </c>
      <c r="C35" s="25">
        <v>5715000</v>
      </c>
      <c r="D35" s="25">
        <v>5715000</v>
      </c>
      <c r="E35" s="26">
        <v>4783985</v>
      </c>
      <c r="F35" s="32">
        <f t="shared" si="3"/>
        <v>434908</v>
      </c>
      <c r="G35" s="7">
        <f t="shared" si="0"/>
        <v>5218893</v>
      </c>
      <c r="H35" s="50">
        <f t="shared" si="1"/>
        <v>0.91319212598425192</v>
      </c>
      <c r="I35" s="26"/>
      <c r="J35" s="26"/>
      <c r="K35" s="57"/>
    </row>
    <row r="36" spans="1:11" s="3" customFormat="1" x14ac:dyDescent="0.25">
      <c r="A36" s="37" t="s">
        <v>55</v>
      </c>
      <c r="B36" s="24" t="s">
        <v>73</v>
      </c>
      <c r="C36" s="25">
        <v>3958000</v>
      </c>
      <c r="D36" s="25">
        <f>3958000-80000</f>
        <v>3878000</v>
      </c>
      <c r="E36" s="26">
        <v>2852011</v>
      </c>
      <c r="F36" s="32">
        <f t="shared" si="3"/>
        <v>259274</v>
      </c>
      <c r="G36" s="7">
        <f t="shared" si="0"/>
        <v>3111285</v>
      </c>
      <c r="H36" s="50">
        <f t="shared" si="1"/>
        <v>0.80229112944816916</v>
      </c>
      <c r="I36" s="26"/>
      <c r="J36" s="26"/>
      <c r="K36" s="57"/>
    </row>
    <row r="37" spans="1:11" s="3" customFormat="1" x14ac:dyDescent="0.25">
      <c r="A37" s="37" t="s">
        <v>52</v>
      </c>
      <c r="B37" s="24" t="s">
        <v>74</v>
      </c>
      <c r="C37" s="25">
        <v>8716000</v>
      </c>
      <c r="D37" s="25">
        <f>8716000+585000+180000+1170000</f>
        <v>10651000</v>
      </c>
      <c r="E37" s="26">
        <v>11781020</v>
      </c>
      <c r="F37" s="32">
        <f t="shared" si="3"/>
        <v>1071002</v>
      </c>
      <c r="G37" s="7">
        <f t="shared" si="0"/>
        <v>12852022</v>
      </c>
      <c r="H37" s="50">
        <f t="shared" si="1"/>
        <v>1.2066493287015303</v>
      </c>
      <c r="I37" s="26"/>
      <c r="J37" s="26"/>
      <c r="K37" s="57"/>
    </row>
    <row r="38" spans="1:11" s="3" customFormat="1" x14ac:dyDescent="0.25">
      <c r="A38" s="37" t="s">
        <v>53</v>
      </c>
      <c r="B38" s="24" t="s">
        <v>75</v>
      </c>
      <c r="C38" s="25">
        <v>80000</v>
      </c>
      <c r="D38" s="25">
        <f>80000+80000</f>
        <v>160000</v>
      </c>
      <c r="E38" s="26">
        <v>12000</v>
      </c>
      <c r="F38" s="26">
        <v>12009</v>
      </c>
      <c r="G38" s="7">
        <f t="shared" si="0"/>
        <v>24009</v>
      </c>
      <c r="H38" s="50">
        <f t="shared" si="1"/>
        <v>0.15005625</v>
      </c>
      <c r="I38" s="26"/>
      <c r="J38" s="26"/>
      <c r="K38" s="57"/>
    </row>
    <row r="39" spans="1:11" s="3" customFormat="1" x14ac:dyDescent="0.25">
      <c r="A39" s="37" t="s">
        <v>14</v>
      </c>
      <c r="B39" s="24" t="s">
        <v>56</v>
      </c>
      <c r="C39" s="25">
        <v>11240612</v>
      </c>
      <c r="D39" s="25">
        <f>11240612+157950+145800+38268+470148+82620+364500</f>
        <v>12499898</v>
      </c>
      <c r="E39" s="26">
        <f>14226026-3572727</f>
        <v>10653299</v>
      </c>
      <c r="F39" s="32">
        <f t="shared" si="3"/>
        <v>968482</v>
      </c>
      <c r="G39" s="7">
        <f t="shared" si="0"/>
        <v>11621781</v>
      </c>
      <c r="H39" s="50">
        <f t="shared" si="1"/>
        <v>0.92975006676054472</v>
      </c>
      <c r="I39" s="26"/>
      <c r="J39" s="26"/>
      <c r="K39" s="57"/>
    </row>
    <row r="40" spans="1:11" s="3" customFormat="1" x14ac:dyDescent="0.25">
      <c r="A40" s="37" t="s">
        <v>15</v>
      </c>
      <c r="B40" s="24" t="s">
        <v>84</v>
      </c>
      <c r="C40" s="25">
        <v>746000</v>
      </c>
      <c r="D40" s="25">
        <f>746000+375000</f>
        <v>1121000</v>
      </c>
      <c r="E40" s="26">
        <v>918481</v>
      </c>
      <c r="F40" s="32">
        <f t="shared" si="3"/>
        <v>83498</v>
      </c>
      <c r="G40" s="7">
        <f t="shared" si="0"/>
        <v>1001979</v>
      </c>
      <c r="H40" s="50">
        <f t="shared" si="1"/>
        <v>0.89382604817127564</v>
      </c>
      <c r="I40" s="26"/>
      <c r="J40" s="26"/>
      <c r="K40" s="57"/>
    </row>
    <row r="41" spans="1:11" s="2" customFormat="1" x14ac:dyDescent="0.25">
      <c r="A41" s="38" t="s">
        <v>57</v>
      </c>
      <c r="B41" s="27" t="s">
        <v>58</v>
      </c>
      <c r="C41" s="28">
        <f>SUM(C28:C40)</f>
        <v>66586712</v>
      </c>
      <c r="D41" s="28">
        <f>SUM(D28:D40)</f>
        <v>73579730</v>
      </c>
      <c r="E41" s="28">
        <f t="shared" ref="E41:G41" si="4">SUM(E28:E40)</f>
        <v>66604059</v>
      </c>
      <c r="F41" s="28">
        <f t="shared" si="4"/>
        <v>7031270</v>
      </c>
      <c r="G41" s="28">
        <f t="shared" si="4"/>
        <v>73635329</v>
      </c>
      <c r="H41" s="52">
        <f t="shared" si="1"/>
        <v>1.0007556293017112</v>
      </c>
      <c r="I41" s="53">
        <v>4450264</v>
      </c>
      <c r="J41" s="53">
        <f>G57</f>
        <v>65262634</v>
      </c>
      <c r="K41" s="58">
        <f>G41-I41-J41</f>
        <v>3922431</v>
      </c>
    </row>
    <row r="42" spans="1:11" s="16" customFormat="1" x14ac:dyDescent="0.25">
      <c r="A42" s="39" t="s">
        <v>59</v>
      </c>
      <c r="B42" s="30" t="s">
        <v>60</v>
      </c>
      <c r="C42" s="31"/>
      <c r="D42" s="31"/>
      <c r="E42" s="32">
        <v>20819</v>
      </c>
      <c r="F42" s="32"/>
      <c r="G42" s="7">
        <f t="shared" si="0"/>
        <v>20819</v>
      </c>
      <c r="H42" s="50"/>
      <c r="I42" s="32"/>
      <c r="J42" s="32"/>
      <c r="K42" s="59"/>
    </row>
    <row r="43" spans="1:11" s="16" customFormat="1" x14ac:dyDescent="0.25">
      <c r="A43" s="39" t="s">
        <v>61</v>
      </c>
      <c r="B43" s="30" t="s">
        <v>62</v>
      </c>
      <c r="C43" s="31">
        <v>301181</v>
      </c>
      <c r="D43" s="31">
        <f>301181+63425-141732</f>
        <v>222874</v>
      </c>
      <c r="E43" s="32">
        <v>405650</v>
      </c>
      <c r="F43" s="32"/>
      <c r="G43" s="7">
        <f t="shared" si="0"/>
        <v>405650</v>
      </c>
      <c r="H43" s="50">
        <f t="shared" si="1"/>
        <v>1.8200866857506932</v>
      </c>
      <c r="I43" s="32"/>
      <c r="J43" s="32"/>
      <c r="K43" s="59"/>
    </row>
    <row r="44" spans="1:11" s="16" customFormat="1" x14ac:dyDescent="0.25">
      <c r="A44" s="39" t="s">
        <v>63</v>
      </c>
      <c r="B44" s="30" t="s">
        <v>64</v>
      </c>
      <c r="C44" s="31">
        <v>81319</v>
      </c>
      <c r="D44" s="31">
        <f>81319+17125-38268</f>
        <v>60176</v>
      </c>
      <c r="E44" s="32">
        <v>98945</v>
      </c>
      <c r="F44" s="32"/>
      <c r="G44" s="7">
        <f t="shared" si="0"/>
        <v>98945</v>
      </c>
      <c r="H44" s="50">
        <f t="shared" si="1"/>
        <v>1.6442601701675086</v>
      </c>
      <c r="I44" s="32"/>
      <c r="J44" s="32"/>
      <c r="K44" s="59"/>
    </row>
    <row r="45" spans="1:11" s="2" customFormat="1" x14ac:dyDescent="0.25">
      <c r="A45" s="38" t="s">
        <v>65</v>
      </c>
      <c r="B45" s="27" t="s">
        <v>66</v>
      </c>
      <c r="C45" s="28">
        <f>SUM(C42:C44)</f>
        <v>382500</v>
      </c>
      <c r="D45" s="28">
        <f>SUM(D42:D44)</f>
        <v>283050</v>
      </c>
      <c r="E45" s="28">
        <f t="shared" ref="E45" si="5">SUM(E42:E44)</f>
        <v>525414</v>
      </c>
      <c r="F45" s="28">
        <f t="shared" ref="F45:G45" si="6">SUM(F42:F44)</f>
        <v>0</v>
      </c>
      <c r="G45" s="28">
        <f t="shared" si="6"/>
        <v>525414</v>
      </c>
      <c r="H45" s="52">
        <f t="shared" si="1"/>
        <v>1.8562586115527293</v>
      </c>
      <c r="I45" s="53"/>
      <c r="J45" s="53"/>
      <c r="K45" s="58"/>
    </row>
    <row r="46" spans="1:11" s="1" customFormat="1" ht="15.75" thickBot="1" x14ac:dyDescent="0.3">
      <c r="A46" s="40" t="s">
        <v>16</v>
      </c>
      <c r="B46" s="41"/>
      <c r="C46" s="42">
        <f>SUM(C45,C41,C27,C21)</f>
        <v>235516062</v>
      </c>
      <c r="D46" s="42">
        <f>SUM(D45,D41,D27,D21)</f>
        <v>245914999.5</v>
      </c>
      <c r="E46" s="42">
        <f t="shared" ref="E46" si="7">SUM(E45,E41,E27,E21)</f>
        <v>212235560</v>
      </c>
      <c r="F46" s="42">
        <f t="shared" ref="F46:K46" si="8">SUM(F45,F41,F27,F21)</f>
        <v>33826133</v>
      </c>
      <c r="G46" s="42">
        <f t="shared" si="8"/>
        <v>246061693</v>
      </c>
      <c r="H46" s="60">
        <f t="shared" si="1"/>
        <v>1.0005965211568968</v>
      </c>
      <c r="I46" s="42">
        <f t="shared" si="8"/>
        <v>117975264</v>
      </c>
      <c r="J46" s="42">
        <f t="shared" si="8"/>
        <v>87790146</v>
      </c>
      <c r="K46" s="63">
        <f t="shared" si="8"/>
        <v>39770869</v>
      </c>
    </row>
    <row r="47" spans="1:11" ht="24.6" customHeight="1" thickBot="1" x14ac:dyDescent="0.35">
      <c r="D47" s="45" t="s">
        <v>102</v>
      </c>
      <c r="H47" s="17"/>
    </row>
    <row r="48" spans="1:11" x14ac:dyDescent="0.25">
      <c r="A48" s="34" t="s">
        <v>17</v>
      </c>
      <c r="B48" s="35"/>
      <c r="C48" s="36"/>
      <c r="D48" s="36"/>
      <c r="E48" s="36"/>
      <c r="F48" s="36"/>
      <c r="G48" s="36"/>
      <c r="H48" s="61"/>
      <c r="I48" s="36"/>
      <c r="J48" s="36"/>
      <c r="K48" s="55"/>
    </row>
    <row r="49" spans="1:11" x14ac:dyDescent="0.25">
      <c r="A49" s="18" t="s">
        <v>76</v>
      </c>
      <c r="B49" s="21" t="s">
        <v>77</v>
      </c>
      <c r="C49" s="7"/>
      <c r="D49" s="7"/>
      <c r="E49" s="7">
        <v>312743</v>
      </c>
      <c r="F49" s="7"/>
      <c r="G49" s="7">
        <f t="shared" ref="G49:G56" si="9">SUM(E49:F49)</f>
        <v>312743</v>
      </c>
      <c r="H49" s="50"/>
      <c r="I49" s="7"/>
      <c r="J49" s="7"/>
      <c r="K49" s="56"/>
    </row>
    <row r="50" spans="1:11" x14ac:dyDescent="0.25">
      <c r="A50" s="18" t="s">
        <v>91</v>
      </c>
      <c r="B50" s="21" t="s">
        <v>92</v>
      </c>
      <c r="C50" s="7"/>
      <c r="D50" s="7"/>
      <c r="E50" s="7">
        <v>193422</v>
      </c>
      <c r="F50" s="7"/>
      <c r="G50" s="7">
        <f t="shared" si="9"/>
        <v>193422</v>
      </c>
      <c r="H50" s="50"/>
      <c r="I50" s="7"/>
      <c r="J50" s="7"/>
      <c r="K50" s="56"/>
    </row>
    <row r="51" spans="1:11" x14ac:dyDescent="0.25">
      <c r="A51" s="18" t="s">
        <v>18</v>
      </c>
      <c r="B51" s="21" t="s">
        <v>93</v>
      </c>
      <c r="C51" s="7"/>
      <c r="D51" s="7"/>
      <c r="E51" s="7">
        <v>0</v>
      </c>
      <c r="F51" s="7"/>
      <c r="G51" s="7">
        <f t="shared" si="9"/>
        <v>0</v>
      </c>
      <c r="H51" s="50"/>
      <c r="I51" s="7"/>
      <c r="J51" s="7"/>
      <c r="K51" s="56"/>
    </row>
    <row r="52" spans="1:11" x14ac:dyDescent="0.25">
      <c r="A52" s="18"/>
      <c r="B52" s="21" t="s">
        <v>94</v>
      </c>
      <c r="C52" s="7">
        <v>1278000</v>
      </c>
      <c r="D52" s="7">
        <v>1278000</v>
      </c>
      <c r="E52" s="7">
        <v>810000</v>
      </c>
      <c r="F52" s="7"/>
      <c r="G52" s="7">
        <f t="shared" si="9"/>
        <v>810000</v>
      </c>
      <c r="H52" s="50">
        <f>G52/D52</f>
        <v>0.63380281690140849</v>
      </c>
      <c r="I52" s="7"/>
      <c r="J52" s="7"/>
      <c r="K52" s="56"/>
    </row>
    <row r="53" spans="1:11" x14ac:dyDescent="0.25">
      <c r="A53" s="18" t="s">
        <v>80</v>
      </c>
      <c r="B53" s="21" t="s">
        <v>72</v>
      </c>
      <c r="C53" s="7">
        <v>5715000</v>
      </c>
      <c r="D53" s="7">
        <v>5715000</v>
      </c>
      <c r="E53" s="7">
        <v>2968379</v>
      </c>
      <c r="F53" s="7"/>
      <c r="G53" s="7">
        <f t="shared" si="9"/>
        <v>2968379</v>
      </c>
      <c r="H53" s="50">
        <f t="shared" ref="H53:H56" si="10">G53/D53</f>
        <v>0.51940139982502187</v>
      </c>
      <c r="I53" s="7"/>
      <c r="J53" s="7"/>
      <c r="K53" s="56"/>
    </row>
    <row r="54" spans="1:11" x14ac:dyDescent="0.25">
      <c r="A54" s="9" t="s">
        <v>78</v>
      </c>
      <c r="B54" s="21" t="s">
        <v>79</v>
      </c>
      <c r="C54" s="7">
        <v>63606417</v>
      </c>
      <c r="D54" s="7">
        <f>63606417-3360000</f>
        <v>60246417</v>
      </c>
      <c r="E54" s="7">
        <v>53629185</v>
      </c>
      <c r="F54" s="7">
        <v>6617232</v>
      </c>
      <c r="G54" s="7">
        <f t="shared" si="9"/>
        <v>60246417</v>
      </c>
      <c r="H54" s="50">
        <f t="shared" si="10"/>
        <v>1</v>
      </c>
      <c r="I54" s="7"/>
      <c r="J54" s="7"/>
      <c r="K54" s="56"/>
    </row>
    <row r="55" spans="1:11" x14ac:dyDescent="0.25">
      <c r="A55" s="9" t="s">
        <v>19</v>
      </c>
      <c r="B55" s="21" t="s">
        <v>20</v>
      </c>
      <c r="C55" s="7">
        <v>797243</v>
      </c>
      <c r="D55" s="7">
        <v>797243</v>
      </c>
      <c r="E55" s="7">
        <v>659262</v>
      </c>
      <c r="F55" s="7"/>
      <c r="G55" s="7">
        <f t="shared" si="9"/>
        <v>659262</v>
      </c>
      <c r="H55" s="50">
        <f t="shared" si="10"/>
        <v>0.82692729820142663</v>
      </c>
      <c r="I55" s="7"/>
      <c r="J55" s="7"/>
      <c r="K55" s="56"/>
    </row>
    <row r="56" spans="1:11" x14ac:dyDescent="0.25">
      <c r="A56" s="9" t="s">
        <v>82</v>
      </c>
      <c r="B56" s="21" t="s">
        <v>83</v>
      </c>
      <c r="C56" s="7"/>
      <c r="D56" s="7">
        <v>750000</v>
      </c>
      <c r="E56" s="7">
        <v>72411</v>
      </c>
      <c r="F56" s="7"/>
      <c r="G56" s="7">
        <f t="shared" si="9"/>
        <v>72411</v>
      </c>
      <c r="H56" s="50">
        <f t="shared" si="10"/>
        <v>9.6547999999999995E-2</v>
      </c>
      <c r="I56" s="7"/>
      <c r="J56" s="7"/>
      <c r="K56" s="56"/>
    </row>
    <row r="57" spans="1:11" s="1" customFormat="1" x14ac:dyDescent="0.25">
      <c r="A57" s="8" t="s">
        <v>21</v>
      </c>
      <c r="B57" s="33"/>
      <c r="C57" s="6">
        <f>SUM(C49:C55)</f>
        <v>71396660</v>
      </c>
      <c r="D57" s="6">
        <f>SUM(D49:D56)</f>
        <v>68786660</v>
      </c>
      <c r="E57" s="6">
        <f>SUM(E49:E56)</f>
        <v>58645402</v>
      </c>
      <c r="F57" s="6">
        <f t="shared" ref="F57:G57" si="11">SUM(F49:F56)</f>
        <v>6617232</v>
      </c>
      <c r="G57" s="6">
        <f t="shared" si="11"/>
        <v>65262634</v>
      </c>
      <c r="H57" s="52">
        <f>G57/D57</f>
        <v>0.94876875836099617</v>
      </c>
      <c r="I57" s="6"/>
      <c r="J57" s="6"/>
      <c r="K57" s="62"/>
    </row>
    <row r="58" spans="1:11" thickBot="1" x14ac:dyDescent="0.35">
      <c r="A58" s="10"/>
      <c r="B58" s="43"/>
      <c r="C58" s="11"/>
      <c r="D58" s="11"/>
      <c r="E58" s="11"/>
      <c r="F58" s="11"/>
      <c r="G58" s="11"/>
      <c r="H58" s="11"/>
      <c r="I58" s="11"/>
      <c r="J58" s="11"/>
      <c r="K58" s="12"/>
    </row>
    <row r="61" spans="1:11" s="4" customFormat="1" x14ac:dyDescent="0.25">
      <c r="A61" t="s">
        <v>90</v>
      </c>
      <c r="B61"/>
    </row>
    <row r="63" spans="1:11" s="4" customFormat="1" x14ac:dyDescent="0.25">
      <c r="A63"/>
      <c r="B63"/>
      <c r="D63" s="5"/>
    </row>
    <row r="64" spans="1:11" s="4" customFormat="1" x14ac:dyDescent="0.25">
      <c r="A64"/>
      <c r="B64"/>
      <c r="D64" s="14" t="s">
        <v>22</v>
      </c>
    </row>
  </sheetData>
  <mergeCells count="3">
    <mergeCell ref="B9:K9"/>
    <mergeCell ref="A4:K4"/>
    <mergeCell ref="A5:K5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Fogyatékos ellátás 2018.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Czirjákné Szabó Erika</dc:creator>
  <cp:lastModifiedBy>dr. Legeza Tímea</cp:lastModifiedBy>
  <cp:lastPrinted>2018-12-14T11:59:17Z</cp:lastPrinted>
  <dcterms:created xsi:type="dcterms:W3CDTF">2017-11-13T08:24:11Z</dcterms:created>
  <dcterms:modified xsi:type="dcterms:W3CDTF">2018-12-14T11:59:34Z</dcterms:modified>
</cp:coreProperties>
</file>